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x Power Project-2023" sheetId="1" r:id="rId4"/>
    <sheet state="visible" name="Project Expenses" sheetId="2" r:id="rId5"/>
    <sheet state="visible" name="Daily Journal-2023" sheetId="3" r:id="rId6"/>
    <sheet state="visible" name="Vendor Bill-2023" sheetId="4" r:id="rId7"/>
    <sheet state="visible" name="Pix Power Monthly Expenses" sheetId="5" r:id="rId8"/>
    <sheet state="visible" name="Client Due-2023" sheetId="6" r:id="rId9"/>
    <sheet state="visible" name="Bank Account" sheetId="7" r:id="rId10"/>
    <sheet state="visible" name="Dipak Loan " sheetId="8" r:id="rId11"/>
  </sheets>
  <definedNames/>
  <calcPr/>
</workbook>
</file>

<file path=xl/sharedStrings.xml><?xml version="1.0" encoding="utf-8"?>
<sst xmlns="http://schemas.openxmlformats.org/spreadsheetml/2006/main" count="4448" uniqueCount="1386">
  <si>
    <t xml:space="preserve"> </t>
  </si>
  <si>
    <t>House # 19, Road # 5, Word # 40</t>
  </si>
  <si>
    <t>Madani Avenue, Dhaka-1212, Bangladesh.</t>
  </si>
  <si>
    <t>Phone: +8801988 600 400</t>
  </si>
  <si>
    <t>E-mail: pixpower.bd@gmail.com, Web: www.pixpower.com.bd</t>
  </si>
  <si>
    <t>Special Note</t>
  </si>
  <si>
    <t>SL</t>
  </si>
  <si>
    <t>Date</t>
  </si>
  <si>
    <t>Client name</t>
  </si>
  <si>
    <t>Quotation Number</t>
  </si>
  <si>
    <t>Invoice Number</t>
  </si>
  <si>
    <t>Revenue</t>
  </si>
  <si>
    <t>Expenditure</t>
  </si>
  <si>
    <t>Net Profit</t>
  </si>
  <si>
    <t>Real Impact (BPL-2023) (PC+Converter)</t>
  </si>
  <si>
    <t>Bill Amount</t>
  </si>
  <si>
    <t>Recevied Amount</t>
  </si>
  <si>
    <t>Due Amount</t>
  </si>
  <si>
    <t>Project Expenses</t>
  </si>
  <si>
    <t>Discount Amount</t>
  </si>
  <si>
    <t>Commision Amount</t>
  </si>
  <si>
    <t>Total Expenses</t>
  </si>
  <si>
    <t>Tsports (Waki Taki &amp; Converter)</t>
  </si>
  <si>
    <t>07.01.2023</t>
  </si>
  <si>
    <t>Azimul Haque Arzu</t>
  </si>
  <si>
    <t>Pix-230100001</t>
  </si>
  <si>
    <t>07.01.2022</t>
  </si>
  <si>
    <t>Tarik Shahariwar</t>
  </si>
  <si>
    <t>Pix-230100002</t>
  </si>
  <si>
    <t>20.01.2023</t>
  </si>
  <si>
    <t>Boruna Madrasah</t>
  </si>
  <si>
    <t>Pix-230100003</t>
  </si>
  <si>
    <t>21.01.2023</t>
  </si>
  <si>
    <t>Pix-230100004</t>
  </si>
  <si>
    <t>26.01.2023</t>
  </si>
  <si>
    <t>Pix-230100005</t>
  </si>
  <si>
    <t>27.01.2023</t>
  </si>
  <si>
    <t xml:space="preserve">Rezaul Karim (Spellbound) Waki Taki </t>
  </si>
  <si>
    <t>Pix-230100006</t>
  </si>
  <si>
    <t>28.01.2023</t>
  </si>
  <si>
    <t>Bijoy (Gulshan Park)</t>
  </si>
  <si>
    <t>Pix-230100007</t>
  </si>
  <si>
    <t>Total Amount</t>
  </si>
  <si>
    <t>03.02.2023</t>
  </si>
  <si>
    <t>Sportzworkz</t>
  </si>
  <si>
    <t>Pix-230200001</t>
  </si>
  <si>
    <t>05.02.2023</t>
  </si>
  <si>
    <t>Pix-230200002</t>
  </si>
  <si>
    <t>08.02.2023</t>
  </si>
  <si>
    <t xml:space="preserve">The Earth </t>
  </si>
  <si>
    <t>Pix-230200003</t>
  </si>
  <si>
    <t>09.02.2023</t>
  </si>
  <si>
    <t>Spellbound Leo Burnett (Bashundhara)</t>
  </si>
  <si>
    <t>Pix-230200004</t>
  </si>
  <si>
    <t>11.02.2023</t>
  </si>
  <si>
    <t>Spellbound Leo Burnett (Mymensingh)</t>
  </si>
  <si>
    <t>Pix-230200005</t>
  </si>
  <si>
    <t>Md. Farhad Ahmed (Popup)</t>
  </si>
  <si>
    <t>Pix-230200006</t>
  </si>
  <si>
    <t>16.02.2023</t>
  </si>
  <si>
    <t>Pix-230200007</t>
  </si>
  <si>
    <t>18.02.2023</t>
  </si>
  <si>
    <t>Pix-230200008</t>
  </si>
  <si>
    <t>22.02.2023</t>
  </si>
  <si>
    <t>Pix-230200009</t>
  </si>
  <si>
    <t>Spellbound Leo Burnett (Intercontinental)</t>
  </si>
  <si>
    <t>Pix-230200010</t>
  </si>
  <si>
    <t>Tarik Shahariwar (TEAM Sport)</t>
  </si>
  <si>
    <t>Pix-230200011</t>
  </si>
  <si>
    <t>Emrul Kaysar</t>
  </si>
  <si>
    <t>Pix-230200012</t>
  </si>
  <si>
    <t>Abid (Windmill Adv Ltd.)</t>
  </si>
  <si>
    <t>Pix-230200013</t>
  </si>
  <si>
    <t>25.02.2023</t>
  </si>
  <si>
    <t>Tsports (Rajshahi Cricket Stadium)</t>
  </si>
  <si>
    <t>Pix-230200014</t>
  </si>
  <si>
    <t>27.02.2023</t>
  </si>
  <si>
    <t>Pix-230200015</t>
  </si>
  <si>
    <t>04.03.2023</t>
  </si>
  <si>
    <t xml:space="preserve">Nagorik TV </t>
  </si>
  <si>
    <t>Pix-230300001</t>
  </si>
  <si>
    <t>08.03.2023</t>
  </si>
  <si>
    <t>Anupom Kumar Paul</t>
  </si>
  <si>
    <t>Pix-230300002</t>
  </si>
  <si>
    <t>10.03.2023</t>
  </si>
  <si>
    <t>Spellbound Leo Burnett  (50 Years FBCCI)</t>
  </si>
  <si>
    <t>Pix-230300003</t>
  </si>
  <si>
    <t>14.03.2023</t>
  </si>
  <si>
    <t xml:space="preserve">Silent Media </t>
  </si>
  <si>
    <t>Pix-230300004</t>
  </si>
  <si>
    <t>15.03.2023</t>
  </si>
  <si>
    <t>Abdullah Al Abid (Windmill Adv Ltd.)</t>
  </si>
  <si>
    <t>Pix-230300005</t>
  </si>
  <si>
    <t>Tsports (Sylhet)</t>
  </si>
  <si>
    <t>Pix-230300006</t>
  </si>
  <si>
    <t>18.03.2023</t>
  </si>
  <si>
    <t>Razaul Haque Ripon (Somoy TV)</t>
  </si>
  <si>
    <t>Pix-230300007</t>
  </si>
  <si>
    <t>Pix-230300008</t>
  </si>
  <si>
    <t>19.03.2023</t>
  </si>
  <si>
    <t>Spellbound Leo Burnett  (MOFA)</t>
  </si>
  <si>
    <t>Pix-230300009</t>
  </si>
  <si>
    <t>Pix-230300010</t>
  </si>
  <si>
    <t>21.03.2023</t>
  </si>
  <si>
    <t>Tsports (InterContinental Dhaka, an IHG Hotel)</t>
  </si>
  <si>
    <t>Pix-230300011</t>
  </si>
  <si>
    <t>22.03.2023</t>
  </si>
  <si>
    <t>Spellbound Leo Burnett  (Media Bazar)</t>
  </si>
  <si>
    <t>Pix-230300012</t>
  </si>
  <si>
    <t>07.04.2023</t>
  </si>
  <si>
    <t>Popup</t>
  </si>
  <si>
    <t>Pix-230400001</t>
  </si>
  <si>
    <t>17.04.2023</t>
  </si>
  <si>
    <t>Mohiuddin Ahmed</t>
  </si>
  <si>
    <t>Pix-230400002</t>
  </si>
  <si>
    <t>22.04.2023</t>
  </si>
  <si>
    <t>Dream Weaver</t>
  </si>
  <si>
    <t>Pix-230400003</t>
  </si>
  <si>
    <t>28.04.2023</t>
  </si>
  <si>
    <t>Zhantu Chakma</t>
  </si>
  <si>
    <t>Pix-230400004</t>
  </si>
  <si>
    <t>03.05.2023</t>
  </si>
  <si>
    <t>Md. Noyon Abedin Ashik (Taste Of Bangladesh)</t>
  </si>
  <si>
    <t>Pix-230500001</t>
  </si>
  <si>
    <t>Camera, Crew, Transport</t>
  </si>
  <si>
    <t>Md Mahidul Islam (Taste of Bangladesh)</t>
  </si>
  <si>
    <t>Pix-230500002</t>
  </si>
  <si>
    <t>Waki Taki 17pcs</t>
  </si>
  <si>
    <t>07.05.2023</t>
  </si>
  <si>
    <t>Tarik Shahariwar (DNCC Mayor Cup-2023)_ Volleyball</t>
  </si>
  <si>
    <t>Pix-230500003</t>
  </si>
  <si>
    <t>20.05.2023</t>
  </si>
  <si>
    <t>Tarik Shahariwar (DNCC Mayor Cup-2023)_ Cricket</t>
  </si>
  <si>
    <t>Pix-230500004</t>
  </si>
  <si>
    <t>30.05.2023</t>
  </si>
  <si>
    <t>Pix-230500005</t>
  </si>
  <si>
    <t>Spellbound Leo Burnett  (PM)</t>
  </si>
  <si>
    <t>Pix-230600001</t>
  </si>
  <si>
    <t>04.06.2023</t>
  </si>
  <si>
    <t>The Earth (LD Hall)</t>
  </si>
  <si>
    <t>Pix-230600002</t>
  </si>
  <si>
    <t>Pix-230600003</t>
  </si>
  <si>
    <t>05.06.2023</t>
  </si>
  <si>
    <t>Spellbound Leo Burnett  (UHL_JCL)</t>
  </si>
  <si>
    <t>Pix-230600004</t>
  </si>
  <si>
    <t>11.06.2023</t>
  </si>
  <si>
    <t>Spellbound Leo Burnett  (IFC_10th Food Saftey Forum)</t>
  </si>
  <si>
    <t>Pix-230600005</t>
  </si>
  <si>
    <t>13.06.2023</t>
  </si>
  <si>
    <t>Spellbound Leo Burnett  (Gear Handover and Impact)</t>
  </si>
  <si>
    <t>Pix-230600006</t>
  </si>
  <si>
    <t>14.06.2023</t>
  </si>
  <si>
    <t>Spellbound Leo Burnett  (BRSP Lanching_The World Bank)</t>
  </si>
  <si>
    <t>Pix-230600007</t>
  </si>
  <si>
    <t>Spellbound Leo Burnett  (Access Bangladesh_World Bank))</t>
  </si>
  <si>
    <t>Pix-230600008</t>
  </si>
  <si>
    <t>17.06.2023</t>
  </si>
  <si>
    <t>Innocent Productions_Mahfujur Rahman (IUB)</t>
  </si>
  <si>
    <t>Pix-230600009</t>
  </si>
  <si>
    <t>Md. Md Shamsul Huda (Rotary Club Of Banani Dhaka)</t>
  </si>
  <si>
    <t>Pix-230600010</t>
  </si>
  <si>
    <t>18.06.2023</t>
  </si>
  <si>
    <t>Pix-230600011</t>
  </si>
  <si>
    <t>21.06.2023</t>
  </si>
  <si>
    <t xml:space="preserve">Innocent Productions_Mahfujur Rahman                </t>
  </si>
  <si>
    <t>Pix-230600012</t>
  </si>
  <si>
    <t>Tsports</t>
  </si>
  <si>
    <t>Pix-230600013</t>
  </si>
  <si>
    <t>Pix-230600014</t>
  </si>
  <si>
    <t>15.07.2023</t>
  </si>
  <si>
    <t>Spellbound Leo Burnett  (FBCCI_Smart Bangladesh)</t>
  </si>
  <si>
    <t>Pix-230700001</t>
  </si>
  <si>
    <t>18.07.2023</t>
  </si>
  <si>
    <t>Spellbound Leo Burnett  (Cheque handover_Youth Ministry)</t>
  </si>
  <si>
    <t>Pix-230700002</t>
  </si>
  <si>
    <t>23.07.2023</t>
  </si>
  <si>
    <t>Broadcast Journalist Center (BJC)</t>
  </si>
  <si>
    <t>Pix-230700003</t>
  </si>
  <si>
    <t>25.07.2023</t>
  </si>
  <si>
    <t>Spellbound Leo Burnett (BSEC Golden Jublicc Award 2023)</t>
  </si>
  <si>
    <t>Pix-230700004</t>
  </si>
  <si>
    <t>28.07.2023</t>
  </si>
  <si>
    <t xml:space="preserve">Soumen Guha_Om Creation </t>
  </si>
  <si>
    <t>Pix-230700005</t>
  </si>
  <si>
    <t>Mahfujur Rahman_Innocent Production</t>
  </si>
  <si>
    <t>Pix-230700006</t>
  </si>
  <si>
    <t>05.08.2023</t>
  </si>
  <si>
    <t>Pix-230800001</t>
  </si>
  <si>
    <t>10.08.2023</t>
  </si>
  <si>
    <t>Spellbound Leo Burnett</t>
  </si>
  <si>
    <t>Pix-230800002</t>
  </si>
  <si>
    <t>17.08.2023</t>
  </si>
  <si>
    <t xml:space="preserve">Monju Islam </t>
  </si>
  <si>
    <t>Pix-230800003</t>
  </si>
  <si>
    <t>21.08.2023</t>
  </si>
  <si>
    <t>Pix-230800004</t>
  </si>
  <si>
    <t>22.08.2023</t>
  </si>
  <si>
    <t>Taufiq Sir, ULAB</t>
  </si>
  <si>
    <t>Pix-230800005</t>
  </si>
  <si>
    <t>26.08.2023</t>
  </si>
  <si>
    <t xml:space="preserve">Rezul Karim </t>
  </si>
  <si>
    <t>Pix-230800006</t>
  </si>
  <si>
    <t>Pix-230900001</t>
  </si>
  <si>
    <t>Pix-230900002</t>
  </si>
  <si>
    <t>Pix-230900003</t>
  </si>
  <si>
    <t>Pix-230900004</t>
  </si>
  <si>
    <t>Pix-230900005</t>
  </si>
  <si>
    <t>Pix-230900006</t>
  </si>
  <si>
    <t>Pix-230900007</t>
  </si>
  <si>
    <t>Pix-230900008</t>
  </si>
  <si>
    <t>Pix-230900009</t>
  </si>
  <si>
    <t>Pix-230900010</t>
  </si>
  <si>
    <t>Pix-230900011</t>
  </si>
  <si>
    <t>Pix-230900012</t>
  </si>
  <si>
    <t>Pix-230900013</t>
  </si>
  <si>
    <t>Pix-230900014</t>
  </si>
  <si>
    <t>Pix-230900015</t>
  </si>
  <si>
    <t>Pix-230900016</t>
  </si>
  <si>
    <t>Pix-230900017</t>
  </si>
  <si>
    <t>Pix-230900018</t>
  </si>
  <si>
    <t>Pix-230900019</t>
  </si>
  <si>
    <t>Pix-230900020</t>
  </si>
  <si>
    <t>Pix-230900021</t>
  </si>
  <si>
    <t>Pix-230900022</t>
  </si>
  <si>
    <t>Pix-230900023</t>
  </si>
  <si>
    <t>Pix-230900024</t>
  </si>
  <si>
    <t>Pix-230900025</t>
  </si>
  <si>
    <t>Pix-230900026</t>
  </si>
  <si>
    <t>Pix-230900027</t>
  </si>
  <si>
    <t>Pix-230900028</t>
  </si>
  <si>
    <t>Email: pixpower.bd@gmail.com</t>
  </si>
  <si>
    <t>Project Expenses Details</t>
  </si>
  <si>
    <t xml:space="preserve">Date </t>
  </si>
  <si>
    <t>5 &amp; 7th January 2023</t>
  </si>
  <si>
    <t>Venue</t>
  </si>
  <si>
    <t>Grand lake view,  Concord, House 15 level 01, flat 101, Road No 93, Gulshan 2</t>
  </si>
  <si>
    <t xml:space="preserve">Client Name </t>
  </si>
  <si>
    <t>Description</t>
  </si>
  <si>
    <t>Amount</t>
  </si>
  <si>
    <t>Remarks</t>
  </si>
  <si>
    <t>Pix Power Camera</t>
  </si>
  <si>
    <t>Due</t>
  </si>
  <si>
    <t>Next Level (PTZ Camera)</t>
  </si>
  <si>
    <t>Paid 5000 TK</t>
  </si>
  <si>
    <t>Transport (Joynal Bhai)</t>
  </si>
  <si>
    <t xml:space="preserve">Transport (Md. Sajib, Tanjil &amp; Food </t>
  </si>
  <si>
    <t xml:space="preserve">Total Project Expenses </t>
  </si>
  <si>
    <t>6&amp; 7th January 2023</t>
  </si>
  <si>
    <t>Dhaka Cattle Expo 2023, Agargaon Expo Zone</t>
  </si>
  <si>
    <t>06.01.2023</t>
  </si>
  <si>
    <t>Transport (Dipak Chandra Das)</t>
  </si>
  <si>
    <t>Transport (IRIS Media)</t>
  </si>
  <si>
    <t xml:space="preserve">Event Food Expenses </t>
  </si>
  <si>
    <t>Pix Power Staff Dinner (6 Person)</t>
  </si>
  <si>
    <t>IRIS Media Staff Dinner (3 Person)</t>
  </si>
  <si>
    <t xml:space="preserve">Event Food &amp; Other's Expenses </t>
  </si>
  <si>
    <t xml:space="preserve">MC </t>
  </si>
  <si>
    <t>Pix Power Camera Bill</t>
  </si>
  <si>
    <t>IRIS Media Camera Bill</t>
  </si>
  <si>
    <t>Emrul Kaysar (Live Streaming PC)</t>
  </si>
  <si>
    <t>Md Nazrul Islam</t>
  </si>
  <si>
    <t>Monju Islam</t>
  </si>
  <si>
    <t>Sherajul Islam Sheraj</t>
  </si>
  <si>
    <t>Syed Alamin</t>
  </si>
  <si>
    <t>Mamun Bhai Cam</t>
  </si>
  <si>
    <t>Khokon Karmokar</t>
  </si>
  <si>
    <t>Ashique Apu</t>
  </si>
  <si>
    <t>Washim Akram</t>
  </si>
  <si>
    <t>Joynal Bhai (Transport Rent &amp; Food)</t>
  </si>
  <si>
    <t>18-21st January 2023</t>
  </si>
  <si>
    <t xml:space="preserve">Boruna Madrasah, Sreemangal </t>
  </si>
  <si>
    <t>Boruna Madrasah Venue Vist Cost</t>
  </si>
  <si>
    <t>Bus Ticket (13+2+10)</t>
  </si>
  <si>
    <t>Medicine &amp; Other's Expense</t>
  </si>
  <si>
    <t>Transport (Dipak, Pranto, Hridoy &amp; Halim)</t>
  </si>
  <si>
    <t>Zahidul Islam Sajib</t>
  </si>
  <si>
    <t xml:space="preserve">Vmix Call Service </t>
  </si>
  <si>
    <t>Omar Faruq Sumon</t>
  </si>
  <si>
    <t>Md Joynal Abedin</t>
  </si>
  <si>
    <t>Md Aminul Islam</t>
  </si>
  <si>
    <t>SE Monju</t>
  </si>
  <si>
    <t xml:space="preserve">Sound Engineer </t>
  </si>
  <si>
    <t xml:space="preserve">Sumon Sarkar </t>
  </si>
  <si>
    <t xml:space="preserve">Light </t>
  </si>
  <si>
    <t>Md Joynal (Car Driver)</t>
  </si>
  <si>
    <t xml:space="preserve">Classic Media </t>
  </si>
  <si>
    <t>Abdul Rouf Tito</t>
  </si>
  <si>
    <t xml:space="preserve">Audio </t>
  </si>
  <si>
    <t xml:space="preserve">Travel Food &amp; Transport </t>
  </si>
  <si>
    <t xml:space="preserve">Emrul Kayes </t>
  </si>
  <si>
    <t xml:space="preserve">Pixpower Camera </t>
  </si>
  <si>
    <t>21st January 2023</t>
  </si>
  <si>
    <t>IRIS Media</t>
  </si>
  <si>
    <t>Breakfast &amp; Transport</t>
  </si>
  <si>
    <t>26th January 2023</t>
  </si>
  <si>
    <t>Bengal Convention Hall, Moulvibazar</t>
  </si>
  <si>
    <t>Rent-A-Car</t>
  </si>
  <si>
    <t xml:space="preserve">Food &amp; Other's Expenses </t>
  </si>
  <si>
    <t xml:space="preserve">Pix Power Camera </t>
  </si>
  <si>
    <t>1-9th February-2023</t>
  </si>
  <si>
    <t xml:space="preserve">Bir Shrestha Shaheed Shipahi Mustofa Kamal Stadium, Kamlapur, Dhaka </t>
  </si>
  <si>
    <t>01.02.2023</t>
  </si>
  <si>
    <t>Venue Visit</t>
  </si>
  <si>
    <t>02.02.2023</t>
  </si>
  <si>
    <t>Focusrite Scarlett 2i2 3rd Generation PC Audio Interface</t>
  </si>
  <si>
    <t>Displayport DP to HDMI Adapter</t>
  </si>
  <si>
    <t>Dipak CNG</t>
  </si>
  <si>
    <t>Dipak Food</t>
  </si>
  <si>
    <t xml:space="preserve">Breakfast, Lunch,  Evening Snacks &amp; Dinner </t>
  </si>
  <si>
    <t>04.02.2023</t>
  </si>
  <si>
    <t>Office to Stadium &amp; Other's Expense</t>
  </si>
  <si>
    <t>Dipak Uber</t>
  </si>
  <si>
    <t>07.02.2023</t>
  </si>
  <si>
    <t>DIP to HDMI Converter</t>
  </si>
  <si>
    <t xml:space="preserve">Lunch,  Evening Snacks , Dinner &amp; Tipes </t>
  </si>
  <si>
    <t>Jahidul Ahsan</t>
  </si>
  <si>
    <t>Ahmed Bin Parvez</t>
  </si>
  <si>
    <t>Md Joynal (Rent-A-Car)</t>
  </si>
  <si>
    <t xml:space="preserve">Producation Boy Expenses </t>
  </si>
  <si>
    <t>5th February 2023</t>
  </si>
  <si>
    <t>Transport (Next Level &amp; IRIS Media)</t>
  </si>
  <si>
    <t>8th February-2023</t>
  </si>
  <si>
    <t>LD Hall, National Parliament House</t>
  </si>
  <si>
    <t>Dipak Transport (Venue &amp; Spellbound)</t>
  </si>
  <si>
    <t xml:space="preserve">Breakfast &amp; Other's Expenses </t>
  </si>
  <si>
    <t>Md. Joynal Rent-A-Car</t>
  </si>
  <si>
    <t>Photographer (Wahiduzzaman Sohel</t>
  </si>
  <si>
    <t xml:space="preserve">Total Project Expenses         </t>
  </si>
  <si>
    <t>9th February-2023</t>
  </si>
  <si>
    <t>ICCB, Rajdarshan : Hall-3 (Aman)</t>
  </si>
  <si>
    <t xml:space="preserve">Omar Faruq Sumon </t>
  </si>
  <si>
    <t>Gouttom Kumar Singha</t>
  </si>
  <si>
    <t>Md. Wahiduzzaman (Sohel)</t>
  </si>
  <si>
    <t xml:space="preserve">Indian Camera Crew </t>
  </si>
  <si>
    <t>Linkan Sarker</t>
  </si>
  <si>
    <t xml:space="preserve">IRIS Media </t>
  </si>
  <si>
    <t>Md. Joynal (Rent-A-Car)</t>
  </si>
  <si>
    <t xml:space="preserve">Breakfast, Lunch &amp; Othr's Expenses </t>
  </si>
  <si>
    <t>Laptop Bill</t>
  </si>
  <si>
    <t>10 &amp; 11th February-2023</t>
  </si>
  <si>
    <t>Mymensingh (Runner )</t>
  </si>
  <si>
    <t xml:space="preserve">Mojibar Camera Crane with pickup </t>
  </si>
  <si>
    <t xml:space="preserve">Broadcast Crew Food Bill </t>
  </si>
  <si>
    <t xml:space="preserve">Bus Ticket </t>
  </si>
  <si>
    <t>Next Lavel</t>
  </si>
  <si>
    <t>Md. Aminul Islam (Video Editor)</t>
  </si>
  <si>
    <t>11th February-2023</t>
  </si>
  <si>
    <t>Chittagong</t>
  </si>
  <si>
    <t>Classic Media</t>
  </si>
  <si>
    <t>Abdur Rahim Sameer (Gopro)</t>
  </si>
  <si>
    <t>Transport</t>
  </si>
  <si>
    <t>16th February-2023</t>
  </si>
  <si>
    <t>Comilla</t>
  </si>
  <si>
    <t>18th February 2023</t>
  </si>
  <si>
    <t xml:space="preserve">Md Joynal (Rent-A-Car) &amp; Food </t>
  </si>
  <si>
    <t>22nd February-2023</t>
  </si>
  <si>
    <t>Sylhet</t>
  </si>
  <si>
    <t>Intercontinental dhaka</t>
  </si>
  <si>
    <t>21.02.2023</t>
  </si>
  <si>
    <t xml:space="preserve">Food &amp; Transport </t>
  </si>
  <si>
    <t xml:space="preserve">Washim Akram </t>
  </si>
  <si>
    <t>23rd February-2023</t>
  </si>
  <si>
    <t>Pix-230100011</t>
  </si>
  <si>
    <t>The Westin Dhaka</t>
  </si>
  <si>
    <t>23.02.2023</t>
  </si>
  <si>
    <t>Paid 2000</t>
  </si>
  <si>
    <t xml:space="preserve">Food </t>
  </si>
  <si>
    <t>27th February-2023</t>
  </si>
  <si>
    <t>Pix-230100015</t>
  </si>
  <si>
    <t>International Convention City Bashundhara (ICCB), Hall-01</t>
  </si>
  <si>
    <t>FOOD, Transport &amp; Other's</t>
  </si>
  <si>
    <t>4th March-2023</t>
  </si>
  <si>
    <t xml:space="preserve">Outer Stadium Dhaka </t>
  </si>
  <si>
    <t>Nagorik TV</t>
  </si>
  <si>
    <t>03.03.2023</t>
  </si>
  <si>
    <t>Food</t>
  </si>
  <si>
    <t xml:space="preserve">Transport &amp; Other's Expenses </t>
  </si>
  <si>
    <t>Emrul Kayes (Replay PC)</t>
  </si>
  <si>
    <t xml:space="preserve">Sound System &amp; Transport </t>
  </si>
  <si>
    <t xml:space="preserve">Generator </t>
  </si>
  <si>
    <t>Zahidul Islam Sajib (Cricket Scroring)</t>
  </si>
  <si>
    <t>Expart HAND BLOWER MACHINIE</t>
  </si>
  <si>
    <t>9th March-13th March 2023</t>
  </si>
  <si>
    <t>BICC</t>
  </si>
  <si>
    <t>09.03.2023</t>
  </si>
  <si>
    <t xml:space="preserve">Meeting  &amp; Other's Transport </t>
  </si>
  <si>
    <t xml:space="preserve">Blackamgic 1M/E Costellation HD </t>
  </si>
  <si>
    <t xml:space="preserve">Camera Bazar </t>
  </si>
  <si>
    <t xml:space="preserve">Blackmgaic Mini Converter Updown Cross </t>
  </si>
  <si>
    <t xml:space="preserve">Avmatrix UC2018 SDI/HDMI Capture Card </t>
  </si>
  <si>
    <t xml:space="preserve">Camera Bazar Due Payment </t>
  </si>
  <si>
    <t>Cable UTP CAT 6-10Meter (5Pcs)</t>
  </si>
  <si>
    <t>Kazi Computer</t>
  </si>
  <si>
    <t xml:space="preserve">HP Z Book I7 G4 </t>
  </si>
  <si>
    <t>Bag</t>
  </si>
  <si>
    <t xml:space="preserve">Camera Lense Rent </t>
  </si>
  <si>
    <t xml:space="preserve">Medicine &amp; Other's </t>
  </si>
  <si>
    <t>Raju  (Laptop)</t>
  </si>
  <si>
    <t>Paid</t>
  </si>
  <si>
    <t xml:space="preserve">Nipu Das </t>
  </si>
  <si>
    <t xml:space="preserve">Linkan Sarkar </t>
  </si>
  <si>
    <t>Md. Thourid Hossan Khan (Bikram)</t>
  </si>
  <si>
    <t xml:space="preserve">Sarkar Bandhan </t>
  </si>
  <si>
    <t xml:space="preserve">Syed Alamin </t>
  </si>
  <si>
    <t>Shawon Dutt</t>
  </si>
  <si>
    <t>SRS Ali</t>
  </si>
  <si>
    <t xml:space="preserve">Faruk Tanvir </t>
  </si>
  <si>
    <t xml:space="preserve">Tanvir Kabir </t>
  </si>
  <si>
    <t xml:space="preserve">Gouttom Kumar Singha </t>
  </si>
  <si>
    <t xml:space="preserve">Abdul Al Mamun </t>
  </si>
  <si>
    <t xml:space="preserve">Radwan Ahmed </t>
  </si>
  <si>
    <t xml:space="preserve">Zahidul Islam Sajib </t>
  </si>
  <si>
    <t xml:space="preserve">Wahiduzzaman Sohel </t>
  </si>
  <si>
    <t>Paid 4500</t>
  </si>
  <si>
    <t xml:space="preserve">Ali Ahmed Rubel </t>
  </si>
  <si>
    <t>Md. Shahin Alam</t>
  </si>
  <si>
    <t xml:space="preserve">Arifur Rahman </t>
  </si>
  <si>
    <t xml:space="preserve">Md Aminul Islam </t>
  </si>
  <si>
    <t>Majibur Rahman (Camera Crane)</t>
  </si>
  <si>
    <t xml:space="preserve">Rabiul Islam </t>
  </si>
  <si>
    <t>Paid 10000</t>
  </si>
  <si>
    <t>FOOD &amp; Other's</t>
  </si>
  <si>
    <t>Waki Taki Bill</t>
  </si>
  <si>
    <t>Cover Van Bill</t>
  </si>
  <si>
    <t>19th March 2023</t>
  </si>
  <si>
    <t>Ministry of Foreign Affairs</t>
  </si>
  <si>
    <t>Food &amp; Transport</t>
  </si>
  <si>
    <t xml:space="preserve">SE Monju Audio </t>
  </si>
  <si>
    <t>1st May 2023</t>
  </si>
  <si>
    <t xml:space="preserve">Uttara </t>
  </si>
  <si>
    <t>Tarik Shahariwar (DNCC Mayor Cup-2023)</t>
  </si>
  <si>
    <t>Joynal Bhai Transport Rent-A-Car</t>
  </si>
  <si>
    <t>Lunch Six Person</t>
  </si>
  <si>
    <t>Medicine</t>
  </si>
  <si>
    <t>08.05.2023</t>
  </si>
  <si>
    <t>Transport (Equipment &amp; Person)</t>
  </si>
  <si>
    <t>09.05.2023</t>
  </si>
  <si>
    <t>Breakfast (9 Person)</t>
  </si>
  <si>
    <t>Blackcloth</t>
  </si>
  <si>
    <t>10.05.2023</t>
  </si>
  <si>
    <t>11.05.2023</t>
  </si>
  <si>
    <t>Equipment Transport</t>
  </si>
  <si>
    <t>12.05.2023</t>
  </si>
  <si>
    <t>Breakfast (8 Person)</t>
  </si>
  <si>
    <t>13.05.2023</t>
  </si>
  <si>
    <t>Rom Zaman Tranport (6 Days)</t>
  </si>
  <si>
    <t>14.05.2023</t>
  </si>
  <si>
    <t>15.05.2023</t>
  </si>
  <si>
    <t xml:space="preserve">Breakfast </t>
  </si>
  <si>
    <t>16.05.2023</t>
  </si>
  <si>
    <t xml:space="preserve">Other's Expenses </t>
  </si>
  <si>
    <t>Washim Akram Transport Bill</t>
  </si>
  <si>
    <t xml:space="preserve">Rajib Singha </t>
  </si>
  <si>
    <t xml:space="preserve">Md. Monir Hossain Transport </t>
  </si>
  <si>
    <t>20th May 2023</t>
  </si>
  <si>
    <t>ULAB Permanent campus (Cricket)</t>
  </si>
  <si>
    <t>Transport (Office-ULAB-Rampura)</t>
  </si>
  <si>
    <t xml:space="preserve">Venue Visit </t>
  </si>
  <si>
    <t>21.05.2023</t>
  </si>
  <si>
    <t xml:space="preserve">Transport </t>
  </si>
  <si>
    <t>Venue Evening Snacks</t>
  </si>
  <si>
    <t>22.05.2023</t>
  </si>
  <si>
    <t>Transport (Rampura-ULAB-Rampura)</t>
  </si>
  <si>
    <t>Transport (Office Staff)</t>
  </si>
  <si>
    <t>23.05.2023</t>
  </si>
  <si>
    <t>Evening Snacks</t>
  </si>
  <si>
    <t>24.05.2023</t>
  </si>
  <si>
    <t>25.05.2023</t>
  </si>
  <si>
    <t xml:space="preserve">Rom Zaman Transport </t>
  </si>
  <si>
    <t>27.05.2023</t>
  </si>
  <si>
    <t>Syed Alamin Transport upto 31st may 2023</t>
  </si>
  <si>
    <t>Washim Akram Transport upto 31st may 2023</t>
  </si>
  <si>
    <t>Fiber Splicing</t>
  </si>
  <si>
    <t>28.05.2023</t>
  </si>
  <si>
    <t>29.05.2023</t>
  </si>
  <si>
    <t>31.05.2023</t>
  </si>
  <si>
    <t>01.06.2023</t>
  </si>
  <si>
    <t>03.06.2023</t>
  </si>
  <si>
    <t>06.06.2023</t>
  </si>
  <si>
    <t>07.06.2023</t>
  </si>
  <si>
    <t>08.06.2023</t>
  </si>
  <si>
    <t>12.06.2023</t>
  </si>
  <si>
    <t>Transport (ULAB-Rampura)</t>
  </si>
  <si>
    <t>19.06.2023</t>
  </si>
  <si>
    <t>20.06.2023</t>
  </si>
  <si>
    <t>25.06.2023</t>
  </si>
  <si>
    <t>26.06.2023</t>
  </si>
  <si>
    <t>3rd June 2023</t>
  </si>
  <si>
    <t xml:space="preserve">Dhaka District Awami League Office Building, Tejgaon Industrial Area, Dhaka </t>
  </si>
  <si>
    <t>IRIS Media Food &amp; Transport</t>
  </si>
  <si>
    <t xml:space="preserve">Hridor </t>
  </si>
  <si>
    <t xml:space="preserve">Lunch </t>
  </si>
  <si>
    <t xml:space="preserve">Trnasport </t>
  </si>
  <si>
    <t xml:space="preserve">Humayan Kabir </t>
  </si>
  <si>
    <t xml:space="preserve">Gouttom Kumar Singh </t>
  </si>
  <si>
    <t xml:space="preserve">Bandan Sarker </t>
  </si>
  <si>
    <t xml:space="preserve">IRIS Camera </t>
  </si>
  <si>
    <t xml:space="preserve">Fiber Device </t>
  </si>
  <si>
    <t>2nd June Transport 2023</t>
  </si>
  <si>
    <t>Equipment Bill (Panasonic AG-HPX 250</t>
  </si>
  <si>
    <t xml:space="preserve">Monir Bhai </t>
  </si>
  <si>
    <t>4th June 2023</t>
  </si>
  <si>
    <t>LD Hall Parliament Building</t>
  </si>
  <si>
    <t>Spellbound Leo Burnett (The Earth )</t>
  </si>
  <si>
    <t xml:space="preserve">Transport for Camera </t>
  </si>
  <si>
    <t>Transport for Pix power</t>
  </si>
  <si>
    <t xml:space="preserve">Camera Rent </t>
  </si>
  <si>
    <t>4-8th June 2023</t>
  </si>
  <si>
    <t xml:space="preserve">Centrepoint Airport, Dhaka </t>
  </si>
  <si>
    <t xml:space="preserve">IRIS </t>
  </si>
  <si>
    <t xml:space="preserve">Eayes Bhai Camera </t>
  </si>
  <si>
    <t>Transport Crew</t>
  </si>
  <si>
    <t xml:space="preserve">Breakfast &amp; Lunch </t>
  </si>
  <si>
    <t xml:space="preserve">Transport for Equipmnet </t>
  </si>
  <si>
    <t xml:space="preserve">Rony Camera Crew </t>
  </si>
  <si>
    <t xml:space="preserve">SRS Ali </t>
  </si>
  <si>
    <t xml:space="preserve">Due </t>
  </si>
  <si>
    <t>11th June 2023</t>
  </si>
  <si>
    <t>Pan Pacific Sonargaon Dhaka</t>
  </si>
  <si>
    <t>10.06.2023</t>
  </si>
  <si>
    <t xml:space="preserve">Equipment Transport </t>
  </si>
  <si>
    <t>Camera Men</t>
  </si>
  <si>
    <t xml:space="preserve">Pavel </t>
  </si>
  <si>
    <t xml:space="preserve">Ratan </t>
  </si>
  <si>
    <t xml:space="preserve">Ayon </t>
  </si>
  <si>
    <t xml:space="preserve">Dinner </t>
  </si>
  <si>
    <t xml:space="preserve">CNG </t>
  </si>
  <si>
    <t>13th June 2023</t>
  </si>
  <si>
    <t>le meridien</t>
  </si>
  <si>
    <t xml:space="preserve">Joynal Bhai Rent-A-Car </t>
  </si>
  <si>
    <t>Other's (BICC &amp; intercontinental)</t>
  </si>
  <si>
    <t>14th June 2023</t>
  </si>
  <si>
    <t xml:space="preserve">BICC </t>
  </si>
  <si>
    <t>CNG</t>
  </si>
  <si>
    <t xml:space="preserve">Ubar </t>
  </si>
  <si>
    <t xml:space="preserve">Camera &amp; Crew </t>
  </si>
  <si>
    <t>InterContinental Dhaka, an IHG Hotel</t>
  </si>
  <si>
    <t>17th June 2023</t>
  </si>
  <si>
    <t xml:space="preserve">IUB, Basundhara </t>
  </si>
  <si>
    <t>Innocent Productions_Mahfujur Rahman</t>
  </si>
  <si>
    <t>Baridhara DOHS Convention Center</t>
  </si>
  <si>
    <t>DUE</t>
  </si>
  <si>
    <t>21st June 2023</t>
  </si>
  <si>
    <t>Administrative Area, Parjatan Bhaban, E-5, C, 1 W Agargaon, Dhaka 1207</t>
  </si>
  <si>
    <t xml:space="preserve">Camera Crew </t>
  </si>
  <si>
    <t>14-15th July 2023</t>
  </si>
  <si>
    <t>Note:</t>
  </si>
  <si>
    <t>Rabin</t>
  </si>
  <si>
    <t>Tahasn</t>
  </si>
  <si>
    <t xml:space="preserve">Monir Bhai Camera </t>
  </si>
  <si>
    <t>Joynal Bhai</t>
  </si>
  <si>
    <t xml:space="preserve">Emrul Kayes Camera </t>
  </si>
  <si>
    <t xml:space="preserve">Mojibur </t>
  </si>
  <si>
    <t>Nirob Tahsan (Lens Rent)</t>
  </si>
  <si>
    <t xml:space="preserve">Kayes </t>
  </si>
  <si>
    <t xml:space="preserve">Mojibur Crane &amp; Transport </t>
  </si>
  <si>
    <t>Paid 5000 (Monir Bhai)</t>
  </si>
  <si>
    <t>Joynal Bhai Rent-A-Car</t>
  </si>
  <si>
    <t xml:space="preserve">Transport for Emrul Kayes Camera </t>
  </si>
  <si>
    <t xml:space="preserve">Transport for Monir Bhai </t>
  </si>
  <si>
    <t xml:space="preserve">Transport for Dipak &amp; Rajib </t>
  </si>
  <si>
    <t xml:space="preserve">Transport for Rom Zaman </t>
  </si>
  <si>
    <t>Breakfast, Lunch &amp; Dinner</t>
  </si>
  <si>
    <t>18th July 2023</t>
  </si>
  <si>
    <t>Bangabandhu Military Museum</t>
  </si>
  <si>
    <t>Spellbound Leo Burnett  (Cheque handover Ceremony Yotth Walfare Trust_Youth Ministry)</t>
  </si>
  <si>
    <t>17.07.2023</t>
  </si>
  <si>
    <t>Transport (Office-Venue-Office)</t>
  </si>
  <si>
    <t>Breakfast, Lunch &amp; Other's</t>
  </si>
  <si>
    <t xml:space="preserve">Dipak &amp; Rom Zaman Transport </t>
  </si>
  <si>
    <t>due</t>
  </si>
  <si>
    <t>23rd July 2023</t>
  </si>
  <si>
    <t>Shaheed Monsur Ali Handball Stadium</t>
  </si>
  <si>
    <t>20.07.2023</t>
  </si>
  <si>
    <t xml:space="preserve">Dipak Transport </t>
  </si>
  <si>
    <t xml:space="preserve">Office Transport </t>
  </si>
  <si>
    <t xml:space="preserve">Breakfast, Lunch &amp; Other's Expenses </t>
  </si>
  <si>
    <t xml:space="preserve">Tripod Transport </t>
  </si>
  <si>
    <t xml:space="preserve">HDMI Converter &amp; Camera Power Adpter </t>
  </si>
  <si>
    <t>21.07.2023</t>
  </si>
  <si>
    <t xml:space="preserve">Internet </t>
  </si>
  <si>
    <t>22.07.2023</t>
  </si>
  <si>
    <t xml:space="preserve">Office Lock </t>
  </si>
  <si>
    <t xml:space="preserve">UV Filter &amp; Lens Cleaner </t>
  </si>
  <si>
    <t>Rajib Transport &amp; Food Bill</t>
  </si>
  <si>
    <t>Photographer</t>
  </si>
  <si>
    <t>25th July 2023</t>
  </si>
  <si>
    <t xml:space="preserve">Dipak  &amp; Rajib Transport </t>
  </si>
  <si>
    <t>Lunch, Dinner  &amp; Other's Expenses</t>
  </si>
  <si>
    <t>27-30th July 2023</t>
  </si>
  <si>
    <t>Daffodil International University</t>
  </si>
  <si>
    <t>27.07.2023</t>
  </si>
  <si>
    <t xml:space="preserve">Lunch, Dinner &amp; Other's Expenses </t>
  </si>
  <si>
    <t xml:space="preserve">Miscellaneous Expenses </t>
  </si>
  <si>
    <t>30.07.2023</t>
  </si>
  <si>
    <t>Paid 11000</t>
  </si>
  <si>
    <t xml:space="preserve">Covered Van </t>
  </si>
  <si>
    <t xml:space="preserve">Paid </t>
  </si>
  <si>
    <t xml:space="preserve">Monir Bhai Epenses </t>
  </si>
  <si>
    <t>28th July 2023</t>
  </si>
  <si>
    <t>Shilpakala Academy</t>
  </si>
  <si>
    <t xml:space="preserve">Classic Media_Panasonic AG-HPX250 Camera &amp; Transport </t>
  </si>
  <si>
    <t>Osmani Memorial Auditorium</t>
  </si>
  <si>
    <t>Transport (Monir,Dipak, Rajib &amp; Room)</t>
  </si>
  <si>
    <t xml:space="preserve">Dipak </t>
  </si>
  <si>
    <t xml:space="preserve">Rezaul </t>
  </si>
  <si>
    <t>Elect</t>
  </si>
  <si>
    <t>Rajib</t>
  </si>
  <si>
    <t xml:space="preserve">Hridoy </t>
  </si>
  <si>
    <t xml:space="preserve">Project </t>
  </si>
  <si>
    <t>Rabin tripod</t>
  </si>
  <si>
    <t>Project 2</t>
  </si>
  <si>
    <t>Office</t>
  </si>
  <si>
    <t xml:space="preserve">Received Amount History </t>
  </si>
  <si>
    <t xml:space="preserve">Expenses History </t>
  </si>
  <si>
    <t>Cash In History In January 2023</t>
  </si>
  <si>
    <t xml:space="preserve">Description </t>
  </si>
  <si>
    <t xml:space="preserve">Amount </t>
  </si>
  <si>
    <t xml:space="preserve">Remarks </t>
  </si>
  <si>
    <t>03.01.2023</t>
  </si>
  <si>
    <t>Cash Withdrawal from EBL</t>
  </si>
  <si>
    <t>01.01.2023</t>
  </si>
  <si>
    <t>MD. Monir Hossain For Rupee</t>
  </si>
  <si>
    <t>Rupee</t>
  </si>
  <si>
    <t>10.01.2023</t>
  </si>
  <si>
    <t>Cash In Bank</t>
  </si>
  <si>
    <t>Employee Mobile Bill</t>
  </si>
  <si>
    <t>12.01.2023</t>
  </si>
  <si>
    <t>Cash In Hand (Md. Monir Hossain)</t>
  </si>
  <si>
    <t xml:space="preserve">Transport for PC </t>
  </si>
  <si>
    <t xml:space="preserve">Pranto &amp; Hridoy </t>
  </si>
  <si>
    <t>Cash In Hand (Dipak Chandra Das)</t>
  </si>
  <si>
    <t>Al-Maun Akon Loan for Camera</t>
  </si>
  <si>
    <t>Lunch &amp; Evening Snacks</t>
  </si>
  <si>
    <t>14.01.2023</t>
  </si>
  <si>
    <t xml:space="preserve">Boruna Madrasah </t>
  </si>
  <si>
    <t>Transport for Nagorik TV</t>
  </si>
  <si>
    <t>Office Fixed Cost In January-2023</t>
  </si>
  <si>
    <t>Next Level (Md. Monirul Islam Prince )</t>
  </si>
  <si>
    <t>Dolon India For Rupee</t>
  </si>
  <si>
    <t>15.01.2023</t>
  </si>
  <si>
    <t>ITW Consulting PVT. Ltd.</t>
  </si>
  <si>
    <t>02.01.2023</t>
  </si>
  <si>
    <t xml:space="preserve">Office Light Purchase </t>
  </si>
  <si>
    <t>Md Monir Hossain(November+December) Salary</t>
  </si>
  <si>
    <t>16.01.2023</t>
  </si>
  <si>
    <t>Popup (Tanveer Khan )</t>
  </si>
  <si>
    <t>Office Expenses</t>
  </si>
  <si>
    <t>Dipak Chandra Das, December Salary-2022</t>
  </si>
  <si>
    <t>25.01.2025</t>
  </si>
  <si>
    <t xml:space="preserve">Transport For Camera Bag </t>
  </si>
  <si>
    <t>Md Rezaul Karim, December Salary-2022</t>
  </si>
  <si>
    <t xml:space="preserve">Picture Print </t>
  </si>
  <si>
    <t>Rabiul Islam Rabin, December Salary-2022</t>
  </si>
  <si>
    <t>Rezaul Karim (Waki Taki)</t>
  </si>
  <si>
    <t>Transport for P2 Card Reeder</t>
  </si>
  <si>
    <t>Md Sajib, December Salary-2022</t>
  </si>
  <si>
    <t>Aminul Haque Khan</t>
  </si>
  <si>
    <t>03.01.2022</t>
  </si>
  <si>
    <t>Office water Bill</t>
  </si>
  <si>
    <t>Al Amin Akon Pranto, December Salary-2022</t>
  </si>
  <si>
    <t>29.01.2023</t>
  </si>
  <si>
    <t>Md. Monir Hossain (PC Loan)</t>
  </si>
  <si>
    <t>Validity 25 Days</t>
  </si>
  <si>
    <t xml:space="preserve">A4 Tech Mouse 3Pcs </t>
  </si>
  <si>
    <t>Md Zahidul Islam Sajib, October Salary-2022</t>
  </si>
  <si>
    <t xml:space="preserve">Total Received Amount </t>
  </si>
  <si>
    <t>Office Rent, January-2023</t>
  </si>
  <si>
    <t>Transport (Office-Fakirapol)</t>
  </si>
  <si>
    <t xml:space="preserve">Press Printing </t>
  </si>
  <si>
    <t>24.01.2023</t>
  </si>
  <si>
    <t>Carnival Internet, January-2023</t>
  </si>
  <si>
    <t>Transport (Office-Moghbazar)</t>
  </si>
  <si>
    <t>Camera Bag</t>
  </si>
  <si>
    <t>18.01.2023</t>
  </si>
  <si>
    <t>Wages Bill</t>
  </si>
  <si>
    <t>Transport (Office-Banani)</t>
  </si>
  <si>
    <t>Electricity Bill</t>
  </si>
  <si>
    <t>04.01.2023</t>
  </si>
  <si>
    <t>Venue Visit Transport</t>
  </si>
  <si>
    <t xml:space="preserve">Babu Transport for PTZ </t>
  </si>
  <si>
    <t>Total Fixed Cost In January-2023</t>
  </si>
  <si>
    <t>05.01.2023</t>
  </si>
  <si>
    <t>Gulshan Event Expenses</t>
  </si>
  <si>
    <t>Total Vendor Bill Due Upto 31st December 2022</t>
  </si>
  <si>
    <t xml:space="preserve">Md. Rezaul Karim Advance </t>
  </si>
  <si>
    <t>Descripation</t>
  </si>
  <si>
    <t>Classic Media (Md. Monirul Islam)</t>
  </si>
  <si>
    <t>Transport (Mirpur Stadium)</t>
  </si>
  <si>
    <t>Pranto</t>
  </si>
  <si>
    <t>IRIS Media (kamal Hossain)</t>
  </si>
  <si>
    <t>08.01.2023</t>
  </si>
  <si>
    <t>Project Expenses_Pix-230100001</t>
  </si>
  <si>
    <t>Pixpower (Camera)</t>
  </si>
  <si>
    <t>57600 Paid</t>
  </si>
  <si>
    <t>Project Expenses_Pix-230100002</t>
  </si>
  <si>
    <t>Mohammed Shamu (Jamuna Television)</t>
  </si>
  <si>
    <t>Camera Bag 3 Pcs</t>
  </si>
  <si>
    <t>Tushar Rahman</t>
  </si>
  <si>
    <t>Md. Mahin (Tahsin) Video Editor</t>
  </si>
  <si>
    <t>09.01.2023</t>
  </si>
  <si>
    <t>Akash DTH Bill January 2023</t>
  </si>
  <si>
    <t>Total Amount (Vendor Due Bill)</t>
  </si>
  <si>
    <t>New producet Purchase &amp; Transport</t>
  </si>
  <si>
    <t>Office Room Hiter</t>
  </si>
  <si>
    <t>Total Client Bill Due Upto 31st December 2022</t>
  </si>
  <si>
    <t>Transport (Classic Media)</t>
  </si>
  <si>
    <t>Real Impact (Converter+Rabin Working Bill)</t>
  </si>
  <si>
    <t>Mirpur Stadium Transport &amp; Other's</t>
  </si>
  <si>
    <t>Md. Aminul Haque Khan</t>
  </si>
  <si>
    <t>11.01.2023</t>
  </si>
  <si>
    <t>Daraz Pracel</t>
  </si>
  <si>
    <t>Total Amount (Client Due Bill)</t>
  </si>
  <si>
    <t>12.01.2022</t>
  </si>
  <si>
    <t>Transport for Cheque Collection</t>
  </si>
  <si>
    <t>Md Monir Hossain(November+December) Salary 2022</t>
  </si>
  <si>
    <t>Headphone Purchase 9 Pcs</t>
  </si>
  <si>
    <t xml:space="preserve">4 Pcs Battery </t>
  </si>
  <si>
    <t>Pix Power Camera Bill November 2022 (60%)</t>
  </si>
  <si>
    <t xml:space="preserve">Al-Mamun Akon </t>
  </si>
  <si>
    <t>Office Stationery</t>
  </si>
  <si>
    <t xml:space="preserve">Advance </t>
  </si>
  <si>
    <t>CNG for Camera Bag</t>
  </si>
  <si>
    <t>Emrul Kayes (Camera Due Payment)</t>
  </si>
  <si>
    <t xml:space="preserve">Transport for Camera Bag Repairing </t>
  </si>
  <si>
    <t>17.01.2023</t>
  </si>
  <si>
    <t>Rabin+Rezaul  Transport</t>
  </si>
  <si>
    <t xml:space="preserve">Prince </t>
  </si>
  <si>
    <t>Dinner Office Staff</t>
  </si>
  <si>
    <t>Cat 6 Cable for Talkback</t>
  </si>
  <si>
    <t xml:space="preserve">DV Pin </t>
  </si>
  <si>
    <t>5 Pin XLR Connector</t>
  </si>
  <si>
    <t>Project Expenses_Pix-230100003</t>
  </si>
  <si>
    <t>Project Expenses_Pix-230100004</t>
  </si>
  <si>
    <t>22.01.2023</t>
  </si>
  <si>
    <t>Dolon India for Rupee</t>
  </si>
  <si>
    <t>MD. Monir Hossain (India Expenses)</t>
  </si>
  <si>
    <t>Dipak Chandra Das, Office Mobile Bill</t>
  </si>
  <si>
    <t>Blackmagic Decklink Duo 2 (4 Input)</t>
  </si>
  <si>
    <t>Momi Enterprise</t>
  </si>
  <si>
    <t>23.01.2023</t>
  </si>
  <si>
    <t>Motivational Training</t>
  </si>
  <si>
    <t>Washroom Adjust Fan</t>
  </si>
  <si>
    <t>Carnival Internet Bill, January 2023</t>
  </si>
  <si>
    <t>25.01.2023</t>
  </si>
  <si>
    <t>Office Electricity</t>
  </si>
  <si>
    <t>Project Expenses_Pix-230100005</t>
  </si>
  <si>
    <t>Project Expenses_Pix-230100006</t>
  </si>
  <si>
    <t>Av Matrix Capture Card</t>
  </si>
  <si>
    <t xml:space="preserve">Bag </t>
  </si>
  <si>
    <t>Project Expenses_Pix-230100007</t>
  </si>
  <si>
    <t>Store Lock Purchase</t>
  </si>
  <si>
    <t>Panasonic AJ-PCD20</t>
  </si>
  <si>
    <t>Due 20000</t>
  </si>
  <si>
    <t>P2 Card Reeder</t>
  </si>
  <si>
    <t>Suderban Courier Service</t>
  </si>
  <si>
    <t>USB3.0 Cable</t>
  </si>
  <si>
    <t xml:space="preserve">Mulimart </t>
  </si>
  <si>
    <t>Havit Fabric Protable Bluetooth Speaker SK835BT</t>
  </si>
  <si>
    <t>Control Data System</t>
  </si>
  <si>
    <t>New PC Build For Vmix</t>
  </si>
  <si>
    <t>Transport (Md. Zahidul Islam Sajib)</t>
  </si>
  <si>
    <t>4 Person</t>
  </si>
  <si>
    <t>30.01.2023</t>
  </si>
  <si>
    <t xml:space="preserve">Meeting Transport &amp; Food </t>
  </si>
  <si>
    <t>Samsung 970EVO plus 1TB NVMe M.2 SSD</t>
  </si>
  <si>
    <t>Transport (Md. Rezaul Karim)</t>
  </si>
  <si>
    <t xml:space="preserve">Office to Multiplan </t>
  </si>
  <si>
    <t xml:space="preserve">Tools Purchase </t>
  </si>
  <si>
    <t>31.01.2023</t>
  </si>
  <si>
    <t>Switch (3Pcs) &amp; Router (1Pcs)</t>
  </si>
  <si>
    <t>Due 10000</t>
  </si>
  <si>
    <t>A4 Tech Keyboard</t>
  </si>
  <si>
    <t>Md. Sajib Advance Salary, January-2023</t>
  </si>
  <si>
    <t>Orico BTA-403 Bluetooth USB Adapter 4.0</t>
  </si>
  <si>
    <t>MID 530 (Contact Cleaner )</t>
  </si>
  <si>
    <t>Total Expenses Upto (31.01.2023)</t>
  </si>
  <si>
    <t>Cash In History In February 2023</t>
  </si>
  <si>
    <t xml:space="preserve">Transport for New Purchase Bag </t>
  </si>
  <si>
    <t>06.02.2023</t>
  </si>
  <si>
    <t>Real Impact Pvt. Ltd</t>
  </si>
  <si>
    <t>PSI_230100001</t>
  </si>
  <si>
    <t xml:space="preserve">2Pin Socket With Box </t>
  </si>
  <si>
    <t>Project Expenses_Pix-230200001</t>
  </si>
  <si>
    <t>Office Water Bill</t>
  </si>
  <si>
    <t>Office Fixed Cost In February-2023</t>
  </si>
  <si>
    <t>Tsports (UPS Bill)</t>
  </si>
  <si>
    <t>13.02.2023</t>
  </si>
  <si>
    <t>Project Expenses_Pix-230200002</t>
  </si>
  <si>
    <t>Md Monir Hossain, (Salary+Mobile Bill), January-2023</t>
  </si>
  <si>
    <t xml:space="preserve">EBL Bank </t>
  </si>
  <si>
    <t>Office Staff Mobile Bill</t>
  </si>
  <si>
    <t>Dipak Chandra Das, Salary January-2023</t>
  </si>
  <si>
    <t>Transport (Spellbound &amp; Other's)</t>
  </si>
  <si>
    <t>Md. Rezaul Karim, Salary January-2023</t>
  </si>
  <si>
    <t>Talkback Bag Makeing (Purchase )</t>
  </si>
  <si>
    <t>Rabiul Islam Rabin, Salary January-2023</t>
  </si>
  <si>
    <t xml:space="preserve">Spellbound Leo Burnett </t>
  </si>
  <si>
    <t>Transport (Office to Shyamoli )</t>
  </si>
  <si>
    <t xml:space="preserve">P2 Camera </t>
  </si>
  <si>
    <t>Md. Sajib, Salary January-2023</t>
  </si>
  <si>
    <t>Transport (Office to Malibagh)</t>
  </si>
  <si>
    <t xml:space="preserve">P2 Footage </t>
  </si>
  <si>
    <t>Al Amin Akon Pranto, Salary January-2023</t>
  </si>
  <si>
    <t>Transport (Office to Gulshan)</t>
  </si>
  <si>
    <t xml:space="preserve">PTZ Camera </t>
  </si>
  <si>
    <t>Hridoy Sarkar, Salary January-2023</t>
  </si>
  <si>
    <t>26.02.2023</t>
  </si>
  <si>
    <t>Office Expenses &amp; Dinner</t>
  </si>
  <si>
    <t>Office Rent, February-2023</t>
  </si>
  <si>
    <t>28.02.2023</t>
  </si>
  <si>
    <t>Transport Md. Sajib</t>
  </si>
  <si>
    <t>Carnival Internet, February-2023</t>
  </si>
  <si>
    <t>Total Received Amount</t>
  </si>
  <si>
    <t>PC Repair</t>
  </si>
  <si>
    <t>Total Fixed Cost In February-2023</t>
  </si>
  <si>
    <t>12.02.2023</t>
  </si>
  <si>
    <t>Project Expenses_Pix-230200003</t>
  </si>
  <si>
    <t>Project Expenses_Pix-230200004</t>
  </si>
  <si>
    <t>Total Vendor Bill Due Upto 31st January-2023</t>
  </si>
  <si>
    <t>Project Expenses_Pix-230200005</t>
  </si>
  <si>
    <t>Project Expenses_Pix-230200006</t>
  </si>
  <si>
    <t>Due-8450</t>
  </si>
  <si>
    <t>Next Level</t>
  </si>
  <si>
    <t xml:space="preserve">Office Expenses </t>
  </si>
  <si>
    <t>Mohammed Shamu (2Pcs Battery &amp; Charger)</t>
  </si>
  <si>
    <t>Tripod Payment India</t>
  </si>
  <si>
    <t>Office Accessories (Floor, Masking &amp; Electrical Tape)</t>
  </si>
  <si>
    <t>Emrul Kayes (Vmix PC Bill)</t>
  </si>
  <si>
    <t>14.02.2023</t>
  </si>
  <si>
    <t>Emrul Kayes (P2 Card Reeder Bill)</t>
  </si>
  <si>
    <t>Emrul Kayes (Camera Due Bill)</t>
  </si>
  <si>
    <t>15.02.2023</t>
  </si>
  <si>
    <t>Al Mamun Akon (December-2022, Commission-60%)</t>
  </si>
  <si>
    <t>Al Mamun Akon (January-2023, Commission-60%)</t>
  </si>
  <si>
    <t>Total Due</t>
  </si>
  <si>
    <t>Office Cleaning Wages</t>
  </si>
  <si>
    <t>Pix Power Camera Bill November-2022 Commission-40%</t>
  </si>
  <si>
    <t>Pix Power Camera Bill December-2022 Commission-40%</t>
  </si>
  <si>
    <t>Pix Power Camera Bill January-2023 Commission-40%</t>
  </si>
  <si>
    <t xml:space="preserve">Total Due </t>
  </si>
  <si>
    <t>Md. Monir Hossain Loan for New PC purchase</t>
  </si>
  <si>
    <t xml:space="preserve">Dipak Chandra Das Loan for Offfice Expenses &amp; Purchase </t>
  </si>
  <si>
    <t>Monir Bhai Expenses for Real Impact</t>
  </si>
  <si>
    <t>Total Client Bill Due Upto 31st January-2023</t>
  </si>
  <si>
    <t>19.02.2023</t>
  </si>
  <si>
    <t>Meeting Expenses</t>
  </si>
  <si>
    <t>20.02.2023</t>
  </si>
  <si>
    <t xml:space="preserve">India Expenses </t>
  </si>
  <si>
    <t>Real Impact (BPL-2023)</t>
  </si>
  <si>
    <t>Tanzim Ahmed Bijoy</t>
  </si>
  <si>
    <t>Project Expenses_Pix-230200010</t>
  </si>
  <si>
    <t>Team Sports (Tarik Shahariwar)</t>
  </si>
  <si>
    <t xml:space="preserve">Office Dinner </t>
  </si>
  <si>
    <t>Project Expenses_Pix-230200011</t>
  </si>
  <si>
    <t xml:space="preserve">Tripod Bill Due Payment </t>
  </si>
  <si>
    <t>SRS Ali Gift</t>
  </si>
  <si>
    <t>Pandy Gift (India)</t>
  </si>
  <si>
    <t>PC Payment (Md. Monir Hossain)</t>
  </si>
  <si>
    <t xml:space="preserve">PIx Power TIN </t>
  </si>
  <si>
    <t>Akaso Brave 7 (Camera Bazar)</t>
  </si>
  <si>
    <t>Mime Internet New Connection</t>
  </si>
  <si>
    <t>Unbalanced Cash (31.01.2023)</t>
  </si>
  <si>
    <t>26.02.2027</t>
  </si>
  <si>
    <t xml:space="preserve">Office Expesnes </t>
  </si>
  <si>
    <t>Project Expenses_Pix-230200014</t>
  </si>
  <si>
    <t xml:space="preserve">Power Strip Making </t>
  </si>
  <si>
    <t>Meeting Transport</t>
  </si>
  <si>
    <t>P2 Card Reeder Due Payment</t>
  </si>
  <si>
    <t xml:space="preserve">Md. Rezaul Karim Advance Salary </t>
  </si>
  <si>
    <t>Project Expenses_Pix-230200015</t>
  </si>
  <si>
    <t>Meeting Transport &amp; Other's Expenses</t>
  </si>
  <si>
    <t>Mohammed Shamu (Jamuna Television) Due Bill</t>
  </si>
  <si>
    <t>Fiber splicing</t>
  </si>
  <si>
    <t>Cash In History In March 2023</t>
  </si>
  <si>
    <t>01.03.2023</t>
  </si>
  <si>
    <t>02.03.2023</t>
  </si>
  <si>
    <t>Office Expenses, Meeting &amp; Transport</t>
  </si>
  <si>
    <t>23.03.2023</t>
  </si>
  <si>
    <t>Project Expenses_Pix-230300001</t>
  </si>
  <si>
    <t>Office Fixed Cost In March-2023</t>
  </si>
  <si>
    <t>30.03.2023</t>
  </si>
  <si>
    <t xml:space="preserve">Room Cleaning </t>
  </si>
  <si>
    <t>Md Monir Hossain, (Salary+Mobile Bill) February-2023</t>
  </si>
  <si>
    <t>Tripod Rabar</t>
  </si>
  <si>
    <t>17.03.2023</t>
  </si>
  <si>
    <t>Dipak Chandra Das (Salary+Mobile Bill) February-2023</t>
  </si>
  <si>
    <t>05.03.2023</t>
  </si>
  <si>
    <t>Power Strip 4Port</t>
  </si>
  <si>
    <t>Md. Rezaul Karim, Salary Febuary-2023</t>
  </si>
  <si>
    <t>loan installment 2000 Due 8000</t>
  </si>
  <si>
    <t>Rabiul Islam Rabin, Salary February-2023</t>
  </si>
  <si>
    <t xml:space="preserve">Meeting Transport </t>
  </si>
  <si>
    <t>Hridoy Sarkar, Salary February-2023</t>
  </si>
  <si>
    <t>16.03.2023</t>
  </si>
  <si>
    <t>Office Rent, March-2023</t>
  </si>
  <si>
    <t>Mime Internet Bill March-2023</t>
  </si>
  <si>
    <t>06.03.2023</t>
  </si>
  <si>
    <t xml:space="preserve">New Laptop Purchase </t>
  </si>
  <si>
    <t>Comfort Technology</t>
  </si>
  <si>
    <t>Transport,Lunch &amp; Evening Snacks</t>
  </si>
  <si>
    <t>Real Impact Production</t>
  </si>
  <si>
    <t xml:space="preserve">Md. Monir Bhai </t>
  </si>
  <si>
    <t>Total Fixed Cost In March-2023</t>
  </si>
  <si>
    <t>07.03.2023</t>
  </si>
  <si>
    <t>Venue Visit, Transport &amp; Food</t>
  </si>
  <si>
    <t>Project Expenses_Pix-230300002</t>
  </si>
  <si>
    <t>Total Vendor Bill Due Upto 28th February-2023</t>
  </si>
  <si>
    <t>Md. Rezaul Karim Advance Salary March-2023</t>
  </si>
  <si>
    <t>Mohammed Shamu (Jamuna Television) Old Due</t>
  </si>
  <si>
    <t>Project Expenses_Pix-230300003</t>
  </si>
  <si>
    <t>300 Dinner Bill</t>
  </si>
  <si>
    <t>Project Expenses_Pix-230300006</t>
  </si>
  <si>
    <t>Office Rent March 2023</t>
  </si>
  <si>
    <t>1Lac Payment by Monir Bhai</t>
  </si>
  <si>
    <t xml:space="preserve">Office Rack Advance </t>
  </si>
  <si>
    <t>Al Mamun Akon (February-2023, Commission-60%)</t>
  </si>
  <si>
    <t>Office Expenses (Lunch &amp; Evening Snacks)</t>
  </si>
  <si>
    <t>Pix Power Camera Bill February-2023 Commission-40%</t>
  </si>
  <si>
    <t>Project Expenses_Pix-230300009</t>
  </si>
  <si>
    <t>Indian Camera Crew (Ayon)</t>
  </si>
  <si>
    <t>20.03.2023</t>
  </si>
  <si>
    <t>Hridoy Transport</t>
  </si>
  <si>
    <t>Project Expenses_Pix-230300012</t>
  </si>
  <si>
    <t>Paid 5000</t>
  </si>
  <si>
    <t xml:space="preserve">Laptop Bill </t>
  </si>
  <si>
    <t>Bill Collection Transport</t>
  </si>
  <si>
    <t>Pureit</t>
  </si>
  <si>
    <t xml:space="preserve">Datavideo Beltpack, Tally Light &amp; Cable </t>
  </si>
  <si>
    <t>Mime Internet Bill, March 2023</t>
  </si>
  <si>
    <t>Business Card (Introcard Ltd)</t>
  </si>
  <si>
    <t>Total Client Bill Due Upto 28th February-2023</t>
  </si>
  <si>
    <t xml:space="preserve">Classic Media Due Payment </t>
  </si>
  <si>
    <t>25.03.2023</t>
  </si>
  <si>
    <t>26.03.2023</t>
  </si>
  <si>
    <t>27.03.2023</t>
  </si>
  <si>
    <t>28.03.2023</t>
  </si>
  <si>
    <t>29.03.2023</t>
  </si>
  <si>
    <t>Office Expenese</t>
  </si>
  <si>
    <t>Emrul Kaysar (Sim Bonding Device)</t>
  </si>
  <si>
    <t>Total Expenses in March-2023</t>
  </si>
  <si>
    <t>Cash In History In April 2023</t>
  </si>
  <si>
    <t>02.04.2023</t>
  </si>
  <si>
    <t>Electricity Bill, April 2023</t>
  </si>
  <si>
    <t>01.04.2023</t>
  </si>
  <si>
    <t>19.04.2023</t>
  </si>
  <si>
    <t>03.04.2023</t>
  </si>
  <si>
    <t>Office Expenses (Lunch)</t>
  </si>
  <si>
    <t xml:space="preserve">Spellbound Due Received </t>
  </si>
  <si>
    <t>Md Rezaul Karim Advance Salary, April 2023</t>
  </si>
  <si>
    <t>Office Fixed Cost In April-2023</t>
  </si>
  <si>
    <t xml:space="preserve">Office Cleaning </t>
  </si>
  <si>
    <t>24.04.2023</t>
  </si>
  <si>
    <t>Md Monir Hossain,(Salary+Mobile Bill) February &amp; March-2023</t>
  </si>
  <si>
    <t>Dipak Chandra Das (Salary+Mobile Bill) March-2023</t>
  </si>
  <si>
    <t>04.04.2023</t>
  </si>
  <si>
    <t>Md. Rezaul Karim (Salary + Mobile Bill) March -2023</t>
  </si>
  <si>
    <t>loan installment 2000 Due 6000</t>
  </si>
  <si>
    <t>05.04.2023</t>
  </si>
  <si>
    <t>Rabiul Islam Rabin (Salary + Mobile Bill) March-2023</t>
  </si>
  <si>
    <t>06.04.2023</t>
  </si>
  <si>
    <t>Office Expenses (Lunch, Dinner &amp; Meeting)</t>
  </si>
  <si>
    <t>Hridoy Sarkar (Salary + Mobile Bill) March-2023</t>
  </si>
  <si>
    <t>09.04.2023</t>
  </si>
  <si>
    <t>Office Expenses (Lunch &amp; Meeting)</t>
  </si>
  <si>
    <t>Rakib Sikder (Salary + Mobile Bill) March-2023</t>
  </si>
  <si>
    <t>10.04.2023</t>
  </si>
  <si>
    <t>Office Water Bill, March 2023</t>
  </si>
  <si>
    <t>Hridoy Sarkar Salary, March 2023</t>
  </si>
  <si>
    <t>11.04.2023</t>
  </si>
  <si>
    <t>12.04.2023</t>
  </si>
  <si>
    <t>13.04.2023</t>
  </si>
  <si>
    <t>16.04.2023</t>
  </si>
  <si>
    <t>Festival Bonus Eid-2023</t>
  </si>
  <si>
    <t xml:space="preserve">Md Monir Hossain </t>
  </si>
  <si>
    <t>18.04.2023</t>
  </si>
  <si>
    <t>Mirajul</t>
  </si>
  <si>
    <t>Dipak Chandra Das</t>
  </si>
  <si>
    <t>Md. Rezaul Karim</t>
  </si>
  <si>
    <t>Office Expenses (Bank)</t>
  </si>
  <si>
    <t>Rabiul Islam Rabin</t>
  </si>
  <si>
    <t>paid</t>
  </si>
  <si>
    <t xml:space="preserve">Hridoy Sarkar </t>
  </si>
  <si>
    <t>Al Amin Akon Pranto Due Payment</t>
  </si>
  <si>
    <t>Rakib Sikder</t>
  </si>
  <si>
    <t>Metting Transport (Monir Bhai )</t>
  </si>
  <si>
    <t xml:space="preserve">Cameraman Indian </t>
  </si>
  <si>
    <t>Other's Expensese (Monir Bhai)</t>
  </si>
  <si>
    <t>Total Client Bill Due Upto 31st March-2023</t>
  </si>
  <si>
    <t>Office Cleaning Eid Bouns</t>
  </si>
  <si>
    <t>Cheque Received (Brac Bank)</t>
  </si>
  <si>
    <t>Tsports (Sylhet+InterContinental)</t>
  </si>
  <si>
    <t>Datavideo Beltpack, Tally Light ,Cable &amp; light Huk</t>
  </si>
  <si>
    <t>Nipu Das</t>
  </si>
  <si>
    <t>Wahiduzzaman Sohel</t>
  </si>
  <si>
    <t>Waki Taki Bill (Babu Somoy TV)</t>
  </si>
  <si>
    <t>Total Vendor Bill Due Upto 31st March-2023</t>
  </si>
  <si>
    <t>Mojibur Rahman Camera Crane</t>
  </si>
  <si>
    <t>Arifur Rahman</t>
  </si>
  <si>
    <t>Md Monir Hossain, festival bonus 2023</t>
  </si>
  <si>
    <t>Dipak Chandra Das, festival bonus 2023</t>
  </si>
  <si>
    <t>Md. Rezaul Karim, festival bonus 2023</t>
  </si>
  <si>
    <t>Rabiul Islam Rabin, festival bonus 2023</t>
  </si>
  <si>
    <t>Al Mamun Akon (March-2023, Commission-60%)</t>
  </si>
  <si>
    <t>Projcect Expenses</t>
  </si>
  <si>
    <t>29.04.2023</t>
  </si>
  <si>
    <t>Pix Power Camera Bill March-2023 Commission-40%</t>
  </si>
  <si>
    <t>30.04.2023</t>
  </si>
  <si>
    <t xml:space="preserve">Md. Monir Hossain Camera Payment </t>
  </si>
  <si>
    <t xml:space="preserve">Office CurtainAdvance </t>
  </si>
  <si>
    <t xml:space="preserve">Total Expenses Amount </t>
  </si>
  <si>
    <t>Datavideo Beltpack, Tally Light ,Cable  &amp; light Huk</t>
  </si>
  <si>
    <t>Lasker Mohammad Ashraf (Rabin) Jamuna TV</t>
  </si>
  <si>
    <t>Cash In History In May 2023</t>
  </si>
  <si>
    <t>06.05.2023</t>
  </si>
  <si>
    <t>01.05.2023</t>
  </si>
  <si>
    <t>Electricity Bill-May 2023</t>
  </si>
  <si>
    <t>Office Expenses (Dinner &amp; Transport)</t>
  </si>
  <si>
    <t>02.05.2023</t>
  </si>
  <si>
    <t>Office Expenses (Lunch &amp; Evening Snacks, Dinner &amp; Transport)</t>
  </si>
  <si>
    <t xml:space="preserve">Project Expenses </t>
  </si>
  <si>
    <t>Office Fixed Cost In May-2023</t>
  </si>
  <si>
    <t>04.05.2023</t>
  </si>
  <si>
    <t>Md Monir Hossain,(Salary+Mobile Bill) February, March &amp; April-2023</t>
  </si>
  <si>
    <t>Transport for Computer Repair</t>
  </si>
  <si>
    <t>Dipak Chandra Das (Salary+Mobile Bill) March &amp; April-2023</t>
  </si>
  <si>
    <t>Md. Rezaul Karim (Salary + Mobile Bill) April -2023</t>
  </si>
  <si>
    <t>Rabiul Islam Rabin (Salary + Mobile Bill) April-2023</t>
  </si>
  <si>
    <t xml:space="preserve">RFL </t>
  </si>
  <si>
    <t>Hridoy Sarkar (Salary + Mobile Bill) April-2023</t>
  </si>
  <si>
    <t>Md. Rezaul Karim Advance Salary, May 2023</t>
  </si>
  <si>
    <t>Rakib Sikder (Salary + Mobile Bill) April-2023</t>
  </si>
  <si>
    <t>Office Rent, May-2023</t>
  </si>
  <si>
    <t>Mime Internet Bill May-2023</t>
  </si>
  <si>
    <t>Total Fixed Cost In May-2023</t>
  </si>
  <si>
    <t>Project Expenses_Pix-230500003</t>
  </si>
  <si>
    <t>Upto 16th May</t>
  </si>
  <si>
    <t>Total Client Bill Due Upto 30th April-2023</t>
  </si>
  <si>
    <t xml:space="preserve">Blackmagic Camera Repair Bill Payment </t>
  </si>
  <si>
    <t>18.05.2023</t>
  </si>
  <si>
    <t>Office Expenses  (Accessories &amp; HDMI Splitter)</t>
  </si>
  <si>
    <t>Project Expenses_Pix-230500004</t>
  </si>
  <si>
    <t>Upto 31st MAy</t>
  </si>
  <si>
    <t>Mime Internet Bill May 2023</t>
  </si>
  <si>
    <t>V2replay midi para repeticiones en Vmix</t>
  </si>
  <si>
    <t>Office Rent, May 2023</t>
  </si>
  <si>
    <t xml:space="preserve">Camera Power Supply </t>
  </si>
  <si>
    <t>Al Mamun Akon (April-2023, Commission-60%)</t>
  </si>
  <si>
    <t>Total Vendor Bill Due Upto 30th April-2023</t>
  </si>
  <si>
    <t>Al Mamun Akon (May-2023, Commission-60%)</t>
  </si>
  <si>
    <t xml:space="preserve">Dipak Chandra Das Advance </t>
  </si>
  <si>
    <t>Project Expenses_Pix-230500005</t>
  </si>
  <si>
    <t xml:space="preserve">Md. Monir Hossain Transport &amp; Other's </t>
  </si>
  <si>
    <t>Washim Akram Advance</t>
  </si>
  <si>
    <t>Pix Power Camera Bill April-2023 Commission-40%</t>
  </si>
  <si>
    <t>Cash In History In June 2023</t>
  </si>
  <si>
    <t>Project Expenses_Pix-230600001</t>
  </si>
  <si>
    <t>27.06.2023</t>
  </si>
  <si>
    <t>Bank</t>
  </si>
  <si>
    <t>Rotary Club Dhaka</t>
  </si>
  <si>
    <t>Pix-220900007</t>
  </si>
  <si>
    <t xml:space="preserve">Office Water Bill </t>
  </si>
  <si>
    <t xml:space="preserve">DHL Payment </t>
  </si>
  <si>
    <t>Spellbound Leo Burnett  (IFC)</t>
  </si>
  <si>
    <t>Project Expenses_Pix-230600002</t>
  </si>
  <si>
    <t>Office Fixed Cost In June-2023</t>
  </si>
  <si>
    <t>Project Expenses_Pix-230600003</t>
  </si>
  <si>
    <t>Project Expenses_Pix-230600004</t>
  </si>
  <si>
    <t>Md Monir Hossain,(Salary+Mobile Bill) February, March, April &amp; May-2023</t>
  </si>
  <si>
    <t xml:space="preserve">Entertainment Cost  for Event </t>
  </si>
  <si>
    <t>Dipak Chandra Das (Salary+Mobile Bill) March , April &amp; May-2023</t>
  </si>
  <si>
    <t>Spellbound Leo Burnett  (Access Bangladesh_World Bank)</t>
  </si>
  <si>
    <t xml:space="preserve">Equipment Bill for Camra Monir Bhai </t>
  </si>
  <si>
    <t>Rajib Singha (Salary+Mobile Bill) May 2023</t>
  </si>
  <si>
    <t>Office Expenses (Sugar &amp; Tea Bag)</t>
  </si>
  <si>
    <t>Md. Rezaul Karim (Salary + Mobile Bill) May -2023</t>
  </si>
  <si>
    <t>Rabiul Islam Rabin (Salary + Mobile Bill) May-2023</t>
  </si>
  <si>
    <t>Hridoy Sarkar (Salary + Mobile Bill) May-2023</t>
  </si>
  <si>
    <t>Spellbound Leo Burnett  (Due Bill)</t>
  </si>
  <si>
    <t>Rakib Sikder (Salary + Mobile Bill) May-2023</t>
  </si>
  <si>
    <t>28.06.2023</t>
  </si>
  <si>
    <t>Mime Internet Bill June-2023</t>
  </si>
  <si>
    <t xml:space="preserve">Washim Akram Transport Bill </t>
  </si>
  <si>
    <t>Electricity Bill-June 2023</t>
  </si>
  <si>
    <t xml:space="preserve">Syed Alamin Transport Bill </t>
  </si>
  <si>
    <t>Room Zaman Transport Bill</t>
  </si>
  <si>
    <t xml:space="preserve">Washim Akram _DNCC Mayor Cup Monthly Salary </t>
  </si>
  <si>
    <t xml:space="preserve">Syed Alamin_DNCC Mayor Cup Monthly Salary </t>
  </si>
  <si>
    <t xml:space="preserve">Room Zaman _DNCC Mayor Cup Monthly Salary </t>
  </si>
  <si>
    <t>Total Client Bill Due Upto 31st May-2023</t>
  </si>
  <si>
    <t xml:space="preserve">MD. Joynal_FBCCI 50 Years Due Payment </t>
  </si>
  <si>
    <t>Office Rent, June-2023</t>
  </si>
  <si>
    <t>Vaivhav India GFX</t>
  </si>
  <si>
    <t>Project Expenses_Pix-230600005</t>
  </si>
  <si>
    <t>Project Expenses_Pix-230600006</t>
  </si>
  <si>
    <t>Project Expenses_Pix-230600007</t>
  </si>
  <si>
    <t>Project Expenses_Pix-230600008</t>
  </si>
  <si>
    <t>Soft Fiber &amp; fiber splicing</t>
  </si>
  <si>
    <t>Project Expenses_Pix-230600009</t>
  </si>
  <si>
    <t>Total Vendor Bill Due Upto 31st May-2023</t>
  </si>
  <si>
    <t>Office Expeneses</t>
  </si>
  <si>
    <t>Project Expenses_Pix-230600012</t>
  </si>
  <si>
    <t>23.06.2023</t>
  </si>
  <si>
    <t>Meeting transport</t>
  </si>
  <si>
    <t>Electricity bill-June 2023</t>
  </si>
  <si>
    <t xml:space="preserve">Office Internet Bill </t>
  </si>
  <si>
    <t xml:space="preserve">Rajib Singha Eid Bonus </t>
  </si>
  <si>
    <t xml:space="preserve">Md. Rezaul Karim Eid Bonus </t>
  </si>
  <si>
    <t>Datavideo Beltpack, Tally Light ,Cable, light Huk &amp; Headphone</t>
  </si>
  <si>
    <t>Rabiul Islam Rabin Eid Bonus 2023</t>
  </si>
  <si>
    <t xml:space="preserve">Hridoy Sarkar Eid Bonus </t>
  </si>
  <si>
    <t xml:space="preserve">Rakib Sikder Eid Bonus </t>
  </si>
  <si>
    <t xml:space="preserve">Med Yousf Harun Office Advanc </t>
  </si>
  <si>
    <t>Accessories (Md. Rezaul Karim )</t>
  </si>
  <si>
    <t>Shanti Das</t>
  </si>
  <si>
    <t>DNCC Mayor Cup 2023 Crew Payment Histroy</t>
  </si>
  <si>
    <t>Transport 1000</t>
  </si>
  <si>
    <t>Advance 20000</t>
  </si>
  <si>
    <t xml:space="preserve">Room Zaman </t>
  </si>
  <si>
    <t>Transport 1300</t>
  </si>
  <si>
    <t>Cash In History In July 2023</t>
  </si>
  <si>
    <t>Monir Bhai</t>
  </si>
  <si>
    <t>02.07.2023</t>
  </si>
  <si>
    <t xml:space="preserve">Cash Withdrawal from EBL </t>
  </si>
  <si>
    <t xml:space="preserve">Rom Zaman DNCC Mayor Cup Due Payment </t>
  </si>
  <si>
    <t>01.07.2023</t>
  </si>
  <si>
    <t>Equipment Purcash</t>
  </si>
  <si>
    <t xml:space="preserve">Cash Withdrawal from EBL for Office Purpose </t>
  </si>
  <si>
    <t xml:space="preserve">Dipak Chandra Das Due Salary </t>
  </si>
  <si>
    <t>Camera</t>
  </si>
  <si>
    <t>Office Due June 2023</t>
  </si>
  <si>
    <t>Crane</t>
  </si>
  <si>
    <t xml:space="preserve">Expenses </t>
  </si>
  <si>
    <t>05.07.2023</t>
  </si>
  <si>
    <t>Office Accessories</t>
  </si>
  <si>
    <t xml:space="preserve">Dinner &amp; Transport </t>
  </si>
  <si>
    <t>Office Fixed Cost In July-2023</t>
  </si>
  <si>
    <t xml:space="preserve">Total Received </t>
  </si>
  <si>
    <t>09.07.2023</t>
  </si>
  <si>
    <t>Payment</t>
  </si>
  <si>
    <t>11.07.2023</t>
  </si>
  <si>
    <t>Md Monir Hossain (Salary, Festival Bonus &amp; Mobile Bill) June-2023</t>
  </si>
  <si>
    <t>Dipak Chandra Das (Salary, Festival Bonus &amp; Mobile Bill) June-2023</t>
  </si>
  <si>
    <t>Rajib Singha (Salary+Mobile Bill) June 2023</t>
  </si>
  <si>
    <t xml:space="preserve">Titu </t>
  </si>
  <si>
    <t xml:space="preserve">Crickslab </t>
  </si>
  <si>
    <t>13.07.2023</t>
  </si>
  <si>
    <t xml:space="preserve">Client Meeting Transport </t>
  </si>
  <si>
    <t>Md. Rezaul Karim (Salary + Mobile Bill) June -2023</t>
  </si>
  <si>
    <t>Rom Zaman Mobile Bill Month of July 2023</t>
  </si>
  <si>
    <t>Rabiul Islam Rabin (Salary + Mobile Bill) June-2023</t>
  </si>
  <si>
    <t>16.07.2023</t>
  </si>
  <si>
    <t>Project Expenses_Pix-230700001</t>
  </si>
  <si>
    <t>Mojibur 2000</t>
  </si>
  <si>
    <t>Hridoy Sarkar (Salary + Mobile Bill) June-2023</t>
  </si>
  <si>
    <t>Rom Zaman Advance Salary July 2023</t>
  </si>
  <si>
    <t>Office Expenses  (Guest Lunch)</t>
  </si>
  <si>
    <t>Office Rent, July-2023</t>
  </si>
  <si>
    <t xml:space="preserve">Wages Bill </t>
  </si>
  <si>
    <t>26.07.2023</t>
  </si>
  <si>
    <t>Electricity Bill-July 2023</t>
  </si>
  <si>
    <t>10.07.2023</t>
  </si>
  <si>
    <t>Office Rent Month of July 2023</t>
  </si>
  <si>
    <t>Total Fixed Cost In July-2023</t>
  </si>
  <si>
    <t>Total Client Bill Due Upto June-2023</t>
  </si>
  <si>
    <t>Project Expenses_Pix-230700002</t>
  </si>
  <si>
    <t>Project Expenses_Pix-230700003</t>
  </si>
  <si>
    <t>24.07.2023</t>
  </si>
  <si>
    <t>Pix Power Bill</t>
  </si>
  <si>
    <t>Next Level Bill</t>
  </si>
  <si>
    <t>25.07.2023.</t>
  </si>
  <si>
    <t>Project Expenses_Pix-230700004</t>
  </si>
  <si>
    <t xml:space="preserve">Pix Power Total Due Bill </t>
  </si>
  <si>
    <t xml:space="preserve">Discount </t>
  </si>
  <si>
    <t>Net Due Bill</t>
  </si>
  <si>
    <t xml:space="preserve">Office Expenses Guest </t>
  </si>
  <si>
    <t xml:space="preserve">Payment </t>
  </si>
  <si>
    <t>Device Bill</t>
  </si>
  <si>
    <t>Project Expenses_Pix-230700006</t>
  </si>
  <si>
    <t xml:space="preserve">Rabin </t>
  </si>
  <si>
    <t>Project Expenses_Pix-230700005</t>
  </si>
  <si>
    <t>Total Vendor Bill Due Upto June-2023</t>
  </si>
  <si>
    <t>Crikslab (Total Bill 32550 Rupee)</t>
  </si>
  <si>
    <t>Al Manun Akon Rent Commission 60% (June 2023)</t>
  </si>
  <si>
    <t xml:space="preserve">Datavideo Recoder &amp; AJA Kona 3g </t>
  </si>
  <si>
    <t xml:space="preserve">Total Expenses </t>
  </si>
  <si>
    <t>Adjust Blackmagic Camera</t>
  </si>
  <si>
    <t xml:space="preserve">DNCC Mayor Cup 2023 Crew </t>
  </si>
  <si>
    <t>Cash In History In Augest  2023</t>
  </si>
  <si>
    <t>06.08.2023</t>
  </si>
  <si>
    <t>Project Expenses_Pix-230800001</t>
  </si>
  <si>
    <t>31.07.2023</t>
  </si>
  <si>
    <t xml:space="preserve">Loan from Md. Monir Hossain </t>
  </si>
  <si>
    <t>Wages Bill, August 2023</t>
  </si>
  <si>
    <t>Cash 2330</t>
  </si>
  <si>
    <t>Windmill Advertising Limited</t>
  </si>
  <si>
    <t xml:space="preserve">Bank </t>
  </si>
  <si>
    <t>Rabin 1580</t>
  </si>
  <si>
    <t>Office Cash 1085</t>
  </si>
  <si>
    <t xml:space="preserve">Cash </t>
  </si>
  <si>
    <t xml:space="preserve">Laptop Stand </t>
  </si>
  <si>
    <t>07.08.2023</t>
  </si>
  <si>
    <t>Office Expenses (Lunceh &amp; Evening Food)</t>
  </si>
  <si>
    <t>08.08.2023</t>
  </si>
  <si>
    <t>Office Fixed Cost In August-2023</t>
  </si>
  <si>
    <t xml:space="preserve">Meeting Transport &amp; Other's Expenses </t>
  </si>
  <si>
    <t>Md. Rezaul Karim Advance Salary, September 2023</t>
  </si>
  <si>
    <t>Md Monir Hossain (Salary, Festival Bonus &amp; Mobile Bill) June &amp; July-2023</t>
  </si>
  <si>
    <t>09.08.2023</t>
  </si>
  <si>
    <t>Rom Zaman Mobile Bill, August 2023</t>
  </si>
  <si>
    <t>Dipak Chandra Das (Salary, Festival Bonus &amp; Mobile Bill) June &amp; July-2023</t>
  </si>
  <si>
    <t>16.08.2023</t>
  </si>
  <si>
    <t>Rajib Singha (Salary+Mobile Bill) June &amp; July 2023</t>
  </si>
  <si>
    <t>Md. Rezaul Karim (Salary + Mobile Bill) July -2023</t>
  </si>
  <si>
    <t>Rabiul Islam Rabin (Salary + Mobile Bill) July-2023</t>
  </si>
  <si>
    <t>Electricity Bill, September 2023</t>
  </si>
  <si>
    <t>Hridoy Sarkar (Salary + Mobile Bill) July-2023</t>
  </si>
  <si>
    <t>Project Expenses_Pix-230800002</t>
  </si>
  <si>
    <t>Rom Zaman, Salary July 2023</t>
  </si>
  <si>
    <t>Rom Zaman Transport Bill</t>
  </si>
  <si>
    <t>Office Rent, August-2023</t>
  </si>
  <si>
    <t>13.08.2023</t>
  </si>
  <si>
    <t>Equipment Transport (Rampua to Office)</t>
  </si>
  <si>
    <t>Mime Internet Bill August-2023</t>
  </si>
  <si>
    <t>Electricity Bill-August 2023</t>
  </si>
  <si>
    <t>Washim Akram (DNC Due Payment &amp; FBCCI Event July 2023)</t>
  </si>
  <si>
    <t>Rajib Singha (Salary+Mobile Bill) June  2023</t>
  </si>
  <si>
    <t>Total Fixed Cost In August-2023</t>
  </si>
  <si>
    <t>Total Client Bill Due Upto July-2023</t>
  </si>
  <si>
    <t xml:space="preserve">Hridoy Transport for Spellbound </t>
  </si>
  <si>
    <t xml:space="preserve">Rabiul Islam Rabin  Transport for Tripod </t>
  </si>
  <si>
    <t>20.08.2023</t>
  </si>
  <si>
    <t xml:space="preserve">Emrul Kayes Bhai Camera </t>
  </si>
  <si>
    <t>23.08.2023</t>
  </si>
  <si>
    <t>Office Internet Bill, August 2023</t>
  </si>
  <si>
    <t xml:space="preserve">Camera Transport </t>
  </si>
  <si>
    <t>27.08.2023</t>
  </si>
  <si>
    <t>Al Manun Akon Rent Commission 60% (July 2023)</t>
  </si>
  <si>
    <t>29.08.2023</t>
  </si>
  <si>
    <t>30.08.2023</t>
  </si>
  <si>
    <t xml:space="preserve">Md. Monir Hossain Camera Rent </t>
  </si>
  <si>
    <t>Pavel</t>
  </si>
  <si>
    <t>Mojibur Camera Crane</t>
  </si>
  <si>
    <t>Md Zahidul Islam Sajib</t>
  </si>
  <si>
    <t>Office Fixed Cost In September-2023</t>
  </si>
  <si>
    <t>House # 19, Road # 5, Word # 40, Madani Avenue, Dhaka-1212, Bangladesh. Phone: +8801988 600 400</t>
  </si>
  <si>
    <t xml:space="preserve">Quotation Number </t>
  </si>
  <si>
    <t xml:space="preserve">Organization/Person Name </t>
  </si>
  <si>
    <t xml:space="preserve">Bill Amount </t>
  </si>
  <si>
    <t xml:space="preserve">Payment Amount </t>
  </si>
  <si>
    <t xml:space="preserve">Due Amount </t>
  </si>
  <si>
    <t xml:space="preserve">Program or Client Name </t>
  </si>
  <si>
    <t>Emrul Kayes</t>
  </si>
  <si>
    <t xml:space="preserve">Pix Power Camera Rent </t>
  </si>
  <si>
    <t>Amout</t>
  </si>
  <si>
    <t>NEXT Level</t>
  </si>
  <si>
    <t>Spellbound</t>
  </si>
  <si>
    <t>Al Mamun Akon</t>
  </si>
  <si>
    <t xml:space="preserve">Pix Power </t>
  </si>
  <si>
    <t>13.03.2023</t>
  </si>
  <si>
    <t>387000 Due</t>
  </si>
  <si>
    <t>Tarik Shahariwar ( DNCC Volleyball)</t>
  </si>
  <si>
    <t>Tarik Shahariwar ( DNCC Cricket)</t>
  </si>
  <si>
    <t xml:space="preserve">Spellbound Leo Burnett  </t>
  </si>
  <si>
    <t xml:space="preserve">Total </t>
  </si>
  <si>
    <t xml:space="preserve">Md. Md Shamsul Huda </t>
  </si>
  <si>
    <t xml:space="preserve">Joynal Bhai </t>
  </si>
  <si>
    <t xml:space="preserve">Pavel Camera Man </t>
  </si>
  <si>
    <t xml:space="preserve">Sayed Alamin </t>
  </si>
  <si>
    <t>Innocent Production</t>
  </si>
  <si>
    <t xml:space="preserve">Total Monthly Expenses Amount </t>
  </si>
  <si>
    <t>Organization Name</t>
  </si>
  <si>
    <t xml:space="preserve">Invoice Number </t>
  </si>
  <si>
    <t xml:space="preserve"> Bill Amount </t>
  </si>
  <si>
    <t>Approved Bil Amount</t>
  </si>
  <si>
    <t xml:space="preserve"> Recevied Amount </t>
  </si>
  <si>
    <t xml:space="preserve">Discount Amount </t>
  </si>
  <si>
    <t xml:space="preserve"> Due Amount </t>
  </si>
  <si>
    <t xml:space="preserve">Location/ Venue Name </t>
  </si>
  <si>
    <t>Bank Name: Eastern Bank Limited</t>
  </si>
  <si>
    <t>Bank Branch Name: Gulshan Avenue</t>
  </si>
  <si>
    <t>Bank Account Number: 1331070205043</t>
  </si>
  <si>
    <t>Bank Account Name: PIX POWER</t>
  </si>
  <si>
    <t xml:space="preserve">Descripation </t>
  </si>
  <si>
    <t xml:space="preserve">Cash Deposit </t>
  </si>
  <si>
    <t xml:space="preserve">Cheque Deposit </t>
  </si>
  <si>
    <t>Withdrawal</t>
  </si>
  <si>
    <t xml:space="preserve">Bank Amount </t>
  </si>
  <si>
    <t xml:space="preserve">Total Balance In Bank </t>
  </si>
  <si>
    <t>Old Cash In Bank</t>
  </si>
  <si>
    <t xml:space="preserve">Deposit </t>
  </si>
  <si>
    <t>Spellbound_UHL</t>
  </si>
  <si>
    <t xml:space="preserve">Md. Monir Hossain </t>
  </si>
  <si>
    <t>UCB A/C- 0953201000101380</t>
  </si>
  <si>
    <t>Bank Name: UCB</t>
  </si>
  <si>
    <t>Loan Amount: 7,00,000.00 Taka</t>
  </si>
  <si>
    <t>15.02.2021</t>
  </si>
  <si>
    <t>loan installment Number_01</t>
  </si>
  <si>
    <t xml:space="preserve">Al Manun Akon </t>
  </si>
  <si>
    <t xml:space="preserve">4 Pcs Panasonic AG-HPX 370 Camera Purchase </t>
  </si>
  <si>
    <t>24.03.2021</t>
  </si>
  <si>
    <t>loan installment Number_02</t>
  </si>
  <si>
    <t>4 Pcs Panasonic AG-HPX 250 Camera, Tripod, Battery &amp; Charger Purchase</t>
  </si>
  <si>
    <t>12.04.2021</t>
  </si>
  <si>
    <t>loan installment Number_03</t>
  </si>
  <si>
    <t xml:space="preserve">Camera Rent Due Payment </t>
  </si>
  <si>
    <t xml:space="preserve">Camera </t>
  </si>
  <si>
    <t>16.05.2021</t>
  </si>
  <si>
    <t>loan installment Number_04</t>
  </si>
  <si>
    <t xml:space="preserve">Total Amount </t>
  </si>
  <si>
    <t xml:space="preserve">Tripod </t>
  </si>
  <si>
    <t>23.06.2021</t>
  </si>
  <si>
    <t>loan installment Number_05</t>
  </si>
  <si>
    <t xml:space="preserve">Battery &amp; Charger </t>
  </si>
  <si>
    <t>13.07.2021</t>
  </si>
  <si>
    <t>loan installment Number_06</t>
  </si>
  <si>
    <t xml:space="preserve">Dipak Loan Amount </t>
  </si>
  <si>
    <t>06.09.2021</t>
  </si>
  <si>
    <t>loan installment Number_07</t>
  </si>
  <si>
    <t xml:space="preserve">Dipak Personal Loan </t>
  </si>
  <si>
    <t>19.09.2021</t>
  </si>
  <si>
    <t>loan installment Number_08</t>
  </si>
  <si>
    <t>26.10.2021</t>
  </si>
  <si>
    <t>loan installment Number_09</t>
  </si>
  <si>
    <t>12.12.2021</t>
  </si>
  <si>
    <t>loan installment Number_10</t>
  </si>
  <si>
    <t>16.01.2022</t>
  </si>
  <si>
    <t>loan installment Number_11</t>
  </si>
  <si>
    <t>22.02.2022</t>
  </si>
  <si>
    <t>loan installment Number_12</t>
  </si>
  <si>
    <t>10.04.2022</t>
  </si>
  <si>
    <t>loan installment Number_13</t>
  </si>
  <si>
    <t>22.05.2022</t>
  </si>
  <si>
    <t>loan installment Number_14</t>
  </si>
  <si>
    <t>21.06.2022</t>
  </si>
  <si>
    <t>loan installment Number_15</t>
  </si>
  <si>
    <t>24.08.2022</t>
  </si>
  <si>
    <t>loan installment Number_16</t>
  </si>
  <si>
    <t>19.09.2022</t>
  </si>
  <si>
    <t>loan installment Number_17</t>
  </si>
  <si>
    <t>18.10.2022</t>
  </si>
  <si>
    <t>loan installment Number_18</t>
  </si>
  <si>
    <t>14.11.2022</t>
  </si>
  <si>
    <t>loan installment Number_19</t>
  </si>
  <si>
    <t>20.12.2022</t>
  </si>
  <si>
    <t>loan installment Number_20</t>
  </si>
  <si>
    <t>loan installment Number_21</t>
  </si>
  <si>
    <t>loan installment Number_22</t>
  </si>
  <si>
    <t>loan installment Number_23</t>
  </si>
  <si>
    <t>loan installment Number_24</t>
  </si>
  <si>
    <t>loan installment Number_25</t>
  </si>
  <si>
    <t>loan installment Number_26</t>
  </si>
  <si>
    <t>loan installment Number_27</t>
  </si>
  <si>
    <t>loan installment Number_28</t>
  </si>
  <si>
    <t>loan installment Number_29</t>
  </si>
  <si>
    <t>loan installment Number_30</t>
  </si>
  <si>
    <t>loan installment Number_31</t>
  </si>
  <si>
    <t>loan installment Number_32</t>
  </si>
  <si>
    <t>loan installment Number_33</t>
  </si>
  <si>
    <t>loan installment Number_34</t>
  </si>
  <si>
    <t>loan installment Number_35</t>
  </si>
  <si>
    <t>loan installment Number_36</t>
  </si>
  <si>
    <t>loan installment Number_37</t>
  </si>
  <si>
    <t>loan installment Number_38</t>
  </si>
  <si>
    <t>loan installment Number_39</t>
  </si>
  <si>
    <t>loan installment Number_40</t>
  </si>
  <si>
    <t>loan installment Number_41</t>
  </si>
  <si>
    <t>loan installment Number_42</t>
  </si>
  <si>
    <t>loan installment Number_43</t>
  </si>
  <si>
    <t>loan installment Number_44</t>
  </si>
  <si>
    <t>loan installment Number_45</t>
  </si>
  <si>
    <t>loan installment Number_46</t>
  </si>
  <si>
    <t>loan installment Number_47</t>
  </si>
  <si>
    <t>loan installment Number_48</t>
  </si>
  <si>
    <t>loan installment Number_49</t>
  </si>
  <si>
    <t>loan installment Number_50</t>
  </si>
  <si>
    <t>loan installment Number_51</t>
  </si>
  <si>
    <t>loan installment Number_52</t>
  </si>
  <si>
    <t>loan installment Number_53</t>
  </si>
  <si>
    <t>loan installment Number_54</t>
  </si>
  <si>
    <t>loan installment Number_55</t>
  </si>
  <si>
    <t>loan installment Number_56</t>
  </si>
  <si>
    <t>loan installment Number_57</t>
  </si>
  <si>
    <t>loan installment Number_58</t>
  </si>
  <si>
    <t>loan installment Number_59</t>
  </si>
  <si>
    <t>loan installment Number_60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</si>
</sst>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;(#,##0.00)"/>
    <numFmt numFmtId="165" formatCode="mmmm yyyy"/>
    <numFmt numFmtId="166" formatCode="_-* #,##0.00[$৳-845]_-;\-* #,##0.00[$৳-845]_-;_-* &quot;-&quot;??[$৳-845]_-;_-@"/>
    <numFmt numFmtId="167" formatCode="_(* #,##0.00_);_(* \(#,##0.00\);_(* &quot;-&quot;??_);_(@_)"/>
    <numFmt numFmtId="168" formatCode="mmmm-yyyy"/>
    <numFmt numFmtId="169" formatCode="#,##0.00;\(#,##0.00\)"/>
    <numFmt numFmtId="170" formatCode="mm-dd-yyyy"/>
  </numFmts>
  <fonts count="81">
    <font>
      <sz val="10.0"/>
      <color rgb="FF000000"/>
      <name val="Arial"/>
      <scheme val="minor"/>
    </font>
    <font>
      <sz val="11.0"/>
      <color theme="1"/>
      <name val="Times"/>
    </font>
    <font>
      <color theme="1"/>
      <name val="Arial"/>
    </font>
    <font>
      <b/>
      <sz val="11.0"/>
      <color theme="1"/>
      <name val="Times"/>
    </font>
    <font/>
    <font>
      <b/>
      <u/>
      <sz val="11.0"/>
      <color rgb="FF1155CC"/>
      <name val="Times"/>
    </font>
    <font>
      <sz val="20.0"/>
      <color theme="1"/>
      <name val="Arial"/>
    </font>
    <font>
      <sz val="12.0"/>
      <color rgb="FFFF0000"/>
      <name val="Arial"/>
      <scheme val="minor"/>
    </font>
    <font>
      <b/>
      <sz val="14.0"/>
      <color theme="1"/>
      <name val="Times"/>
    </font>
    <font>
      <sz val="12.0"/>
      <color theme="1"/>
      <name val="Times"/>
    </font>
    <font>
      <color theme="1"/>
      <name val="Arial"/>
      <scheme val="minor"/>
    </font>
    <font>
      <sz val="14.0"/>
      <color theme="1"/>
      <name val="Times"/>
    </font>
    <font>
      <sz val="9.0"/>
      <color theme="1"/>
      <name val="Cambria"/>
    </font>
    <font>
      <sz val="16.0"/>
      <color theme="1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FF0000"/>
      <name val="Times New Roman"/>
    </font>
    <font>
      <sz val="12.0"/>
      <color rgb="FF000000"/>
      <name val="Times New Roman"/>
    </font>
    <font>
      <b/>
      <sz val="14.0"/>
      <color theme="1"/>
      <name val="Times New Roman"/>
    </font>
    <font>
      <b/>
      <sz val="12.0"/>
      <color rgb="FF000000"/>
      <name val="Times New Roman"/>
    </font>
    <font>
      <b/>
      <sz val="12.0"/>
      <color rgb="FFFF0000"/>
      <name val="Times New Roman"/>
    </font>
    <font>
      <b/>
      <sz val="14.0"/>
      <color rgb="FF000000"/>
      <name val="Times New Roman"/>
    </font>
    <font>
      <color theme="1"/>
      <name val="Times New Roman"/>
    </font>
    <font>
      <b/>
      <sz val="12.0"/>
      <color theme="7"/>
      <name val="Times New Roman"/>
    </font>
    <font>
      <b/>
      <sz val="12.0"/>
      <color rgb="FF34A853"/>
      <name val="Times New Roman"/>
    </font>
    <font>
      <b/>
      <color theme="7"/>
      <name val="Arial"/>
      <scheme val="minor"/>
    </font>
    <font>
      <b/>
      <color theme="1"/>
      <name val="Arial"/>
      <scheme val="minor"/>
    </font>
    <font>
      <color theme="7"/>
      <name val="Arial"/>
      <scheme val="minor"/>
    </font>
    <font>
      <sz val="12.0"/>
      <color rgb="FF1F1F1F"/>
      <name val="Times New Roman"/>
    </font>
    <font>
      <b/>
      <color theme="1"/>
      <name val="Times New Roman"/>
    </font>
    <font>
      <b/>
      <sz val="14.0"/>
      <color theme="1"/>
      <name val="Arial"/>
    </font>
    <font>
      <b/>
      <sz val="14.0"/>
      <color theme="1"/>
      <name val="&quot;Times New Roman&quot;"/>
    </font>
    <font>
      <sz val="14.0"/>
      <color theme="1"/>
      <name val="Times New Roman"/>
    </font>
    <font>
      <sz val="12.0"/>
      <color rgb="FF46BDC6"/>
      <name val="Times New Roman"/>
    </font>
    <font>
      <b/>
      <sz val="12.0"/>
      <color rgb="FF46BDC6"/>
      <name val="Times New Roman"/>
    </font>
    <font>
      <b/>
      <sz val="12.0"/>
      <color theme="6"/>
      <name val="Times New Roman"/>
    </font>
    <font>
      <sz val="12.0"/>
      <color rgb="FF050505"/>
      <name val="Times New Roman"/>
    </font>
    <font>
      <b/>
      <sz val="14.0"/>
      <color rgb="FF050505"/>
      <name val="Times New Roman"/>
    </font>
    <font>
      <sz val="12.0"/>
      <color theme="4"/>
      <name val="Times New Roman"/>
    </font>
    <font>
      <b/>
      <sz val="12.0"/>
      <color theme="4"/>
      <name val="Times New Roman"/>
    </font>
    <font>
      <b/>
      <sz val="14.0"/>
      <color rgb="FFFF0000"/>
      <name val="Times New Roman"/>
    </font>
    <font>
      <sz val="14.0"/>
      <color rgb="FF000000"/>
      <name val="Times New Roman"/>
    </font>
    <font>
      <b/>
      <sz val="12.0"/>
      <color theme="9"/>
      <name val="Times New Roman"/>
    </font>
    <font>
      <sz val="12.0"/>
      <color rgb="FF4285F4"/>
      <name val="Times New Roman"/>
    </font>
    <font>
      <b/>
      <sz val="12.0"/>
      <color theme="1"/>
      <name val="&quot;Times New Roman&quot;"/>
    </font>
    <font>
      <b/>
      <sz val="14.0"/>
      <color rgb="FF4285F4"/>
      <name val="Times New Roman"/>
    </font>
    <font>
      <b/>
      <sz val="14.0"/>
      <color rgb="FF46BDC6"/>
      <name val="Times New Roman"/>
    </font>
    <font>
      <sz val="12.0"/>
      <color theme="1"/>
      <name val="&quot;Times New Roman&quot;"/>
    </font>
    <font>
      <sz val="12.0"/>
      <color rgb="FF000000"/>
      <name val="&quot;Times New Roman Bold&quot;"/>
    </font>
    <font>
      <b/>
      <sz val="14.0"/>
      <color rgb="FF000000"/>
      <name val="&quot;Times New Roman Bold&quot;"/>
    </font>
    <font>
      <sz val="12.0"/>
      <color theme="1"/>
      <name val="Arial"/>
      <scheme val="minor"/>
    </font>
    <font>
      <sz val="14.0"/>
      <color rgb="FF4285F4"/>
      <name val="Times New Roman"/>
    </font>
    <font>
      <b/>
      <sz val="14.0"/>
      <color rgb="FF00FFFF"/>
      <name val="Times New Roman"/>
    </font>
    <font>
      <sz val="14.0"/>
      <color rgb="FF00FFFF"/>
      <name val="Times New Roman"/>
    </font>
    <font>
      <b/>
      <sz val="15.0"/>
      <color theme="1"/>
      <name val="Times New Roman"/>
    </font>
    <font>
      <b/>
      <sz val="12.0"/>
      <color theme="1"/>
      <name val="Arial"/>
    </font>
    <font>
      <b/>
      <sz val="14.0"/>
      <color rgb="FFFF6D01"/>
      <name val="&quot;Times New Roman&quot;"/>
    </font>
    <font>
      <sz val="11.0"/>
      <color rgb="FF1F1F1F"/>
      <name val="Times New Roman"/>
    </font>
    <font>
      <sz val="12.0"/>
      <color rgb="FF050505"/>
      <name val="&quot;Times New Roman&quot;"/>
    </font>
    <font>
      <b/>
      <sz val="12.0"/>
      <color rgb="FF050505"/>
      <name val="Times New Roman"/>
    </font>
    <font>
      <b/>
      <sz val="12.0"/>
      <color rgb="FF050505"/>
      <name val="&quot;Times New Roman&quot;"/>
    </font>
    <font>
      <b/>
      <sz val="16.0"/>
      <color theme="1"/>
      <name val="Times New Roman"/>
    </font>
    <font>
      <b/>
      <sz val="12.0"/>
      <color theme="1"/>
      <name val="Arial"/>
      <scheme val="minor"/>
    </font>
    <font>
      <sz val="14.0"/>
      <color rgb="FFFF0000"/>
      <name val="Times New Roman"/>
    </font>
    <font>
      <sz val="12.0"/>
      <color rgb="FF000000"/>
      <name val="&quot;Times New Roman&quot;"/>
    </font>
    <font>
      <sz val="11.0"/>
      <color rgb="FF000000"/>
      <name val="&quot;Google Sans&quot;"/>
    </font>
    <font>
      <sz val="12.0"/>
      <color rgb="FF00FF00"/>
      <name val="Times New Roman"/>
    </font>
    <font>
      <color rgb="FFFF0000"/>
      <name val="Arial"/>
      <scheme val="minor"/>
    </font>
    <font>
      <b/>
      <sz val="12.0"/>
      <color theme="1"/>
      <name val="Times"/>
    </font>
    <font>
      <b/>
      <sz val="14.0"/>
      <color rgb="FFFF0000"/>
      <name val="Arial"/>
      <scheme val="minor"/>
    </font>
    <font>
      <sz val="12.0"/>
      <color rgb="FF34A853"/>
      <name val="Times New Roman"/>
    </font>
    <font>
      <b/>
      <sz val="14.0"/>
      <color rgb="FF34A853"/>
      <name val="Times New Roman"/>
    </font>
    <font>
      <b/>
      <u/>
      <sz val="11.0"/>
      <color rgb="FF1155CC"/>
      <name val="Times"/>
    </font>
    <font>
      <sz val="18.0"/>
      <color theme="1"/>
      <name val="Times New Roman"/>
    </font>
    <font>
      <sz val="11.0"/>
      <color rgb="FF000000"/>
      <name val="Inconsolata"/>
    </font>
    <font>
      <sz val="11.0"/>
      <color rgb="FF000000"/>
      <name val="Times New Roman"/>
    </font>
    <font>
      <sz val="10.0"/>
      <color theme="1"/>
      <name val="Times New Roman"/>
    </font>
    <font>
      <b/>
      <u/>
      <sz val="11.0"/>
      <color rgb="FF0000FF"/>
      <name val="Times"/>
    </font>
    <font>
      <sz val="14.0"/>
      <color theme="1"/>
      <name val="&quot;Times New Roman&quot;"/>
    </font>
    <font>
      <b/>
      <color theme="1"/>
      <name val="Arial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30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1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vertical="bottom"/>
    </xf>
    <xf borderId="5" fillId="0" fontId="4" numFmtId="0" xfId="0" applyBorder="1" applyFont="1"/>
    <xf borderId="6" fillId="0" fontId="4" numFmtId="0" xfId="0" applyBorder="1" applyFont="1"/>
    <xf borderId="7" fillId="0" fontId="2" numFmtId="0" xfId="0" applyAlignment="1" applyBorder="1" applyFont="1">
      <alignment vertical="bottom"/>
    </xf>
    <xf borderId="5" fillId="0" fontId="6" numFmtId="17" xfId="0" applyAlignment="1" applyBorder="1" applyFont="1" applyNumberFormat="1">
      <alignment horizontal="center" readingOrder="0" vertical="bottom"/>
    </xf>
    <xf borderId="8" fillId="0" fontId="4" numFmtId="0" xfId="0" applyBorder="1" applyFont="1"/>
    <xf borderId="9" fillId="0" fontId="7" numFmtId="0" xfId="0" applyAlignment="1" applyBorder="1" applyFont="1">
      <alignment readingOrder="0"/>
    </xf>
    <xf borderId="9" fillId="0" fontId="7" numFmtId="0" xfId="0" applyBorder="1" applyFont="1"/>
    <xf borderId="10" fillId="2" fontId="8" numFmtId="0" xfId="0" applyAlignment="1" applyBorder="1" applyFill="1" applyFont="1">
      <alignment horizontal="center" vertical="center"/>
    </xf>
    <xf borderId="1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vertical="bottom"/>
    </xf>
    <xf borderId="12" fillId="0" fontId="4" numFmtId="0" xfId="0" applyBorder="1" applyFont="1"/>
    <xf borderId="13" fillId="2" fontId="8" numFmtId="0" xfId="0" applyAlignment="1" applyBorder="1" applyFont="1">
      <alignment horizontal="center" vertical="center"/>
    </xf>
    <xf borderId="9" fillId="0" fontId="7" numFmtId="164" xfId="0" applyAlignment="1" applyBorder="1" applyFont="1" applyNumberFormat="1">
      <alignment readingOrder="0"/>
    </xf>
    <xf borderId="14" fillId="0" fontId="4" numFmtId="0" xfId="0" applyBorder="1" applyFont="1"/>
    <xf borderId="11" fillId="2" fontId="8" numFmtId="0" xfId="0" applyAlignment="1" applyBorder="1" applyFont="1">
      <alignment horizontal="center" vertical="bottom"/>
    </xf>
    <xf borderId="13" fillId="2" fontId="8" numFmtId="0" xfId="0" applyAlignment="1" applyBorder="1" applyFont="1">
      <alignment horizontal="center" vertical="bottom"/>
    </xf>
    <xf borderId="9" fillId="3" fontId="9" numFmtId="0" xfId="0" applyAlignment="1" applyBorder="1" applyFill="1" applyFont="1">
      <alignment horizontal="center" vertical="bottom"/>
    </xf>
    <xf borderId="9" fillId="3" fontId="9" numFmtId="0" xfId="0" applyAlignment="1" applyBorder="1" applyFont="1">
      <alignment horizontal="center" readingOrder="0" vertical="bottom"/>
    </xf>
    <xf borderId="9" fillId="3" fontId="9" numFmtId="0" xfId="0" applyAlignment="1" applyBorder="1" applyFont="1">
      <alignment readingOrder="0" vertical="bottom"/>
    </xf>
    <xf borderId="9" fillId="3" fontId="9" numFmtId="4" xfId="0" applyAlignment="1" applyBorder="1" applyFont="1" applyNumberFormat="1">
      <alignment horizontal="right" readingOrder="0" vertical="bottom"/>
    </xf>
    <xf borderId="9" fillId="3" fontId="9" numFmtId="2" xfId="0" applyAlignment="1" applyBorder="1" applyFont="1" applyNumberFormat="1">
      <alignment horizontal="right" readingOrder="0" vertical="bottom"/>
    </xf>
    <xf borderId="9" fillId="3" fontId="9" numFmtId="4" xfId="0" applyAlignment="1" applyBorder="1" applyFont="1" applyNumberFormat="1">
      <alignment horizontal="right" vertical="bottom"/>
    </xf>
    <xf borderId="0" fillId="0" fontId="10" numFmtId="164" xfId="0" applyFont="1" applyNumberFormat="1"/>
    <xf borderId="9" fillId="3" fontId="9" numFmtId="0" xfId="0" applyAlignment="1" applyBorder="1" applyFont="1">
      <alignment vertical="bottom"/>
    </xf>
    <xf borderId="9" fillId="3" fontId="2" numFmtId="4" xfId="0" applyAlignment="1" applyBorder="1" applyFont="1" applyNumberFormat="1">
      <alignment vertical="bottom"/>
    </xf>
    <xf borderId="15" fillId="0" fontId="8" numFmtId="0" xfId="0" applyAlignment="1" applyBorder="1" applyFont="1">
      <alignment horizontal="center" vertical="bottom"/>
    </xf>
    <xf borderId="16" fillId="0" fontId="4" numFmtId="0" xfId="0" applyBorder="1" applyFont="1"/>
    <xf borderId="17" fillId="0" fontId="4" numFmtId="0" xfId="0" applyBorder="1" applyFont="1"/>
    <xf borderId="18" fillId="0" fontId="8" numFmtId="4" xfId="0" applyAlignment="1" applyBorder="1" applyFont="1" applyNumberFormat="1">
      <alignment horizontal="right" vertical="bottom"/>
    </xf>
    <xf borderId="9" fillId="0" fontId="11" numFmtId="4" xfId="0" applyAlignment="1" applyBorder="1" applyFont="1" applyNumberFormat="1">
      <alignment horizontal="right" vertical="bottom"/>
    </xf>
    <xf borderId="15" fillId="0" fontId="6" numFmtId="17" xfId="0" applyAlignment="1" applyBorder="1" applyFont="1" applyNumberFormat="1">
      <alignment horizontal="center" readingOrder="0" vertical="bottom"/>
    </xf>
    <xf borderId="18" fillId="0" fontId="4" numFmtId="0" xfId="0" applyBorder="1" applyFont="1"/>
    <xf borderId="9" fillId="3" fontId="2" numFmtId="4" xfId="0" applyAlignment="1" applyBorder="1" applyFont="1" applyNumberFormat="1">
      <alignment readingOrder="0" vertical="bottom"/>
    </xf>
    <xf borderId="0" fillId="0" fontId="10" numFmtId="0" xfId="0" applyAlignment="1" applyFont="1">
      <alignment readingOrder="0"/>
    </xf>
    <xf borderId="19" fillId="0" fontId="2" numFmtId="0" xfId="0" applyAlignment="1" applyBorder="1" applyFont="1">
      <alignment vertical="bottom"/>
    </xf>
    <xf borderId="20" fillId="0" fontId="2" numFmtId="0" xfId="0" applyAlignment="1" applyBorder="1" applyFont="1">
      <alignment vertical="bottom"/>
    </xf>
    <xf borderId="21" fillId="0" fontId="2" numFmtId="0" xfId="0" applyAlignment="1" applyBorder="1" applyFont="1">
      <alignment vertical="bottom"/>
    </xf>
    <xf borderId="22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2" fillId="0" fontId="12" numFmtId="0" xfId="0" applyAlignment="1" applyBorder="1" applyFont="1">
      <alignment horizontal="center" vertical="bottom"/>
    </xf>
    <xf borderId="11" fillId="0" fontId="4" numFmtId="0" xfId="0" applyBorder="1" applyFont="1"/>
    <xf borderId="2" fillId="0" fontId="12" numFmtId="0" xfId="0" applyAlignment="1" applyBorder="1" applyFont="1">
      <alignment horizontal="center" vertical="bottom"/>
    </xf>
    <xf borderId="2" fillId="0" fontId="13" numFmtId="0" xfId="0" applyAlignment="1" applyBorder="1" applyFont="1">
      <alignment horizontal="center" vertical="bottom"/>
    </xf>
    <xf borderId="23" fillId="0" fontId="14" numFmtId="0" xfId="0" applyAlignment="1" applyBorder="1" applyFont="1">
      <alignment horizontal="right" vertical="bottom"/>
    </xf>
    <xf borderId="1" fillId="0" fontId="14" numFmtId="0" xfId="0" applyAlignment="1" applyBorder="1" applyFont="1">
      <alignment readingOrder="0" vertical="bottom"/>
    </xf>
    <xf borderId="2" fillId="0" fontId="14" numFmtId="0" xfId="0" applyAlignment="1" applyBorder="1" applyFont="1">
      <alignment vertical="bottom"/>
    </xf>
    <xf borderId="23" fillId="0" fontId="15" numFmtId="0" xfId="0" applyAlignment="1" applyBorder="1" applyFont="1">
      <alignment horizontal="center" vertical="bottom"/>
    </xf>
    <xf borderId="3" fillId="0" fontId="15" numFmtId="0" xfId="0" applyAlignment="1" applyBorder="1" applyFont="1">
      <alignment horizontal="center" vertical="bottom"/>
    </xf>
    <xf borderId="9" fillId="0" fontId="14" numFmtId="0" xfId="0" applyAlignment="1" applyBorder="1" applyFont="1">
      <alignment horizontal="center" readingOrder="0"/>
    </xf>
    <xf borderId="9" fillId="0" fontId="14" numFmtId="0" xfId="0" applyAlignment="1" applyBorder="1" applyFont="1">
      <alignment readingOrder="0"/>
    </xf>
    <xf borderId="9" fillId="0" fontId="15" numFmtId="2" xfId="0" applyBorder="1" applyFont="1" applyNumberFormat="1"/>
    <xf borderId="9" fillId="0" fontId="16" numFmtId="0" xfId="0" applyAlignment="1" applyBorder="1" applyFont="1">
      <alignment readingOrder="0"/>
    </xf>
    <xf borderId="9" fillId="0" fontId="14" numFmtId="0" xfId="0" applyAlignment="1" applyBorder="1" applyFont="1">
      <alignment horizontal="center"/>
    </xf>
    <xf borderId="9" fillId="0" fontId="15" numFmtId="2" xfId="0" applyAlignment="1" applyBorder="1" applyFont="1" applyNumberFormat="1">
      <alignment readingOrder="0"/>
    </xf>
    <xf borderId="9" fillId="0" fontId="17" numFmtId="0" xfId="0" applyAlignment="1" applyBorder="1" applyFont="1">
      <alignment readingOrder="0"/>
    </xf>
    <xf borderId="9" fillId="0" fontId="14" numFmtId="0" xfId="0" applyBorder="1" applyFont="1"/>
    <xf borderId="15" fillId="0" fontId="18" numFmtId="0" xfId="0" applyAlignment="1" applyBorder="1" applyFont="1">
      <alignment horizontal="right" readingOrder="0"/>
    </xf>
    <xf borderId="9" fillId="0" fontId="18" numFmtId="2" xfId="0" applyBorder="1" applyFont="1" applyNumberFormat="1"/>
    <xf borderId="9" fillId="0" fontId="18" numFmtId="0" xfId="0" applyBorder="1" applyFont="1"/>
    <xf borderId="0" fillId="0" fontId="14" numFmtId="0" xfId="0" applyFont="1"/>
    <xf borderId="9" fillId="0" fontId="14" numFmtId="0" xfId="0" applyAlignment="1" applyBorder="1" applyFont="1">
      <alignment horizontal="right" vertical="bottom"/>
    </xf>
    <xf borderId="15" fillId="0" fontId="14" numFmtId="0" xfId="0" applyAlignment="1" applyBorder="1" applyFont="1">
      <alignment readingOrder="0" vertical="bottom"/>
    </xf>
    <xf borderId="9" fillId="0" fontId="16" numFmtId="0" xfId="0" applyAlignment="1" applyBorder="1" applyFont="1">
      <alignment horizontal="center"/>
    </xf>
    <xf borderId="9" fillId="0" fontId="19" numFmtId="2" xfId="0" applyBorder="1" applyFont="1" applyNumberFormat="1"/>
    <xf borderId="9" fillId="0" fontId="19" numFmtId="2" xfId="0" applyAlignment="1" applyBorder="1" applyFont="1" applyNumberFormat="1">
      <alignment readingOrder="0"/>
    </xf>
    <xf borderId="9" fillId="0" fontId="20" numFmtId="2" xfId="0" applyBorder="1" applyFont="1" applyNumberFormat="1"/>
    <xf borderId="9" fillId="0" fontId="16" numFmtId="0" xfId="0" applyBorder="1" applyFont="1"/>
    <xf borderId="23" fillId="0" fontId="19" numFmtId="0" xfId="0" applyAlignment="1" applyBorder="1" applyFont="1">
      <alignment readingOrder="0"/>
    </xf>
    <xf borderId="3" fillId="0" fontId="19" numFmtId="0" xfId="0" applyAlignment="1" applyBorder="1" applyFont="1">
      <alignment readingOrder="0"/>
    </xf>
    <xf borderId="3" fillId="0" fontId="19" numFmtId="164" xfId="0" applyAlignment="1" applyBorder="1" applyFont="1" applyNumberFormat="1">
      <alignment readingOrder="0"/>
    </xf>
    <xf borderId="3" fillId="0" fontId="19" numFmtId="0" xfId="0" applyBorder="1" applyFont="1"/>
    <xf borderId="9" fillId="0" fontId="19" numFmtId="0" xfId="0" applyAlignment="1" applyBorder="1" applyFont="1">
      <alignment readingOrder="0"/>
    </xf>
    <xf borderId="9" fillId="0" fontId="19" numFmtId="164" xfId="0" applyAlignment="1" applyBorder="1" applyFont="1" applyNumberFormat="1">
      <alignment readingOrder="0"/>
    </xf>
    <xf borderId="9" fillId="0" fontId="19" numFmtId="0" xfId="0" applyBorder="1" applyFont="1"/>
    <xf borderId="9" fillId="0" fontId="19" numFmtId="164" xfId="0" applyBorder="1" applyFont="1" applyNumberFormat="1"/>
    <xf borderId="9" fillId="0" fontId="19" numFmtId="0" xfId="0" applyAlignment="1" applyBorder="1" applyFont="1">
      <alignment readingOrder="0" shrinkToFit="0" vertical="bottom" wrapText="0"/>
    </xf>
    <xf borderId="9" fillId="0" fontId="20" numFmtId="0" xfId="0" applyAlignment="1" applyBorder="1" applyFont="1">
      <alignment readingOrder="0"/>
    </xf>
    <xf borderId="0" fillId="0" fontId="19" numFmtId="0" xfId="0" applyFont="1"/>
    <xf borderId="9" fillId="0" fontId="14" numFmtId="164" xfId="0" applyBorder="1" applyFont="1" applyNumberFormat="1"/>
    <xf borderId="0" fillId="0" fontId="14" numFmtId="164" xfId="0" applyFont="1" applyNumberFormat="1"/>
    <xf borderId="9" fillId="0" fontId="18" numFmtId="164" xfId="0" applyAlignment="1" applyBorder="1" applyFont="1" applyNumberFormat="1">
      <alignment readingOrder="0"/>
    </xf>
    <xf borderId="9" fillId="0" fontId="18" numFmtId="164" xfId="0" applyBorder="1" applyFont="1" applyNumberFormat="1"/>
    <xf borderId="0" fillId="0" fontId="18" numFmtId="164" xfId="0" applyFont="1" applyNumberFormat="1"/>
    <xf borderId="0" fillId="0" fontId="18" numFmtId="0" xfId="0" applyFont="1"/>
    <xf borderId="9" fillId="0" fontId="17" numFmtId="0" xfId="0" applyBorder="1" applyFont="1"/>
    <xf borderId="9" fillId="0" fontId="21" numFmtId="0" xfId="0" applyBorder="1" applyFont="1"/>
    <xf borderId="9" fillId="0" fontId="15" numFmtId="164" xfId="0" applyAlignment="1" applyBorder="1" applyFont="1" applyNumberFormat="1">
      <alignment readingOrder="0"/>
    </xf>
    <xf borderId="9" fillId="0" fontId="15" numFmtId="164" xfId="0" applyBorder="1" applyFont="1" applyNumberFormat="1"/>
    <xf borderId="9" fillId="0" fontId="22" numFmtId="0" xfId="0" applyBorder="1" applyFont="1"/>
    <xf borderId="9" fillId="0" fontId="22" numFmtId="0" xfId="0" applyAlignment="1" applyBorder="1" applyFont="1">
      <alignment readingOrder="0"/>
    </xf>
    <xf borderId="0" fillId="0" fontId="15" numFmtId="2" xfId="0" applyFont="1" applyNumberFormat="1"/>
    <xf borderId="9" fillId="0" fontId="14" numFmtId="2" xfId="0" applyBorder="1" applyFont="1" applyNumberFormat="1"/>
    <xf borderId="9" fillId="0" fontId="14" numFmtId="2" xfId="0" applyAlignment="1" applyBorder="1" applyFont="1" applyNumberFormat="1">
      <alignment readingOrder="0"/>
    </xf>
    <xf borderId="0" fillId="0" fontId="10" numFmtId="2" xfId="0" applyFont="1" applyNumberFormat="1"/>
    <xf borderId="9" fillId="0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readingOrder="0"/>
    </xf>
    <xf borderId="9" fillId="0" fontId="10" numFmtId="164" xfId="0" applyBorder="1" applyFont="1" applyNumberFormat="1"/>
    <xf borderId="9" fillId="0" fontId="10" numFmtId="0" xfId="0" applyBorder="1" applyFont="1"/>
    <xf borderId="9" fillId="0" fontId="10" numFmtId="0" xfId="0" applyAlignment="1" applyBorder="1" applyFont="1">
      <alignment horizontal="center"/>
    </xf>
    <xf borderId="0" fillId="0" fontId="15" numFmtId="164" xfId="0" applyFont="1" applyNumberFormat="1"/>
    <xf borderId="9" fillId="0" fontId="23" numFmtId="164" xfId="0" applyBorder="1" applyFont="1" applyNumberFormat="1"/>
    <xf borderId="9" fillId="0" fontId="23" numFmtId="164" xfId="0" applyAlignment="1" applyBorder="1" applyFont="1" applyNumberFormat="1">
      <alignment readingOrder="0"/>
    </xf>
    <xf borderId="9" fillId="0" fontId="24" numFmtId="164" xfId="0" applyAlignment="1" applyBorder="1" applyFont="1" applyNumberFormat="1">
      <alignment readingOrder="0"/>
    </xf>
    <xf borderId="9" fillId="0" fontId="25" numFmtId="164" xfId="0" applyBorder="1" applyFont="1" applyNumberFormat="1"/>
    <xf borderId="9" fillId="0" fontId="26" numFmtId="164" xfId="0" applyBorder="1" applyFont="1" applyNumberFormat="1"/>
    <xf borderId="9" fillId="0" fontId="26" numFmtId="164" xfId="0" applyAlignment="1" applyBorder="1" applyFont="1" applyNumberFormat="1">
      <alignment readingOrder="0"/>
    </xf>
    <xf borderId="9" fillId="0" fontId="27" numFmtId="0" xfId="0" applyAlignment="1" applyBorder="1" applyFont="1">
      <alignment readingOrder="0"/>
    </xf>
    <xf borderId="9" fillId="0" fontId="25" numFmtId="164" xfId="0" applyAlignment="1" applyBorder="1" applyFont="1" applyNumberFormat="1">
      <alignment readingOrder="0"/>
    </xf>
    <xf borderId="0" fillId="0" fontId="26" numFmtId="164" xfId="0" applyFont="1" applyNumberFormat="1"/>
    <xf borderId="9" fillId="0" fontId="10" numFmtId="164" xfId="0" applyAlignment="1" applyBorder="1" applyFont="1" applyNumberFormat="1">
      <alignment readingOrder="0"/>
    </xf>
    <xf borderId="0" fillId="0" fontId="22" numFmtId="0" xfId="0" applyFont="1"/>
    <xf borderId="9" fillId="3" fontId="28" numFmtId="0" xfId="0" applyAlignment="1" applyBorder="1" applyFont="1">
      <alignment readingOrder="0"/>
    </xf>
    <xf borderId="9" fillId="0" fontId="29" numFmtId="164" xfId="0" applyBorder="1" applyFont="1" applyNumberFormat="1"/>
    <xf borderId="9" fillId="0" fontId="29" numFmtId="164" xfId="0" applyAlignment="1" applyBorder="1" applyFont="1" applyNumberFormat="1">
      <alignment readingOrder="0"/>
    </xf>
    <xf borderId="0" fillId="0" fontId="29" numFmtId="164" xfId="0" applyFont="1" applyNumberFormat="1"/>
    <xf borderId="0" fillId="0" fontId="10" numFmtId="164" xfId="0" applyAlignment="1" applyFont="1" applyNumberFormat="1">
      <alignment readingOrder="0"/>
    </xf>
    <xf borderId="15" fillId="3" fontId="9" numFmtId="0" xfId="0" applyAlignment="1" applyBorder="1" applyFont="1">
      <alignment readingOrder="0" vertical="bottom"/>
    </xf>
    <xf borderId="9" fillId="0" fontId="22" numFmtId="0" xfId="0" applyAlignment="1" applyBorder="1" applyFont="1">
      <alignment horizontal="center" readingOrder="0"/>
    </xf>
    <xf borderId="9" fillId="0" fontId="22" numFmtId="164" xfId="0" applyBorder="1" applyFont="1" applyNumberFormat="1"/>
    <xf borderId="9" fillId="0" fontId="22" numFmtId="164" xfId="0" applyAlignment="1" applyBorder="1" applyFont="1" applyNumberFormat="1">
      <alignment readingOrder="0"/>
    </xf>
    <xf borderId="9" fillId="0" fontId="22" numFmtId="0" xfId="0" applyAlignment="1" applyBorder="1" applyFont="1">
      <alignment horizontal="center"/>
    </xf>
    <xf borderId="24" fillId="0" fontId="22" numFmtId="0" xfId="0" applyAlignment="1" applyBorder="1" applyFont="1">
      <alignment horizontal="center"/>
    </xf>
    <xf borderId="24" fillId="0" fontId="22" numFmtId="0" xfId="0" applyAlignment="1" applyBorder="1" applyFont="1">
      <alignment readingOrder="0"/>
    </xf>
    <xf borderId="24" fillId="0" fontId="22" numFmtId="164" xfId="0" applyBorder="1" applyFont="1" applyNumberFormat="1"/>
    <xf borderId="24" fillId="0" fontId="22" numFmtId="0" xfId="0" applyBorder="1" applyFont="1"/>
    <xf borderId="0" fillId="0" fontId="22" numFmtId="0" xfId="0" applyAlignment="1" applyFont="1">
      <alignment horizontal="center"/>
    </xf>
    <xf borderId="0" fillId="0" fontId="22" numFmtId="164" xfId="0" applyFont="1" applyNumberFormat="1"/>
    <xf borderId="16" fillId="0" fontId="14" numFmtId="0" xfId="0" applyAlignment="1" applyBorder="1" applyFont="1">
      <alignment readingOrder="0" vertical="bottom"/>
    </xf>
    <xf borderId="0" fillId="0" fontId="10" numFmtId="0" xfId="0" applyFont="1"/>
    <xf borderId="15" fillId="0" fontId="30" numFmtId="165" xfId="0" applyAlignment="1" applyBorder="1" applyFont="1" applyNumberFormat="1">
      <alignment horizontal="center" readingOrder="0" vertical="bottom"/>
    </xf>
    <xf borderId="2" fillId="0" fontId="31" numFmtId="0" xfId="0" applyAlignment="1" applyBorder="1" applyFont="1">
      <alignment horizontal="center" vertical="bottom"/>
    </xf>
    <xf borderId="1" fillId="0" fontId="31" numFmtId="0" xfId="0" applyAlignment="1" applyBorder="1" applyFont="1">
      <alignment horizontal="center" vertical="bottom"/>
    </xf>
    <xf borderId="1" fillId="0" fontId="30" numFmtId="0" xfId="0" applyAlignment="1" applyBorder="1" applyFont="1">
      <alignment horizontal="center" readingOrder="0" vertical="bottom"/>
    </xf>
    <xf borderId="23" fillId="0" fontId="18" numFmtId="0" xfId="0" applyAlignment="1" applyBorder="1" applyFont="1">
      <alignment horizontal="center" vertical="bottom"/>
    </xf>
    <xf borderId="3" fillId="0" fontId="18" numFmtId="0" xfId="0" applyAlignment="1" applyBorder="1" applyFont="1">
      <alignment horizontal="center" vertical="bottom"/>
    </xf>
    <xf borderId="11" fillId="0" fontId="18" numFmtId="0" xfId="0" applyAlignment="1" applyBorder="1" applyFont="1">
      <alignment vertical="bottom"/>
    </xf>
    <xf borderId="3" fillId="0" fontId="18" numFmtId="0" xfId="0" applyAlignment="1" applyBorder="1" applyFont="1">
      <alignment vertical="bottom"/>
    </xf>
    <xf borderId="11" fillId="0" fontId="32" numFmtId="0" xfId="0" applyAlignment="1" applyBorder="1" applyFont="1">
      <alignment vertical="bottom"/>
    </xf>
    <xf borderId="9" fillId="0" fontId="33" numFmtId="0" xfId="0" applyAlignment="1" applyBorder="1" applyFont="1">
      <alignment readingOrder="0"/>
    </xf>
    <xf borderId="9" fillId="0" fontId="34" numFmtId="164" xfId="0" applyAlignment="1" applyBorder="1" applyFont="1" applyNumberFormat="1">
      <alignment readingOrder="0"/>
    </xf>
    <xf borderId="9" fillId="0" fontId="18" numFmtId="2" xfId="0" applyAlignment="1" applyBorder="1" applyFont="1" applyNumberFormat="1">
      <alignment readingOrder="0"/>
    </xf>
    <xf borderId="15" fillId="0" fontId="14" numFmtId="0" xfId="0" applyBorder="1" applyFont="1"/>
    <xf borderId="15" fillId="0" fontId="21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readingOrder="0"/>
    </xf>
    <xf borderId="23" fillId="0" fontId="21" numFmtId="0" xfId="0" applyAlignment="1" applyBorder="1" applyFont="1">
      <alignment horizontal="center" readingOrder="0" shrinkToFit="0" vertical="bottom" wrapText="0"/>
    </xf>
    <xf borderId="3" fillId="0" fontId="21" numFmtId="0" xfId="0" applyAlignment="1" applyBorder="1" applyFont="1">
      <alignment horizontal="center" readingOrder="0" shrinkToFit="0" vertical="bottom" wrapText="0"/>
    </xf>
    <xf borderId="23" fillId="0" fontId="17" numFmtId="0" xfId="0" applyAlignment="1" applyBorder="1" applyFont="1">
      <alignment horizontal="center" readingOrder="0" shrinkToFit="0" vertical="bottom" wrapText="0"/>
    </xf>
    <xf borderId="3" fillId="0" fontId="17" numFmtId="0" xfId="0" applyAlignment="1" applyBorder="1" applyFont="1">
      <alignment readingOrder="0" shrinkToFit="0" vertical="bottom" wrapText="0"/>
    </xf>
    <xf borderId="3" fillId="0" fontId="21" numFmtId="4" xfId="0" applyAlignment="1" applyBorder="1" applyFont="1" applyNumberFormat="1">
      <alignment readingOrder="0" shrinkToFit="0" vertical="bottom" wrapText="0"/>
    </xf>
    <xf borderId="3" fillId="0" fontId="17" numFmtId="0" xfId="0" applyAlignment="1" applyBorder="1" applyFont="1">
      <alignment horizontal="center" readingOrder="0" shrinkToFit="0" vertical="bottom" wrapText="0"/>
    </xf>
    <xf borderId="9" fillId="0" fontId="18" numFmtId="0" xfId="0" applyAlignment="1" applyBorder="1" applyFont="1">
      <alignment readingOrder="0"/>
    </xf>
    <xf borderId="3" fillId="0" fontId="21" numFmtId="2" xfId="0" applyAlignment="1" applyBorder="1" applyFont="1" applyNumberFormat="1">
      <alignment readingOrder="0" shrinkToFit="0" vertical="bottom" wrapText="0"/>
    </xf>
    <xf borderId="3" fillId="0" fontId="17" numFmtId="0" xfId="0" applyAlignment="1" applyBorder="1" applyFont="1">
      <alignment horizontal="center" shrinkToFit="0" vertical="bottom" wrapText="0"/>
    </xf>
    <xf borderId="15" fillId="0" fontId="21" numFmtId="0" xfId="0" applyAlignment="1" applyBorder="1" applyFont="1">
      <alignment horizontal="right" readingOrder="0" shrinkToFit="0" vertical="bottom" wrapText="0"/>
    </xf>
    <xf borderId="3" fillId="0" fontId="17" numFmtId="0" xfId="0" applyAlignment="1" applyBorder="1" applyFont="1">
      <alignment shrinkToFit="0" vertical="bottom" wrapText="0"/>
    </xf>
    <xf borderId="9" fillId="0" fontId="35" numFmtId="164" xfId="0" applyAlignment="1" applyBorder="1" applyFont="1" applyNumberFormat="1">
      <alignment readingOrder="0"/>
    </xf>
    <xf borderId="23" fillId="0" fontId="19" numFmtId="0" xfId="0" applyAlignment="1" applyBorder="1" applyFont="1">
      <alignment horizontal="center" readingOrder="0" shrinkToFit="0" vertical="bottom" wrapText="0"/>
    </xf>
    <xf borderId="3" fillId="0" fontId="36" numFmtId="0" xfId="0" applyAlignment="1" applyBorder="1" applyFont="1">
      <alignment readingOrder="0" shrinkToFit="0" vertical="bottom" wrapText="0"/>
    </xf>
    <xf borderId="3" fillId="0" fontId="37" numFmtId="4" xfId="0" applyAlignment="1" applyBorder="1" applyFont="1" applyNumberFormat="1">
      <alignment readingOrder="0" shrinkToFit="0" vertical="bottom" wrapText="0"/>
    </xf>
    <xf borderId="9" fillId="0" fontId="38" numFmtId="0" xfId="0" applyAlignment="1" applyBorder="1" applyFont="1">
      <alignment readingOrder="0"/>
    </xf>
    <xf borderId="9" fillId="0" fontId="39" numFmtId="164" xfId="0" applyAlignment="1" applyBorder="1" applyFont="1" applyNumberFormat="1">
      <alignment readingOrder="0"/>
    </xf>
    <xf borderId="3" fillId="0" fontId="20" numFmtId="0" xfId="0" applyAlignment="1" applyBorder="1" applyFont="1">
      <alignment readingOrder="0" shrinkToFit="0" vertical="bottom" wrapText="0"/>
    </xf>
    <xf borderId="3" fillId="0" fontId="40" numFmtId="4" xfId="0" applyAlignment="1" applyBorder="1" applyFont="1" applyNumberFormat="1">
      <alignment readingOrder="0" shrinkToFit="0" vertical="bottom" wrapText="0"/>
    </xf>
    <xf borderId="3" fillId="0" fontId="16" numFmtId="0" xfId="0" applyAlignment="1" applyBorder="1" applyFont="1">
      <alignment readingOrder="0" shrinkToFit="0" vertical="bottom" wrapText="0"/>
    </xf>
    <xf borderId="15" fillId="0" fontId="41" numFmtId="0" xfId="0" applyAlignment="1" applyBorder="1" applyFont="1">
      <alignment horizontal="right" readingOrder="0" shrinkToFit="0" vertical="bottom" wrapText="0"/>
    </xf>
    <xf borderId="0" fillId="0" fontId="15" numFmtId="0" xfId="0" applyFont="1"/>
    <xf borderId="23" fillId="0" fontId="41" numFmtId="0" xfId="0" applyAlignment="1" applyBorder="1" applyFont="1">
      <alignment horizontal="center" readingOrder="0" shrinkToFit="0" vertical="bottom" wrapText="0"/>
    </xf>
    <xf borderId="3" fillId="0" fontId="41" numFmtId="0" xfId="0" applyAlignment="1" applyBorder="1" applyFont="1">
      <alignment horizontal="center" readingOrder="0" shrinkToFit="0" vertical="bottom" wrapText="0"/>
    </xf>
    <xf borderId="3" fillId="0" fontId="19" numFmtId="0" xfId="0" applyAlignment="1" applyBorder="1" applyFont="1">
      <alignment readingOrder="0" shrinkToFit="0" vertical="bottom" wrapText="0"/>
    </xf>
    <xf borderId="9" fillId="0" fontId="17" numFmtId="0" xfId="0" applyAlignment="1" applyBorder="1" applyFont="1">
      <alignment readingOrder="0" shrinkToFit="0" vertical="bottom" wrapText="0"/>
    </xf>
    <xf borderId="9" fillId="0" fontId="21" numFmtId="4" xfId="0" applyAlignment="1" applyBorder="1" applyFont="1" applyNumberFormat="1">
      <alignment readingOrder="0" shrinkToFit="0" vertical="bottom" wrapText="0"/>
    </xf>
    <xf borderId="3" fillId="0" fontId="19" numFmtId="0" xfId="0" applyAlignment="1" applyBorder="1" applyFont="1">
      <alignment shrinkToFit="0" vertical="bottom" wrapText="0"/>
    </xf>
    <xf borderId="9" fillId="3" fontId="33" numFmtId="0" xfId="0" applyAlignment="1" applyBorder="1" applyFont="1">
      <alignment readingOrder="0"/>
    </xf>
    <xf borderId="0" fillId="0" fontId="16" numFmtId="0" xfId="0" applyFont="1"/>
    <xf borderId="0" fillId="0" fontId="16" numFmtId="0" xfId="0" applyAlignment="1" applyFont="1">
      <alignment readingOrder="0"/>
    </xf>
    <xf borderId="9" fillId="0" fontId="42" numFmtId="164" xfId="0" applyAlignment="1" applyBorder="1" applyFont="1" applyNumberFormat="1">
      <alignment readingOrder="0"/>
    </xf>
    <xf borderId="9" fillId="3" fontId="17" numFmtId="0" xfId="0" applyAlignment="1" applyBorder="1" applyFont="1">
      <alignment readingOrder="0"/>
    </xf>
    <xf borderId="9" fillId="0" fontId="33" numFmtId="0" xfId="0" applyAlignment="1" applyBorder="1" applyFont="1">
      <alignment horizontal="center"/>
    </xf>
    <xf borderId="9" fillId="0" fontId="36" numFmtId="0" xfId="0" applyAlignment="1" applyBorder="1" applyFont="1">
      <alignment readingOrder="0" shrinkToFit="0" vertical="bottom" wrapText="0"/>
    </xf>
    <xf borderId="9" fillId="0" fontId="43" numFmtId="0" xfId="0" applyAlignment="1" applyBorder="1" applyFont="1">
      <alignment readingOrder="0"/>
    </xf>
    <xf borderId="9" fillId="0" fontId="15" numFmtId="4" xfId="0" applyBorder="1" applyFont="1" applyNumberFormat="1"/>
    <xf borderId="9" fillId="0" fontId="15" numFmtId="4" xfId="0" applyAlignment="1" applyBorder="1" applyFont="1" applyNumberFormat="1">
      <alignment readingOrder="0"/>
    </xf>
    <xf borderId="9" fillId="0" fontId="20" numFmtId="4" xfId="0" applyAlignment="1" applyBorder="1" applyFont="1" applyNumberFormat="1">
      <alignment readingOrder="0"/>
    </xf>
    <xf borderId="9" fillId="0" fontId="15" numFmtId="0" xfId="0" applyAlignment="1" applyBorder="1" applyFont="1">
      <alignment readingOrder="0"/>
    </xf>
    <xf borderId="0" fillId="0" fontId="14" numFmtId="0" xfId="0" applyAlignment="1" applyFont="1">
      <alignment horizontal="center"/>
    </xf>
    <xf borderId="0" fillId="0" fontId="22" numFmtId="0" xfId="0" applyAlignment="1" applyFont="1">
      <alignment readingOrder="0"/>
    </xf>
    <xf borderId="9" fillId="0" fontId="32" numFmtId="2" xfId="0" applyAlignment="1" applyBorder="1" applyFont="1" applyNumberFormat="1">
      <alignment readingOrder="0"/>
    </xf>
    <xf borderId="9" fillId="0" fontId="44" numFmtId="0" xfId="0" applyAlignment="1" applyBorder="1" applyFont="1">
      <alignment readingOrder="0" vertical="bottom"/>
    </xf>
    <xf borderId="23" fillId="0" fontId="44" numFmtId="0" xfId="0" applyAlignment="1" applyBorder="1" applyFont="1">
      <alignment readingOrder="0" vertical="bottom"/>
    </xf>
    <xf borderId="18" fillId="0" fontId="18" numFmtId="0" xfId="0" applyBorder="1" applyFont="1"/>
    <xf borderId="0" fillId="0" fontId="15" numFmtId="164" xfId="0" applyAlignment="1" applyFont="1" applyNumberFormat="1">
      <alignment readingOrder="0"/>
    </xf>
    <xf borderId="9" fillId="0" fontId="21" numFmtId="164" xfId="0" applyBorder="1" applyFont="1" applyNumberFormat="1"/>
    <xf borderId="3" fillId="0" fontId="45" numFmtId="4" xfId="0" applyAlignment="1" applyBorder="1" applyFont="1" applyNumberFormat="1">
      <alignment readingOrder="0" shrinkToFit="0" vertical="bottom" wrapText="0"/>
    </xf>
    <xf borderId="3" fillId="0" fontId="43" numFmtId="4" xfId="0" applyAlignment="1" applyBorder="1" applyFont="1" applyNumberFormat="1">
      <alignment horizontal="left" readingOrder="0" shrinkToFit="0" vertical="bottom" wrapText="0"/>
    </xf>
    <xf borderId="3" fillId="0" fontId="46" numFmtId="4" xfId="0" applyAlignment="1" applyBorder="1" applyFont="1" applyNumberFormat="1">
      <alignment readingOrder="0" shrinkToFit="0" vertical="bottom" wrapText="0"/>
    </xf>
    <xf borderId="3" fillId="0" fontId="16" numFmtId="0" xfId="0" applyAlignment="1" applyBorder="1" applyFont="1">
      <alignment horizontal="left" readingOrder="0" shrinkToFit="0" vertical="bottom" wrapText="0"/>
    </xf>
    <xf borderId="9" fillId="0" fontId="47" numFmtId="0" xfId="0" applyAlignment="1" applyBorder="1" applyFont="1">
      <alignment readingOrder="0" vertical="bottom"/>
    </xf>
    <xf borderId="3" fillId="0" fontId="33" numFmtId="4" xfId="0" applyAlignment="1" applyBorder="1" applyFont="1" applyNumberFormat="1">
      <alignment horizontal="left" readingOrder="0" shrinkToFit="0" vertical="bottom" wrapText="0"/>
    </xf>
    <xf borderId="9" fillId="0" fontId="17" numFmtId="0" xfId="0" applyAlignment="1" applyBorder="1" applyFont="1">
      <alignment horizontal="center" readingOrder="0" shrinkToFit="0" vertical="bottom" wrapText="0"/>
    </xf>
    <xf borderId="3" fillId="0" fontId="41" numFmtId="4" xfId="0" applyAlignment="1" applyBorder="1" applyFont="1" applyNumberFormat="1">
      <alignment readingOrder="0" shrinkToFit="0" vertical="bottom" wrapText="0"/>
    </xf>
    <xf borderId="9" fillId="0" fontId="21" numFmtId="2" xfId="0" applyAlignment="1" applyBorder="1" applyFont="1" applyNumberFormat="1">
      <alignment readingOrder="0" shrinkToFit="0" vertical="bottom" wrapText="0"/>
    </xf>
    <xf borderId="9" fillId="0" fontId="48" numFmtId="0" xfId="0" applyAlignment="1" applyBorder="1" applyFont="1">
      <alignment readingOrder="0" shrinkToFit="0" vertical="bottom" wrapText="0"/>
    </xf>
    <xf borderId="9" fillId="0" fontId="49" numFmtId="164" xfId="0" applyAlignment="1" applyBorder="1" applyFont="1" applyNumberFormat="1">
      <alignment readingOrder="0" shrinkToFit="0" vertical="bottom" wrapText="0"/>
    </xf>
    <xf borderId="9" fillId="0" fontId="19" numFmtId="0" xfId="0" applyAlignment="1" applyBorder="1" applyFont="1">
      <alignment horizontal="center" readingOrder="0" shrinkToFit="0" vertical="bottom" wrapText="0"/>
    </xf>
    <xf borderId="16" fillId="0" fontId="18" numFmtId="164" xfId="0" applyBorder="1" applyFont="1" applyNumberFormat="1"/>
    <xf borderId="9" fillId="0" fontId="18" numFmtId="0" xfId="0" applyAlignment="1" applyBorder="1" applyFont="1">
      <alignment horizontal="center" vertical="bottom"/>
    </xf>
    <xf borderId="9" fillId="0" fontId="14" numFmtId="0" xfId="0" applyAlignment="1" applyBorder="1" applyFont="1">
      <alignment horizontal="left" readingOrder="0"/>
    </xf>
    <xf borderId="0" fillId="0" fontId="15" numFmtId="0" xfId="0" applyAlignment="1" applyFont="1">
      <alignment readingOrder="0"/>
    </xf>
    <xf borderId="3" fillId="0" fontId="43" numFmtId="0" xfId="0" applyAlignment="1" applyBorder="1" applyFont="1">
      <alignment horizontal="left" readingOrder="0" shrinkToFit="0" vertical="bottom" wrapText="0"/>
    </xf>
    <xf borderId="0" fillId="0" fontId="50" numFmtId="0" xfId="0" applyFont="1"/>
    <xf borderId="0" fillId="0" fontId="50" numFmtId="164" xfId="0" applyFont="1" applyNumberFormat="1"/>
    <xf borderId="9" fillId="0" fontId="20" numFmtId="164" xfId="0" applyAlignment="1" applyBorder="1" applyFont="1" applyNumberFormat="1">
      <alignment readingOrder="0"/>
    </xf>
    <xf borderId="3" fillId="0" fontId="51" numFmtId="4" xfId="0" applyAlignment="1" applyBorder="1" applyFont="1" applyNumberFormat="1">
      <alignment horizontal="left" readingOrder="0" shrinkToFit="0" vertical="bottom" wrapText="0"/>
    </xf>
    <xf borderId="0" fillId="0" fontId="50" numFmtId="0" xfId="0" applyAlignment="1" applyFont="1">
      <alignment readingOrder="0"/>
    </xf>
    <xf borderId="0" fillId="0" fontId="50" numFmtId="164" xfId="0" applyAlignment="1" applyFont="1" applyNumberFormat="1">
      <alignment readingOrder="0"/>
    </xf>
    <xf borderId="3" fillId="0" fontId="52" numFmtId="4" xfId="0" applyAlignment="1" applyBorder="1" applyFont="1" applyNumberFormat="1">
      <alignment readingOrder="0" shrinkToFit="0" vertical="bottom" wrapText="0"/>
    </xf>
    <xf borderId="3" fillId="0" fontId="33" numFmtId="0" xfId="0" applyAlignment="1" applyBorder="1" applyFont="1">
      <alignment horizontal="left" readingOrder="0" shrinkToFit="0" vertical="bottom" wrapText="0"/>
    </xf>
    <xf borderId="3" fillId="0" fontId="53" numFmtId="4" xfId="0" applyAlignment="1" applyBorder="1" applyFont="1" applyNumberFormat="1">
      <alignment horizontal="left" readingOrder="0" shrinkToFit="0" vertical="bottom" wrapText="0"/>
    </xf>
    <xf borderId="3" fillId="0" fontId="53" numFmtId="0" xfId="0" applyAlignment="1" applyBorder="1" applyFont="1">
      <alignment horizontal="left" readingOrder="0" shrinkToFit="0" vertical="bottom" wrapText="0"/>
    </xf>
    <xf borderId="15" fillId="0" fontId="31" numFmtId="0" xfId="0" applyAlignment="1" applyBorder="1" applyFont="1">
      <alignment horizontal="center" vertical="bottom"/>
    </xf>
    <xf borderId="15" fillId="0" fontId="30" numFmtId="0" xfId="0" applyAlignment="1" applyBorder="1" applyFont="1">
      <alignment horizontal="center" readingOrder="0" vertical="bottom"/>
    </xf>
    <xf borderId="9" fillId="3" fontId="14" numFmtId="0" xfId="0" applyAlignment="1" applyBorder="1" applyFont="1">
      <alignment readingOrder="0" vertical="bottom"/>
    </xf>
    <xf borderId="9" fillId="0" fontId="19" numFmtId="164" xfId="0" applyAlignment="1" applyBorder="1" applyFont="1" applyNumberFormat="1">
      <alignment readingOrder="0" shrinkToFit="0" vertical="bottom" wrapText="0"/>
    </xf>
    <xf borderId="15" fillId="0" fontId="54" numFmtId="0" xfId="0" applyAlignment="1" applyBorder="1" applyFont="1">
      <alignment horizontal="right" readingOrder="0"/>
    </xf>
    <xf borderId="9" fillId="0" fontId="54" numFmtId="164" xfId="0" applyBorder="1" applyFont="1" applyNumberFormat="1"/>
    <xf borderId="9" fillId="0" fontId="54" numFmtId="0" xfId="0" applyBorder="1" applyFont="1"/>
    <xf borderId="9" fillId="0" fontId="44" numFmtId="0" xfId="0" applyAlignment="1" applyBorder="1" applyFont="1">
      <alignment vertical="bottom"/>
    </xf>
    <xf borderId="9" fillId="0" fontId="31" numFmtId="166" xfId="0" applyAlignment="1" applyBorder="1" applyFont="1" applyNumberFormat="1">
      <alignment horizontal="center" vertical="bottom"/>
    </xf>
    <xf borderId="9" fillId="0" fontId="19" numFmtId="4" xfId="0" applyAlignment="1" applyBorder="1" applyFont="1" applyNumberFormat="1">
      <alignment readingOrder="0" shrinkToFit="0" vertical="bottom" wrapText="0"/>
    </xf>
    <xf borderId="9" fillId="0" fontId="31" numFmtId="166" xfId="0" applyAlignment="1" applyBorder="1" applyFont="1" applyNumberFormat="1">
      <alignment horizontal="center" readingOrder="0" vertical="bottom"/>
    </xf>
    <xf borderId="9" fillId="0" fontId="2" numFmtId="0" xfId="0" applyAlignment="1" applyBorder="1" applyFont="1">
      <alignment readingOrder="0" vertical="bottom"/>
    </xf>
    <xf borderId="9" fillId="0" fontId="55" numFmtId="164" xfId="0" applyAlignment="1" applyBorder="1" applyFont="1" applyNumberFormat="1">
      <alignment horizontal="right" vertical="bottom"/>
    </xf>
    <xf borderId="9" fillId="0" fontId="56" numFmtId="166" xfId="0" applyAlignment="1" applyBorder="1" applyFont="1" applyNumberFormat="1">
      <alignment horizontal="center" readingOrder="0" vertical="bottom"/>
    </xf>
    <xf borderId="9" fillId="0" fontId="2" numFmtId="0" xfId="0" applyAlignment="1" applyBorder="1" applyFont="1">
      <alignment vertical="bottom"/>
    </xf>
    <xf borderId="9" fillId="3" fontId="57" numFmtId="0" xfId="0" applyAlignment="1" applyBorder="1" applyFont="1">
      <alignment readingOrder="0"/>
    </xf>
    <xf borderId="9" fillId="0" fontId="58" numFmtId="0" xfId="0" applyAlignment="1" applyBorder="1" applyFont="1">
      <alignment vertical="bottom"/>
    </xf>
    <xf borderId="9" fillId="0" fontId="44" numFmtId="164" xfId="0" applyAlignment="1" applyBorder="1" applyFont="1" applyNumberFormat="1">
      <alignment horizontal="right" vertical="bottom"/>
    </xf>
    <xf borderId="3" fillId="0" fontId="59" numFmtId="0" xfId="0" applyAlignment="1" applyBorder="1" applyFont="1">
      <alignment readingOrder="0" shrinkToFit="0" vertical="bottom" wrapText="0"/>
    </xf>
    <xf borderId="9" fillId="0" fontId="47" numFmtId="0" xfId="0" applyAlignment="1" applyBorder="1" applyFont="1">
      <alignment vertical="bottom"/>
    </xf>
    <xf borderId="9" fillId="0" fontId="44" numFmtId="167" xfId="0" applyAlignment="1" applyBorder="1" applyFont="1" applyNumberFormat="1">
      <alignment horizontal="right" vertical="bottom"/>
    </xf>
    <xf borderId="9" fillId="0" fontId="60" numFmtId="164" xfId="0" applyAlignment="1" applyBorder="1" applyFont="1" applyNumberFormat="1">
      <alignment horizontal="right" vertical="bottom"/>
    </xf>
    <xf borderId="9" fillId="0" fontId="60" numFmtId="167" xfId="0" applyAlignment="1" applyBorder="1" applyFont="1" applyNumberFormat="1">
      <alignment horizontal="right" vertical="bottom"/>
    </xf>
    <xf borderId="0" fillId="0" fontId="41" numFmtId="0" xfId="0" applyAlignment="1" applyFont="1">
      <alignment horizontal="right" readingOrder="0" shrinkToFit="0" vertical="bottom" wrapText="0"/>
    </xf>
    <xf borderId="0" fillId="0" fontId="40" numFmtId="4" xfId="0" applyAlignment="1" applyFont="1" applyNumberFormat="1">
      <alignment readingOrder="0" shrinkToFit="0" vertical="bottom" wrapText="0"/>
    </xf>
    <xf borderId="0" fillId="0" fontId="19" numFmtId="0" xfId="0" applyAlignment="1" applyFont="1">
      <alignment shrinkToFit="0" vertical="bottom" wrapText="0"/>
    </xf>
    <xf borderId="3" fillId="0" fontId="51" numFmtId="0" xfId="0" applyAlignment="1" applyBorder="1" applyFont="1">
      <alignment horizontal="left" readingOrder="0" shrinkToFit="0" vertical="bottom" wrapText="0"/>
    </xf>
    <xf borderId="15" fillId="0" fontId="61" numFmtId="0" xfId="0" applyAlignment="1" applyBorder="1" applyFont="1">
      <alignment horizontal="right" readingOrder="0"/>
    </xf>
    <xf borderId="9" fillId="0" fontId="61" numFmtId="164" xfId="0" applyBorder="1" applyFont="1" applyNumberFormat="1"/>
    <xf borderId="9" fillId="0" fontId="61" numFmtId="0" xfId="0" applyBorder="1" applyFont="1"/>
    <xf borderId="0" fillId="0" fontId="62" numFmtId="164" xfId="0" applyFont="1" applyNumberFormat="1"/>
    <xf borderId="3" fillId="0" fontId="18" numFmtId="164" xfId="0" applyAlignment="1" applyBorder="1" applyFont="1" applyNumberFormat="1">
      <alignment readingOrder="0"/>
    </xf>
    <xf borderId="3" fillId="0" fontId="14" numFmtId="0" xfId="0" applyBorder="1" applyFont="1"/>
    <xf borderId="3" fillId="0" fontId="20" numFmtId="0" xfId="0" applyAlignment="1" applyBorder="1" applyFont="1">
      <alignment horizontal="left" readingOrder="0" shrinkToFit="0" vertical="bottom" wrapText="0"/>
    </xf>
    <xf borderId="9" fillId="0" fontId="40" numFmtId="164" xfId="0" applyAlignment="1" applyBorder="1" applyFont="1" applyNumberFormat="1">
      <alignment readingOrder="0"/>
    </xf>
    <xf borderId="23" fillId="0" fontId="47" numFmtId="0" xfId="0" applyAlignment="1" applyBorder="1" applyFont="1">
      <alignment readingOrder="0" vertical="bottom"/>
    </xf>
    <xf borderId="9" fillId="0" fontId="63" numFmtId="164" xfId="0" applyAlignment="1" applyBorder="1" applyFont="1" applyNumberFormat="1">
      <alignment readingOrder="0"/>
    </xf>
    <xf borderId="9" fillId="0" fontId="14" numFmtId="0" xfId="0" applyAlignment="1" applyBorder="1" applyFont="1">
      <alignment horizontal="center" readingOrder="0" shrinkToFit="0" vertical="center" wrapText="1"/>
    </xf>
    <xf borderId="24" fillId="0" fontId="14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readingOrder="0" shrinkToFit="0" vertical="bottom" wrapText="0"/>
    </xf>
    <xf borderId="25" fillId="0" fontId="4" numFmtId="0" xfId="0" applyBorder="1" applyFont="1"/>
    <xf borderId="23" fillId="0" fontId="4" numFmtId="0" xfId="0" applyBorder="1" applyFont="1"/>
    <xf borderId="3" fillId="0" fontId="16" numFmtId="4" xfId="0" applyAlignment="1" applyBorder="1" applyFont="1" applyNumberFormat="1">
      <alignment horizontal="left" readingOrder="0" shrinkToFit="0" vertical="bottom" wrapText="0"/>
    </xf>
    <xf borderId="0" fillId="0" fontId="18" numFmtId="164" xfId="0" applyAlignment="1" applyFont="1" applyNumberFormat="1">
      <alignment readingOrder="0"/>
    </xf>
    <xf borderId="9" fillId="0" fontId="14" numFmtId="164" xfId="0" applyAlignment="1" applyBorder="1" applyFont="1" applyNumberFormat="1">
      <alignment readingOrder="0"/>
    </xf>
    <xf borderId="9" fillId="0" fontId="17" numFmtId="164" xfId="0" applyAlignment="1" applyBorder="1" applyFont="1" applyNumberFormat="1">
      <alignment readingOrder="0"/>
    </xf>
    <xf borderId="9" fillId="0" fontId="14" numFmtId="0" xfId="0" applyAlignment="1" applyBorder="1" applyFont="1">
      <alignment vertical="bottom"/>
    </xf>
    <xf borderId="9" fillId="0" fontId="61" numFmtId="167" xfId="0" applyAlignment="1" applyBorder="1" applyFont="1" applyNumberFormat="1">
      <alignment horizontal="right" readingOrder="0"/>
    </xf>
    <xf borderId="3" fillId="0" fontId="44" numFmtId="0" xfId="0" applyAlignment="1" applyBorder="1" applyFont="1">
      <alignment readingOrder="0" vertical="bottom"/>
    </xf>
    <xf borderId="9" fillId="0" fontId="64" numFmtId="0" xfId="0" applyAlignment="1" applyBorder="1" applyFont="1">
      <alignment readingOrder="0" vertical="bottom"/>
    </xf>
    <xf borderId="9" fillId="0" fontId="41" numFmtId="4" xfId="0" applyAlignment="1" applyBorder="1" applyFont="1" applyNumberFormat="1">
      <alignment readingOrder="0" shrinkToFit="0" vertical="bottom" wrapText="0"/>
    </xf>
    <xf borderId="9" fillId="3" fontId="65" numFmtId="0" xfId="0" applyAlignment="1" applyBorder="1" applyFont="1">
      <alignment readingOrder="0"/>
    </xf>
    <xf borderId="9" fillId="0" fontId="17" numFmtId="164" xfId="0" applyBorder="1" applyFont="1" applyNumberFormat="1"/>
    <xf borderId="23" fillId="0" fontId="20" numFmtId="0" xfId="0" applyAlignment="1" applyBorder="1" applyFont="1">
      <alignment horizontal="center" readingOrder="0" shrinkToFit="0" vertical="bottom" wrapText="0"/>
    </xf>
    <xf borderId="3" fillId="0" fontId="63" numFmtId="0" xfId="0" applyAlignment="1" applyBorder="1" applyFont="1">
      <alignment horizontal="left" readingOrder="0" shrinkToFit="0" vertical="bottom" wrapText="0"/>
    </xf>
    <xf borderId="3" fillId="0" fontId="66" numFmtId="0" xfId="0" applyAlignment="1" applyBorder="1" applyFont="1">
      <alignment readingOrder="0" shrinkToFit="0" vertical="bottom" wrapText="0"/>
    </xf>
    <xf borderId="9" fillId="0" fontId="66" numFmtId="0" xfId="0" applyAlignment="1" applyBorder="1" applyFont="1">
      <alignment readingOrder="0"/>
    </xf>
    <xf borderId="0" fillId="0" fontId="7" numFmtId="164" xfId="0" applyFont="1" applyNumberFormat="1"/>
    <xf borderId="9" fillId="0" fontId="41" numFmtId="164" xfId="0" applyAlignment="1" applyBorder="1" applyFont="1" applyNumberFormat="1">
      <alignment readingOrder="0" shrinkToFit="0" vertical="bottom" wrapText="0"/>
    </xf>
    <xf borderId="0" fillId="0" fontId="67" numFmtId="0" xfId="0" applyAlignment="1" applyFont="1">
      <alignment readingOrder="0"/>
    </xf>
    <xf borderId="15" fillId="0" fontId="14" numFmtId="0" xfId="0" applyAlignment="1" applyBorder="1" applyFont="1">
      <alignment horizontal="right" readingOrder="0"/>
    </xf>
    <xf borderId="9" fillId="3" fontId="68" numFmtId="0" xfId="0" applyAlignment="1" applyBorder="1" applyFont="1">
      <alignment readingOrder="0" vertical="bottom"/>
    </xf>
    <xf borderId="15" fillId="0" fontId="15" numFmtId="0" xfId="0" applyAlignment="1" applyBorder="1" applyFont="1">
      <alignment horizontal="right" readingOrder="0"/>
    </xf>
    <xf borderId="9" fillId="0" fontId="21" numFmtId="164" xfId="0" applyAlignment="1" applyBorder="1" applyFont="1" applyNumberFormat="1">
      <alignment readingOrder="0"/>
    </xf>
    <xf borderId="3" fillId="0" fontId="21" numFmtId="164" xfId="0" applyAlignment="1" applyBorder="1" applyFont="1" applyNumberFormat="1">
      <alignment readingOrder="0"/>
    </xf>
    <xf borderId="15" fillId="0" fontId="69" numFmtId="0" xfId="0" applyAlignment="1" applyBorder="1" applyFont="1">
      <alignment horizontal="right" readingOrder="0"/>
    </xf>
    <xf borderId="9" fillId="0" fontId="69" numFmtId="164" xfId="0" applyBorder="1" applyFont="1" applyNumberFormat="1"/>
    <xf borderId="9" fillId="0" fontId="69" numFmtId="0" xfId="0" applyBorder="1" applyFont="1"/>
    <xf borderId="9" fillId="0" fontId="18" numFmtId="164" xfId="0" applyAlignment="1" applyBorder="1" applyFont="1" applyNumberFormat="1">
      <alignment horizontal="right" readingOrder="0"/>
    </xf>
    <xf borderId="9" fillId="0" fontId="40" numFmtId="164" xfId="0" applyAlignment="1" applyBorder="1" applyFont="1" applyNumberFormat="1">
      <alignment horizontal="right" readingOrder="0"/>
    </xf>
    <xf borderId="0" fillId="0" fontId="10" numFmtId="4" xfId="0" applyFont="1" applyNumberFormat="1"/>
    <xf borderId="23" fillId="0" fontId="24" numFmtId="0" xfId="0" applyAlignment="1" applyBorder="1" applyFont="1">
      <alignment horizontal="center" readingOrder="0" shrinkToFit="0" vertical="bottom" wrapText="0"/>
    </xf>
    <xf borderId="3" fillId="0" fontId="70" numFmtId="0" xfId="0" applyAlignment="1" applyBorder="1" applyFont="1">
      <alignment readingOrder="0" shrinkToFit="0" vertical="bottom" wrapText="0"/>
    </xf>
    <xf borderId="3" fillId="0" fontId="71" numFmtId="4" xfId="0" applyAlignment="1" applyBorder="1" applyFont="1" applyNumberFormat="1">
      <alignment readingOrder="0" shrinkToFit="0" vertical="bottom" wrapText="0"/>
    </xf>
    <xf borderId="0" fillId="0" fontId="3" numFmtId="0" xfId="0" applyAlignment="1" applyFont="1">
      <alignment horizontal="center" vertical="bottom"/>
    </xf>
    <xf borderId="0" fillId="0" fontId="72" numFmtId="0" xfId="0" applyAlignment="1" applyFont="1">
      <alignment horizontal="center" vertical="bottom"/>
    </xf>
    <xf borderId="15" fillId="0" fontId="73" numFmtId="168" xfId="0" applyAlignment="1" applyBorder="1" applyFont="1" applyNumberFormat="1">
      <alignment horizontal="center" readingOrder="0" vertical="bottom"/>
    </xf>
    <xf borderId="15" fillId="0" fontId="40" numFmtId="0" xfId="0" applyAlignment="1" applyBorder="1" applyFont="1">
      <alignment horizontal="right" readingOrder="0"/>
    </xf>
    <xf borderId="9" fillId="0" fontId="40" numFmtId="164" xfId="0" applyBorder="1" applyFont="1" applyNumberFormat="1"/>
    <xf borderId="15" fillId="0" fontId="32" numFmtId="0" xfId="0" applyAlignment="1" applyBorder="1" applyFont="1">
      <alignment horizontal="center" readingOrder="0" vertical="center"/>
    </xf>
    <xf borderId="9" fillId="0" fontId="15" numFmtId="0" xfId="0" applyAlignment="1" applyBorder="1" applyFont="1">
      <alignment horizontal="center" vertical="bottom"/>
    </xf>
    <xf borderId="9" fillId="0" fontId="29" numFmtId="0" xfId="0" applyAlignment="1" applyBorder="1" applyFont="1">
      <alignment horizontal="center" readingOrder="0"/>
    </xf>
    <xf borderId="9" fillId="0" fontId="14" numFmtId="164" xfId="0" applyAlignment="1" applyBorder="1" applyFont="1" applyNumberFormat="1">
      <alignment horizontal="center"/>
    </xf>
    <xf borderId="9" fillId="0" fontId="15" numFmtId="164" xfId="0" applyAlignment="1" applyBorder="1" applyFont="1" applyNumberFormat="1">
      <alignment horizontal="right" readingOrder="0"/>
    </xf>
    <xf borderId="9" fillId="0" fontId="14" numFmtId="164" xfId="0" applyAlignment="1" applyBorder="1" applyFont="1" applyNumberFormat="1">
      <alignment horizontal="center" readingOrder="0"/>
    </xf>
    <xf borderId="9" fillId="0" fontId="29" numFmtId="0" xfId="0" applyAlignment="1" applyBorder="1" applyFont="1">
      <alignment horizontal="center"/>
    </xf>
    <xf borderId="9" fillId="0" fontId="15" numFmtId="164" xfId="0" applyAlignment="1" applyBorder="1" applyFont="1" applyNumberFormat="1">
      <alignment horizontal="right"/>
    </xf>
    <xf borderId="9" fillId="0" fontId="15" numFmtId="9" xfId="0" applyAlignment="1" applyBorder="1" applyFont="1" applyNumberFormat="1">
      <alignment horizontal="center" readingOrder="0"/>
    </xf>
    <xf borderId="0" fillId="0" fontId="29" numFmtId="0" xfId="0" applyAlignment="1" applyFont="1">
      <alignment horizontal="center"/>
    </xf>
    <xf borderId="0" fillId="0" fontId="29" numFmtId="164" xfId="0" applyAlignment="1" applyFont="1" applyNumberFormat="1">
      <alignment horizontal="center"/>
    </xf>
    <xf borderId="0" fillId="3" fontId="74" numFmtId="0" xfId="0" applyAlignment="1" applyFont="1">
      <alignment readingOrder="0"/>
    </xf>
    <xf borderId="9" fillId="3" fontId="75" numFmtId="0" xfId="0" applyAlignment="1" applyBorder="1" applyFont="1">
      <alignment readingOrder="0"/>
    </xf>
    <xf borderId="24" fillId="0" fontId="14" numFmtId="0" xfId="0" applyBorder="1" applyFont="1"/>
    <xf borderId="24" fillId="0" fontId="14" numFmtId="0" xfId="0" applyAlignment="1" applyBorder="1" applyFont="1">
      <alignment readingOrder="0"/>
    </xf>
    <xf borderId="24" fillId="0" fontId="15" numFmtId="164" xfId="0" applyAlignment="1" applyBorder="1" applyFont="1" applyNumberFormat="1">
      <alignment readingOrder="0"/>
    </xf>
    <xf borderId="24" fillId="0" fontId="14" numFmtId="164" xfId="0" applyBorder="1" applyFont="1" applyNumberFormat="1"/>
    <xf borderId="9" fillId="0" fontId="76" numFmtId="0" xfId="0" applyAlignment="1" applyBorder="1" applyFont="1">
      <alignment horizontal="center" readingOrder="0"/>
    </xf>
    <xf borderId="26" fillId="0" fontId="77" numFmtId="17" xfId="0" applyAlignment="1" applyBorder="1" applyFont="1" applyNumberFormat="1">
      <alignment horizontal="center" readingOrder="0" vertical="bottom"/>
    </xf>
    <xf borderId="27" fillId="0" fontId="4" numFmtId="0" xfId="0" applyBorder="1" applyFont="1"/>
    <xf borderId="28" fillId="0" fontId="4" numFmtId="0" xfId="0" applyBorder="1" applyFont="1"/>
    <xf borderId="23" fillId="0" fontId="44" numFmtId="0" xfId="0" applyAlignment="1" applyBorder="1" applyFont="1">
      <alignment horizontal="center" vertical="bottom"/>
    </xf>
    <xf borderId="3" fillId="0" fontId="44" numFmtId="0" xfId="0" applyAlignment="1" applyBorder="1" applyFont="1">
      <alignment horizontal="center" vertical="bottom"/>
    </xf>
    <xf borderId="9" fillId="0" fontId="19" numFmtId="4" xfId="0" applyAlignment="1" applyBorder="1" applyFont="1" applyNumberFormat="1">
      <alignment readingOrder="0"/>
    </xf>
    <xf borderId="9" fillId="0" fontId="78" numFmtId="0" xfId="0" applyAlignment="1" applyBorder="1" applyFont="1">
      <alignment horizontal="center" vertical="bottom"/>
    </xf>
    <xf borderId="18" fillId="0" fontId="78" numFmtId="0" xfId="0" applyAlignment="1" applyBorder="1" applyFont="1">
      <alignment horizontal="center" vertical="bottom"/>
    </xf>
    <xf borderId="18" fillId="0" fontId="78" numFmtId="0" xfId="0" applyAlignment="1" applyBorder="1" applyFont="1">
      <alignment horizontal="center" readingOrder="0" vertical="bottom"/>
    </xf>
    <xf borderId="0" fillId="0" fontId="62" numFmtId="0" xfId="0" applyAlignment="1" applyFont="1">
      <alignment horizontal="center" readingOrder="0"/>
    </xf>
    <xf borderId="0" fillId="0" fontId="79" numFmtId="0" xfId="0" applyAlignment="1" applyFont="1">
      <alignment horizontal="center" vertical="bottom"/>
    </xf>
    <xf borderId="1" fillId="0" fontId="2" numFmtId="169" xfId="0" applyAlignment="1" applyBorder="1" applyFont="1" applyNumberFormat="1">
      <alignment vertical="bottom"/>
    </xf>
    <xf borderId="23" fillId="0" fontId="15" numFmtId="0" xfId="0" applyAlignment="1" applyBorder="1" applyFont="1">
      <alignment horizontal="center" vertical="center"/>
    </xf>
    <xf borderId="3" fillId="0" fontId="15" numFmtId="0" xfId="0" applyAlignment="1" applyBorder="1" applyFont="1">
      <alignment horizontal="center" vertical="center"/>
    </xf>
    <xf borderId="3" fillId="0" fontId="15" numFmtId="169" xfId="0" applyAlignment="1" applyBorder="1" applyFont="1" applyNumberFormat="1">
      <alignment horizontal="center" vertical="center"/>
    </xf>
    <xf borderId="3" fillId="0" fontId="15" numFmtId="169" xfId="0" applyAlignment="1" applyBorder="1" applyFont="1" applyNumberFormat="1">
      <alignment horizontal="center" readingOrder="0" vertical="center"/>
    </xf>
    <xf borderId="0" fillId="0" fontId="10" numFmtId="0" xfId="0" applyAlignment="1" applyFont="1">
      <alignment vertical="center"/>
    </xf>
    <xf borderId="9" fillId="0" fontId="15" numFmtId="170" xfId="0" applyAlignment="1" applyBorder="1" applyFont="1" applyNumberFormat="1">
      <alignment horizontal="center" readingOrder="0"/>
    </xf>
    <xf borderId="24" fillId="0" fontId="15" numFmtId="164" xfId="0" applyAlignment="1" applyBorder="1" applyFont="1" applyNumberFormat="1">
      <alignment horizontal="center" vertical="top"/>
    </xf>
    <xf borderId="9" fillId="0" fontId="15" numFmtId="0" xfId="0" applyBorder="1" applyFont="1"/>
    <xf borderId="9" fillId="0" fontId="15" numFmtId="0" xfId="0" applyAlignment="1" applyBorder="1" applyFont="1">
      <alignment horizontal="center" readingOrder="0"/>
    </xf>
    <xf borderId="9" fillId="0" fontId="15" numFmtId="0" xfId="0" applyAlignment="1" applyBorder="1" applyFont="1">
      <alignment horizontal="center"/>
    </xf>
    <xf borderId="29" fillId="0" fontId="26" numFmtId="164" xfId="0" applyBorder="1" applyFont="1" applyNumberFormat="1"/>
    <xf borderId="0" fillId="0" fontId="80" numFmtId="0" xfId="0" applyAlignment="1" applyFont="1">
      <alignment horizontal="center" vertical="bottom"/>
    </xf>
    <xf borderId="0" fillId="0" fontId="80" numFmtId="0" xfId="0" applyAlignment="1" applyFont="1">
      <alignment horizontal="center" readingOrder="0" vertical="bottom"/>
    </xf>
    <xf borderId="2" fillId="0" fontId="15" numFmtId="0" xfId="0" applyAlignment="1" applyBorder="1" applyFont="1">
      <alignment horizontal="center" vertical="bottom"/>
    </xf>
    <xf borderId="9" fillId="0" fontId="15" numFmtId="0" xfId="0" applyAlignment="1" applyBorder="1" applyFont="1">
      <alignment horizontal="center" readingOrder="0" vertical="bottom"/>
    </xf>
    <xf borderId="23" fillId="0" fontId="15" numFmtId="0" xfId="0" applyAlignment="1" applyBorder="1" applyFont="1">
      <alignment vertical="bottom"/>
    </xf>
    <xf borderId="3" fillId="0" fontId="15" numFmtId="4" xfId="0" applyAlignment="1" applyBorder="1" applyFont="1" applyNumberFormat="1">
      <alignment horizontal="center" vertical="bottom"/>
    </xf>
    <xf borderId="3" fillId="0" fontId="15" numFmtId="0" xfId="0" applyAlignment="1" applyBorder="1" applyFont="1">
      <alignment vertical="bottom"/>
    </xf>
    <xf borderId="15" fillId="0" fontId="10" numFmtId="0" xfId="0" applyAlignment="1" applyBorder="1" applyFont="1">
      <alignment horizontal="right" readingOrder="0"/>
    </xf>
    <xf borderId="23" fillId="0" fontId="15" numFmtId="0" xfId="0" applyAlignment="1" applyBorder="1" applyFont="1">
      <alignment readingOrder="0" vertical="bottom"/>
    </xf>
    <xf borderId="3" fillId="0" fontId="15" numFmtId="164" xfId="0" applyAlignment="1" applyBorder="1" applyFont="1" applyNumberFormat="1">
      <alignment horizontal="center" readingOrder="0" vertical="bottom"/>
    </xf>
    <xf borderId="3" fillId="0" fontId="15" numFmtId="164" xfId="0" applyAlignment="1" applyBorder="1" applyFont="1" applyNumberFormat="1">
      <alignment horizontal="center" vertical="bottom"/>
    </xf>
    <xf borderId="2" fillId="0" fontId="15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0</xdr:rowOff>
    </xdr:from>
    <xdr:ext cx="3514725" cy="781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info@blueline.com.b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info@blueline.com.b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3" max="3" width="49.75"/>
    <col customWidth="1" min="4" max="4" width="20.0"/>
    <col customWidth="1" min="5" max="5" width="17.0"/>
    <col customWidth="1" min="6" max="6" width="13.25"/>
    <col customWidth="1" min="7" max="7" width="18.63"/>
    <col customWidth="1" min="8" max="8" width="13.75"/>
    <col customWidth="1" min="9" max="9" width="18.0"/>
    <col customWidth="1" min="10" max="10" width="18.5"/>
    <col customWidth="1" min="11" max="11" width="21.13"/>
    <col customWidth="1" min="12" max="12" width="16.0"/>
    <col customWidth="1" min="16" max="16" width="37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>
      <c r="A6" s="4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>
      <c r="A7" s="4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>
      <c r="A9" s="7" t="s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>
      <c r="A10" s="10"/>
      <c r="B10" s="11">
        <v>44927.0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2"/>
      <c r="P10" s="13" t="s">
        <v>5</v>
      </c>
      <c r="Q10" s="14"/>
    </row>
    <row r="11">
      <c r="A11" s="15" t="s">
        <v>6</v>
      </c>
      <c r="B11" s="16" t="s">
        <v>7</v>
      </c>
      <c r="C11" s="16" t="s">
        <v>8</v>
      </c>
      <c r="D11" s="16" t="s">
        <v>9</v>
      </c>
      <c r="E11" s="16" t="s">
        <v>10</v>
      </c>
      <c r="F11" s="17" t="s">
        <v>11</v>
      </c>
      <c r="G11" s="5"/>
      <c r="H11" s="6"/>
      <c r="I11" s="17" t="s">
        <v>12</v>
      </c>
      <c r="J11" s="5"/>
      <c r="K11" s="5"/>
      <c r="L11" s="18"/>
      <c r="M11" s="19" t="s">
        <v>13</v>
      </c>
      <c r="P11" s="13" t="s">
        <v>14</v>
      </c>
      <c r="Q11" s="20">
        <v>9400.0</v>
      </c>
    </row>
    <row r="12">
      <c r="A12" s="21"/>
      <c r="B12" s="9"/>
      <c r="C12" s="9"/>
      <c r="D12" s="9"/>
      <c r="E12" s="9"/>
      <c r="F12" s="22" t="s">
        <v>15</v>
      </c>
      <c r="G12" s="22" t="s">
        <v>16</v>
      </c>
      <c r="H12" s="22" t="s">
        <v>17</v>
      </c>
      <c r="I12" s="22" t="s">
        <v>18</v>
      </c>
      <c r="J12" s="22" t="s">
        <v>19</v>
      </c>
      <c r="K12" s="22" t="s">
        <v>20</v>
      </c>
      <c r="L12" s="23" t="s">
        <v>21</v>
      </c>
      <c r="M12" s="12"/>
      <c r="P12" s="13" t="s">
        <v>22</v>
      </c>
      <c r="Q12" s="20">
        <v>70500.0</v>
      </c>
    </row>
    <row r="13">
      <c r="A13" s="24">
        <v>1.0</v>
      </c>
      <c r="B13" s="25" t="s">
        <v>23</v>
      </c>
      <c r="C13" s="26" t="s">
        <v>24</v>
      </c>
      <c r="D13" s="26" t="s">
        <v>25</v>
      </c>
      <c r="E13" s="26" t="s">
        <v>25</v>
      </c>
      <c r="F13" s="27">
        <v>48300.0</v>
      </c>
      <c r="G13" s="27">
        <v>48000.0</v>
      </c>
      <c r="H13" s="27">
        <f t="shared" ref="H13:H19" si="1">F13-G13</f>
        <v>300</v>
      </c>
      <c r="I13" s="27">
        <v>34420.0</v>
      </c>
      <c r="J13" s="28">
        <v>300.0</v>
      </c>
      <c r="K13" s="27"/>
      <c r="L13" s="29">
        <f t="shared" ref="L13:L20" si="2">I13+J13+K13</f>
        <v>34720</v>
      </c>
      <c r="M13" s="29">
        <f t="shared" ref="M13:M19" si="3">F13-L13</f>
        <v>13580</v>
      </c>
      <c r="Q13" s="30">
        <f>SUM(Q11:Q12)</f>
        <v>79900</v>
      </c>
    </row>
    <row r="14">
      <c r="A14" s="24">
        <v>2.0</v>
      </c>
      <c r="B14" s="25" t="s">
        <v>26</v>
      </c>
      <c r="C14" s="26" t="s">
        <v>27</v>
      </c>
      <c r="D14" s="26" t="s">
        <v>28</v>
      </c>
      <c r="E14" s="26" t="s">
        <v>28</v>
      </c>
      <c r="F14" s="27">
        <v>173000.0</v>
      </c>
      <c r="G14" s="27">
        <f>90000+30000</f>
        <v>120000</v>
      </c>
      <c r="H14" s="27">
        <f t="shared" si="1"/>
        <v>53000</v>
      </c>
      <c r="I14" s="27">
        <v>130660.0</v>
      </c>
      <c r="J14" s="27">
        <v>23000.0</v>
      </c>
      <c r="K14" s="31"/>
      <c r="L14" s="29">
        <f t="shared" si="2"/>
        <v>153660</v>
      </c>
      <c r="M14" s="29">
        <f t="shared" si="3"/>
        <v>19340</v>
      </c>
    </row>
    <row r="15">
      <c r="A15" s="24">
        <v>3.0</v>
      </c>
      <c r="B15" s="25" t="s">
        <v>29</v>
      </c>
      <c r="C15" s="26" t="s">
        <v>30</v>
      </c>
      <c r="D15" s="26" t="s">
        <v>31</v>
      </c>
      <c r="E15" s="26" t="s">
        <v>31</v>
      </c>
      <c r="F15" s="27">
        <f>230000+2000+10000+6000</f>
        <v>248000</v>
      </c>
      <c r="G15" s="27">
        <f>50000+198000</f>
        <v>248000</v>
      </c>
      <c r="H15" s="27">
        <f t="shared" si="1"/>
        <v>0</v>
      </c>
      <c r="I15" s="27">
        <v>147076.0</v>
      </c>
      <c r="J15" s="27">
        <v>0.0</v>
      </c>
      <c r="K15" s="31"/>
      <c r="L15" s="29">
        <f t="shared" si="2"/>
        <v>147076</v>
      </c>
      <c r="M15" s="29">
        <f t="shared" si="3"/>
        <v>100924</v>
      </c>
    </row>
    <row r="16">
      <c r="A16" s="24">
        <v>4.0</v>
      </c>
      <c r="B16" s="25" t="s">
        <v>32</v>
      </c>
      <c r="C16" s="26" t="s">
        <v>24</v>
      </c>
      <c r="D16" s="26" t="s">
        <v>33</v>
      </c>
      <c r="E16" s="26" t="s">
        <v>33</v>
      </c>
      <c r="F16" s="29">
        <f>9000+12000+8000+4000+1500+1100</f>
        <v>35600</v>
      </c>
      <c r="G16" s="27">
        <v>35600.0</v>
      </c>
      <c r="H16" s="27">
        <f t="shared" si="1"/>
        <v>0</v>
      </c>
      <c r="I16" s="27">
        <v>25630.0</v>
      </c>
      <c r="J16" s="32"/>
      <c r="K16" s="31"/>
      <c r="L16" s="29">
        <f t="shared" si="2"/>
        <v>25630</v>
      </c>
      <c r="M16" s="29">
        <f t="shared" si="3"/>
        <v>9970</v>
      </c>
    </row>
    <row r="17">
      <c r="A17" s="24">
        <v>5.0</v>
      </c>
      <c r="B17" s="25" t="s">
        <v>34</v>
      </c>
      <c r="C17" s="26" t="s">
        <v>30</v>
      </c>
      <c r="D17" s="26" t="s">
        <v>35</v>
      </c>
      <c r="E17" s="26" t="s">
        <v>35</v>
      </c>
      <c r="F17" s="27">
        <v>45000.0</v>
      </c>
      <c r="G17" s="27">
        <v>45000.0</v>
      </c>
      <c r="H17" s="27">
        <f t="shared" si="1"/>
        <v>0</v>
      </c>
      <c r="I17" s="27">
        <f>18187+2500*3</f>
        <v>25687</v>
      </c>
      <c r="J17" s="32"/>
      <c r="K17" s="31"/>
      <c r="L17" s="29">
        <f t="shared" si="2"/>
        <v>25687</v>
      </c>
      <c r="M17" s="29">
        <f t="shared" si="3"/>
        <v>19313</v>
      </c>
    </row>
    <row r="18">
      <c r="A18" s="24">
        <v>6.0</v>
      </c>
      <c r="B18" s="25" t="s">
        <v>36</v>
      </c>
      <c r="C18" s="26" t="s">
        <v>37</v>
      </c>
      <c r="D18" s="26" t="s">
        <v>38</v>
      </c>
      <c r="E18" s="26" t="s">
        <v>38</v>
      </c>
      <c r="F18" s="27">
        <v>8000.0</v>
      </c>
      <c r="G18" s="27">
        <v>8000.0</v>
      </c>
      <c r="H18" s="27">
        <f t="shared" si="1"/>
        <v>0</v>
      </c>
      <c r="I18" s="27">
        <v>120.0</v>
      </c>
      <c r="J18" s="29"/>
      <c r="K18" s="31"/>
      <c r="L18" s="29">
        <f t="shared" si="2"/>
        <v>120</v>
      </c>
      <c r="M18" s="29">
        <f t="shared" si="3"/>
        <v>7880</v>
      </c>
    </row>
    <row r="19">
      <c r="A19" s="24">
        <v>7.0</v>
      </c>
      <c r="B19" s="25" t="s">
        <v>39</v>
      </c>
      <c r="C19" s="26" t="s">
        <v>40</v>
      </c>
      <c r="D19" s="26" t="s">
        <v>41</v>
      </c>
      <c r="E19" s="26" t="s">
        <v>41</v>
      </c>
      <c r="F19" s="29">
        <f>3000+3000+3000+2000+1000</f>
        <v>12000</v>
      </c>
      <c r="G19" s="29"/>
      <c r="H19" s="27">
        <f t="shared" si="1"/>
        <v>12000</v>
      </c>
      <c r="I19" s="27">
        <f>975+2500</f>
        <v>3475</v>
      </c>
      <c r="J19" s="29"/>
      <c r="K19" s="31"/>
      <c r="L19" s="29">
        <f t="shared" si="2"/>
        <v>3475</v>
      </c>
      <c r="M19" s="29">
        <f t="shared" si="3"/>
        <v>8525</v>
      </c>
    </row>
    <row r="20">
      <c r="A20" s="33" t="s">
        <v>42</v>
      </c>
      <c r="B20" s="34"/>
      <c r="C20" s="34"/>
      <c r="D20" s="34"/>
      <c r="E20" s="35"/>
      <c r="F20" s="36">
        <f t="shared" ref="F20:G20" si="4">SUM(F13:F19)</f>
        <v>569900</v>
      </c>
      <c r="G20" s="36">
        <f t="shared" si="4"/>
        <v>504600</v>
      </c>
      <c r="H20" s="36">
        <f>SUM(H13:H18)</f>
        <v>53300</v>
      </c>
      <c r="I20" s="36">
        <f t="shared" ref="I20:K20" si="5">SUM(I13:I19)</f>
        <v>367068</v>
      </c>
      <c r="J20" s="36">
        <f t="shared" si="5"/>
        <v>23300</v>
      </c>
      <c r="K20" s="36">
        <f t="shared" si="5"/>
        <v>0</v>
      </c>
      <c r="L20" s="37">
        <f t="shared" si="2"/>
        <v>390368</v>
      </c>
      <c r="M20" s="36">
        <f>SUM(M13:M18)</f>
        <v>171007</v>
      </c>
    </row>
    <row r="24">
      <c r="A24" s="38">
        <v>44958.0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9"/>
    </row>
    <row r="25">
      <c r="A25" s="15" t="s">
        <v>6</v>
      </c>
      <c r="B25" s="16" t="s">
        <v>7</v>
      </c>
      <c r="C25" s="16" t="s">
        <v>8</v>
      </c>
      <c r="D25" s="16" t="s">
        <v>9</v>
      </c>
      <c r="E25" s="16" t="s">
        <v>10</v>
      </c>
      <c r="F25" s="17" t="s">
        <v>11</v>
      </c>
      <c r="G25" s="5"/>
      <c r="H25" s="6"/>
      <c r="I25" s="17" t="s">
        <v>12</v>
      </c>
      <c r="J25" s="5"/>
      <c r="K25" s="5"/>
      <c r="L25" s="18"/>
      <c r="M25" s="19" t="s">
        <v>13</v>
      </c>
    </row>
    <row r="26">
      <c r="A26" s="21"/>
      <c r="B26" s="9"/>
      <c r="C26" s="9"/>
      <c r="D26" s="9"/>
      <c r="E26" s="9"/>
      <c r="F26" s="22" t="s">
        <v>15</v>
      </c>
      <c r="G26" s="22" t="s">
        <v>16</v>
      </c>
      <c r="H26" s="22" t="s">
        <v>17</v>
      </c>
      <c r="I26" s="22" t="s">
        <v>18</v>
      </c>
      <c r="J26" s="22" t="s">
        <v>19</v>
      </c>
      <c r="K26" s="22" t="s">
        <v>20</v>
      </c>
      <c r="L26" s="23" t="s">
        <v>21</v>
      </c>
      <c r="M26" s="12"/>
    </row>
    <row r="27">
      <c r="A27" s="24">
        <v>1.0</v>
      </c>
      <c r="B27" s="25" t="s">
        <v>43</v>
      </c>
      <c r="C27" s="26" t="s">
        <v>44</v>
      </c>
      <c r="D27" s="26" t="s">
        <v>45</v>
      </c>
      <c r="E27" s="26" t="s">
        <v>45</v>
      </c>
      <c r="F27" s="27">
        <v>377598.0</v>
      </c>
      <c r="G27" s="27">
        <v>377598.0</v>
      </c>
      <c r="H27" s="27">
        <f t="shared" ref="H27:H41" si="6">F27-G27</f>
        <v>0</v>
      </c>
      <c r="I27" s="27">
        <v>205860.0</v>
      </c>
      <c r="J27" s="28"/>
      <c r="K27" s="27"/>
      <c r="L27" s="29">
        <f t="shared" ref="L27:L42" si="7">I27+J27+K27</f>
        <v>205860</v>
      </c>
      <c r="M27" s="29">
        <f t="shared" ref="M27:M41" si="8">F27-L27</f>
        <v>171738</v>
      </c>
    </row>
    <row r="28">
      <c r="A28" s="24">
        <v>2.0</v>
      </c>
      <c r="B28" s="25" t="s">
        <v>46</v>
      </c>
      <c r="C28" s="26" t="s">
        <v>24</v>
      </c>
      <c r="D28" s="26" t="s">
        <v>47</v>
      </c>
      <c r="E28" s="26" t="s">
        <v>47</v>
      </c>
      <c r="F28" s="27">
        <v>35000.0</v>
      </c>
      <c r="G28" s="27">
        <v>35000.0</v>
      </c>
      <c r="H28" s="27">
        <f t="shared" si="6"/>
        <v>0</v>
      </c>
      <c r="I28" s="27">
        <v>25630.0</v>
      </c>
      <c r="J28" s="27"/>
      <c r="K28" s="31"/>
      <c r="L28" s="29">
        <f t="shared" si="7"/>
        <v>25630</v>
      </c>
      <c r="M28" s="29">
        <f t="shared" si="8"/>
        <v>9370</v>
      </c>
    </row>
    <row r="29">
      <c r="A29" s="24">
        <v>3.0</v>
      </c>
      <c r="B29" s="25" t="s">
        <v>48</v>
      </c>
      <c r="C29" s="26" t="s">
        <v>49</v>
      </c>
      <c r="D29" s="26" t="s">
        <v>50</v>
      </c>
      <c r="E29" s="26" t="s">
        <v>50</v>
      </c>
      <c r="F29" s="27">
        <v>37200.0</v>
      </c>
      <c r="G29" s="27">
        <f>5000+30000</f>
        <v>35000</v>
      </c>
      <c r="H29" s="27">
        <f t="shared" si="6"/>
        <v>2200</v>
      </c>
      <c r="I29" s="27">
        <f>10450+4000</f>
        <v>14450</v>
      </c>
      <c r="J29" s="27">
        <v>2200.0</v>
      </c>
      <c r="K29" s="31"/>
      <c r="L29" s="29">
        <f t="shared" si="7"/>
        <v>16650</v>
      </c>
      <c r="M29" s="29">
        <f t="shared" si="8"/>
        <v>20550</v>
      </c>
    </row>
    <row r="30">
      <c r="A30" s="24">
        <v>4.0</v>
      </c>
      <c r="B30" s="25" t="s">
        <v>51</v>
      </c>
      <c r="C30" s="26" t="s">
        <v>52</v>
      </c>
      <c r="D30" s="26" t="s">
        <v>53</v>
      </c>
      <c r="E30" s="26" t="s">
        <v>53</v>
      </c>
      <c r="F30" s="27">
        <v>74500.0</v>
      </c>
      <c r="G30" s="27">
        <v>50000.0</v>
      </c>
      <c r="H30" s="27">
        <f t="shared" si="6"/>
        <v>24500</v>
      </c>
      <c r="I30" s="27">
        <v>35790.0</v>
      </c>
      <c r="J30" s="40">
        <v>14500.0</v>
      </c>
      <c r="K30" s="31"/>
      <c r="L30" s="29">
        <f t="shared" si="7"/>
        <v>50290</v>
      </c>
      <c r="M30" s="29">
        <f t="shared" si="8"/>
        <v>24210</v>
      </c>
    </row>
    <row r="31">
      <c r="A31" s="24">
        <v>5.0</v>
      </c>
      <c r="B31" s="25" t="s">
        <v>54</v>
      </c>
      <c r="C31" s="26" t="s">
        <v>55</v>
      </c>
      <c r="D31" s="26" t="s">
        <v>56</v>
      </c>
      <c r="E31" s="26" t="s">
        <v>56</v>
      </c>
      <c r="F31" s="27">
        <v>143600.0</v>
      </c>
      <c r="G31" s="27">
        <v>100000.0</v>
      </c>
      <c r="H31" s="27">
        <f t="shared" si="6"/>
        <v>43600</v>
      </c>
      <c r="I31" s="27">
        <f>91630+5000</f>
        <v>96630</v>
      </c>
      <c r="J31" s="40">
        <v>8600.0</v>
      </c>
      <c r="K31" s="31"/>
      <c r="L31" s="29">
        <f t="shared" si="7"/>
        <v>105230</v>
      </c>
      <c r="M31" s="29">
        <f t="shared" si="8"/>
        <v>38370</v>
      </c>
    </row>
    <row r="32">
      <c r="A32" s="24">
        <v>6.0</v>
      </c>
      <c r="B32" s="25" t="s">
        <v>54</v>
      </c>
      <c r="C32" s="26" t="s">
        <v>57</v>
      </c>
      <c r="D32" s="26" t="s">
        <v>58</v>
      </c>
      <c r="E32" s="26" t="s">
        <v>58</v>
      </c>
      <c r="F32" s="27">
        <v>6800.0</v>
      </c>
      <c r="G32" s="27"/>
      <c r="H32" s="27">
        <f t="shared" si="6"/>
        <v>6800</v>
      </c>
      <c r="I32" s="27">
        <v>3305.0</v>
      </c>
      <c r="J32" s="29"/>
      <c r="K32" s="31"/>
      <c r="L32" s="29">
        <f t="shared" si="7"/>
        <v>3305</v>
      </c>
      <c r="M32" s="29">
        <f t="shared" si="8"/>
        <v>3495</v>
      </c>
    </row>
    <row r="33">
      <c r="A33" s="24">
        <v>7.0</v>
      </c>
      <c r="B33" s="25" t="s">
        <v>59</v>
      </c>
      <c r="C33" s="26" t="s">
        <v>57</v>
      </c>
      <c r="D33" s="26" t="s">
        <v>60</v>
      </c>
      <c r="E33" s="26" t="s">
        <v>60</v>
      </c>
      <c r="F33" s="27">
        <v>7800.0</v>
      </c>
      <c r="G33" s="29"/>
      <c r="H33" s="27">
        <f t="shared" si="6"/>
        <v>7800</v>
      </c>
      <c r="I33" s="27">
        <v>3500.0</v>
      </c>
      <c r="J33" s="29"/>
      <c r="K33" s="31"/>
      <c r="L33" s="29">
        <f t="shared" si="7"/>
        <v>3500</v>
      </c>
      <c r="M33" s="29">
        <f t="shared" si="8"/>
        <v>4300</v>
      </c>
    </row>
    <row r="34">
      <c r="A34" s="24">
        <v>8.0</v>
      </c>
      <c r="B34" s="25" t="s">
        <v>61</v>
      </c>
      <c r="C34" s="26" t="s">
        <v>24</v>
      </c>
      <c r="D34" s="26" t="s">
        <v>62</v>
      </c>
      <c r="E34" s="26" t="s">
        <v>62</v>
      </c>
      <c r="F34" s="27">
        <v>35000.0</v>
      </c>
      <c r="G34" s="27">
        <v>35000.0</v>
      </c>
      <c r="H34" s="27">
        <f t="shared" si="6"/>
        <v>0</v>
      </c>
      <c r="I34" s="27">
        <v>25500.0</v>
      </c>
      <c r="J34" s="29"/>
      <c r="K34" s="31"/>
      <c r="L34" s="29">
        <f t="shared" si="7"/>
        <v>25500</v>
      </c>
      <c r="M34" s="29">
        <f t="shared" si="8"/>
        <v>9500</v>
      </c>
    </row>
    <row r="35">
      <c r="A35" s="24">
        <v>9.0</v>
      </c>
      <c r="B35" s="25" t="s">
        <v>63</v>
      </c>
      <c r="C35" s="26" t="s">
        <v>57</v>
      </c>
      <c r="D35" s="26" t="s">
        <v>64</v>
      </c>
      <c r="E35" s="26" t="s">
        <v>64</v>
      </c>
      <c r="F35" s="27">
        <v>7800.0</v>
      </c>
      <c r="G35" s="29"/>
      <c r="H35" s="27">
        <f t="shared" si="6"/>
        <v>7800</v>
      </c>
      <c r="I35" s="27">
        <v>3500.0</v>
      </c>
      <c r="J35" s="29"/>
      <c r="K35" s="31"/>
      <c r="L35" s="29">
        <f t="shared" si="7"/>
        <v>3500</v>
      </c>
      <c r="M35" s="29">
        <f t="shared" si="8"/>
        <v>4300</v>
      </c>
    </row>
    <row r="36">
      <c r="A36" s="24">
        <v>10.0</v>
      </c>
      <c r="B36" s="25" t="s">
        <v>63</v>
      </c>
      <c r="C36" s="26" t="s">
        <v>65</v>
      </c>
      <c r="D36" s="26" t="s">
        <v>66</v>
      </c>
      <c r="E36" s="26" t="s">
        <v>66</v>
      </c>
      <c r="F36" s="27">
        <v>65400.0</v>
      </c>
      <c r="G36" s="27">
        <v>25000.0</v>
      </c>
      <c r="H36" s="27">
        <f t="shared" si="6"/>
        <v>40400</v>
      </c>
      <c r="I36" s="27">
        <v>32505.0</v>
      </c>
      <c r="J36" s="27">
        <v>5400.0</v>
      </c>
      <c r="K36" s="31"/>
      <c r="L36" s="29">
        <f t="shared" si="7"/>
        <v>37905</v>
      </c>
      <c r="M36" s="29">
        <f t="shared" si="8"/>
        <v>27495</v>
      </c>
    </row>
    <row r="37">
      <c r="A37" s="24">
        <v>11.0</v>
      </c>
      <c r="B37" s="25">
        <v>2302.2023</v>
      </c>
      <c r="C37" s="26" t="s">
        <v>67</v>
      </c>
      <c r="D37" s="26" t="s">
        <v>68</v>
      </c>
      <c r="E37" s="26" t="s">
        <v>68</v>
      </c>
      <c r="F37" s="27">
        <v>52500.0</v>
      </c>
      <c r="G37" s="27">
        <v>30000.0</v>
      </c>
      <c r="H37" s="27">
        <f t="shared" si="6"/>
        <v>22500</v>
      </c>
      <c r="I37" s="27">
        <v>18170.0</v>
      </c>
      <c r="J37" s="29"/>
      <c r="K37" s="31"/>
      <c r="L37" s="29">
        <f t="shared" si="7"/>
        <v>18170</v>
      </c>
      <c r="M37" s="29">
        <f t="shared" si="8"/>
        <v>34330</v>
      </c>
    </row>
    <row r="38">
      <c r="A38" s="24">
        <v>12.0</v>
      </c>
      <c r="B38" s="25" t="s">
        <v>63</v>
      </c>
      <c r="C38" s="26" t="s">
        <v>69</v>
      </c>
      <c r="D38" s="26" t="s">
        <v>70</v>
      </c>
      <c r="E38" s="26" t="s">
        <v>70</v>
      </c>
      <c r="F38" s="27">
        <v>3000.0</v>
      </c>
      <c r="G38" s="29"/>
      <c r="H38" s="27">
        <f t="shared" si="6"/>
        <v>3000</v>
      </c>
      <c r="I38" s="27"/>
      <c r="J38" s="29"/>
      <c r="K38" s="31"/>
      <c r="L38" s="29">
        <f t="shared" si="7"/>
        <v>0</v>
      </c>
      <c r="M38" s="29">
        <f t="shared" si="8"/>
        <v>3000</v>
      </c>
    </row>
    <row r="39">
      <c r="A39" s="24">
        <v>13.0</v>
      </c>
      <c r="B39" s="25" t="s">
        <v>63</v>
      </c>
      <c r="C39" s="26" t="s">
        <v>71</v>
      </c>
      <c r="D39" s="26" t="s">
        <v>72</v>
      </c>
      <c r="E39" s="26" t="s">
        <v>72</v>
      </c>
      <c r="F39" s="29">
        <f>19*4*250</f>
        <v>19000</v>
      </c>
      <c r="G39" s="27">
        <v>19000.0</v>
      </c>
      <c r="H39" s="27">
        <f t="shared" si="6"/>
        <v>0</v>
      </c>
      <c r="I39" s="27"/>
      <c r="J39" s="29"/>
      <c r="K39" s="31"/>
      <c r="L39" s="29">
        <f t="shared" si="7"/>
        <v>0</v>
      </c>
      <c r="M39" s="29">
        <f t="shared" si="8"/>
        <v>19000</v>
      </c>
    </row>
    <row r="40">
      <c r="A40" s="24">
        <v>14.0</v>
      </c>
      <c r="B40" s="25" t="s">
        <v>73</v>
      </c>
      <c r="C40" s="26" t="s">
        <v>74</v>
      </c>
      <c r="D40" s="26" t="s">
        <v>75</v>
      </c>
      <c r="E40" s="26" t="s">
        <v>75</v>
      </c>
      <c r="F40" s="27">
        <v>15000.0</v>
      </c>
      <c r="G40" s="27">
        <v>15000.0</v>
      </c>
      <c r="H40" s="27">
        <f t="shared" si="6"/>
        <v>0</v>
      </c>
      <c r="I40" s="27">
        <v>920.0</v>
      </c>
      <c r="J40" s="29"/>
      <c r="K40" s="31"/>
      <c r="L40" s="29">
        <f t="shared" si="7"/>
        <v>920</v>
      </c>
      <c r="M40" s="29">
        <f t="shared" si="8"/>
        <v>14080</v>
      </c>
    </row>
    <row r="41">
      <c r="A41" s="24">
        <v>15.0</v>
      </c>
      <c r="B41" s="25" t="s">
        <v>76</v>
      </c>
      <c r="C41" s="26" t="s">
        <v>57</v>
      </c>
      <c r="D41" s="26" t="s">
        <v>77</v>
      </c>
      <c r="E41" s="26" t="s">
        <v>77</v>
      </c>
      <c r="F41" s="27">
        <v>52000.0</v>
      </c>
      <c r="G41" s="29"/>
      <c r="H41" s="27">
        <f t="shared" si="6"/>
        <v>52000</v>
      </c>
      <c r="I41" s="27">
        <v>19820.0</v>
      </c>
      <c r="J41" s="29"/>
      <c r="K41" s="31"/>
      <c r="L41" s="29">
        <f t="shared" si="7"/>
        <v>19820</v>
      </c>
      <c r="M41" s="29">
        <f t="shared" si="8"/>
        <v>32180</v>
      </c>
    </row>
    <row r="42">
      <c r="A42" s="33" t="s">
        <v>42</v>
      </c>
      <c r="B42" s="34"/>
      <c r="C42" s="34"/>
      <c r="D42" s="34"/>
      <c r="E42" s="35"/>
      <c r="F42" s="36">
        <f t="shared" ref="F42:G42" si="9">SUM(F27:F41)</f>
        <v>932198</v>
      </c>
      <c r="G42" s="36">
        <f t="shared" si="9"/>
        <v>721598</v>
      </c>
      <c r="H42" s="36">
        <f>SUM(H27:H32)</f>
        <v>77100</v>
      </c>
      <c r="I42" s="36">
        <f t="shared" ref="I42:K42" si="10">SUM(I27:I41)</f>
        <v>485580</v>
      </c>
      <c r="J42" s="36">
        <f t="shared" si="10"/>
        <v>30700</v>
      </c>
      <c r="K42" s="36">
        <f t="shared" si="10"/>
        <v>0</v>
      </c>
      <c r="L42" s="37">
        <f t="shared" si="7"/>
        <v>516280</v>
      </c>
      <c r="M42" s="36">
        <f>SUM(M27:M32)</f>
        <v>267733</v>
      </c>
    </row>
    <row r="46">
      <c r="A46" s="38">
        <v>44986.0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9"/>
    </row>
    <row r="47">
      <c r="A47" s="15" t="s">
        <v>6</v>
      </c>
      <c r="B47" s="16" t="s">
        <v>7</v>
      </c>
      <c r="C47" s="16" t="s">
        <v>8</v>
      </c>
      <c r="D47" s="16" t="s">
        <v>9</v>
      </c>
      <c r="E47" s="16" t="s">
        <v>10</v>
      </c>
      <c r="F47" s="17" t="s">
        <v>11</v>
      </c>
      <c r="G47" s="5"/>
      <c r="H47" s="6"/>
      <c r="I47" s="17" t="s">
        <v>12</v>
      </c>
      <c r="J47" s="5"/>
      <c r="K47" s="5"/>
      <c r="L47" s="18"/>
      <c r="M47" s="19" t="s">
        <v>13</v>
      </c>
    </row>
    <row r="48">
      <c r="A48" s="21"/>
      <c r="B48" s="9"/>
      <c r="C48" s="9"/>
      <c r="D48" s="9"/>
      <c r="E48" s="9"/>
      <c r="F48" s="22" t="s">
        <v>15</v>
      </c>
      <c r="G48" s="22" t="s">
        <v>16</v>
      </c>
      <c r="H48" s="22" t="s">
        <v>17</v>
      </c>
      <c r="I48" s="22" t="s">
        <v>18</v>
      </c>
      <c r="J48" s="22" t="s">
        <v>19</v>
      </c>
      <c r="K48" s="22" t="s">
        <v>20</v>
      </c>
      <c r="L48" s="23" t="s">
        <v>21</v>
      </c>
      <c r="M48" s="12"/>
    </row>
    <row r="49">
      <c r="A49" s="24">
        <v>1.0</v>
      </c>
      <c r="B49" s="25" t="s">
        <v>78</v>
      </c>
      <c r="C49" s="26" t="s">
        <v>79</v>
      </c>
      <c r="D49" s="26" t="s">
        <v>80</v>
      </c>
      <c r="E49" s="26" t="s">
        <v>80</v>
      </c>
      <c r="F49" s="27">
        <v>75000.0</v>
      </c>
      <c r="G49" s="27">
        <v>75000.0</v>
      </c>
      <c r="H49" s="27">
        <f t="shared" ref="H49:H60" si="11">F49-G49</f>
        <v>0</v>
      </c>
      <c r="I49" s="27">
        <v>42670.0</v>
      </c>
      <c r="J49" s="28"/>
      <c r="K49" s="27"/>
      <c r="L49" s="29">
        <f t="shared" ref="L49:L61" si="12">I49+J49+K49</f>
        <v>42670</v>
      </c>
      <c r="M49" s="29">
        <f t="shared" ref="M49:M60" si="13">F49-L49</f>
        <v>32330</v>
      </c>
    </row>
    <row r="50">
      <c r="A50" s="24">
        <v>2.0</v>
      </c>
      <c r="B50" s="25" t="s">
        <v>81</v>
      </c>
      <c r="C50" s="26" t="s">
        <v>82</v>
      </c>
      <c r="D50" s="26" t="s">
        <v>83</v>
      </c>
      <c r="E50" s="26" t="s">
        <v>83</v>
      </c>
      <c r="F50" s="27">
        <v>5000.0</v>
      </c>
      <c r="G50" s="27"/>
      <c r="H50" s="27">
        <f t="shared" si="11"/>
        <v>5000</v>
      </c>
      <c r="I50" s="27">
        <v>1000.0</v>
      </c>
      <c r="J50" s="27"/>
      <c r="K50" s="31"/>
      <c r="L50" s="29">
        <f t="shared" si="12"/>
        <v>1000</v>
      </c>
      <c r="M50" s="29">
        <f t="shared" si="13"/>
        <v>4000</v>
      </c>
    </row>
    <row r="51">
      <c r="A51" s="24">
        <v>3.0</v>
      </c>
      <c r="B51" s="25" t="s">
        <v>84</v>
      </c>
      <c r="C51" s="26" t="s">
        <v>85</v>
      </c>
      <c r="D51" s="26" t="s">
        <v>86</v>
      </c>
      <c r="E51" s="26" t="s">
        <v>86</v>
      </c>
      <c r="F51" s="27">
        <v>1200000.0</v>
      </c>
      <c r="G51" s="27">
        <v>700000.0</v>
      </c>
      <c r="H51" s="27">
        <f t="shared" si="11"/>
        <v>500000</v>
      </c>
      <c r="I51" s="27">
        <f>984220+1500</f>
        <v>985720</v>
      </c>
      <c r="J51" s="27"/>
      <c r="K51" s="31"/>
      <c r="L51" s="29">
        <f t="shared" si="12"/>
        <v>985720</v>
      </c>
      <c r="M51" s="29">
        <f t="shared" si="13"/>
        <v>214280</v>
      </c>
    </row>
    <row r="52">
      <c r="A52" s="24">
        <v>4.0</v>
      </c>
      <c r="B52" s="25" t="s">
        <v>87</v>
      </c>
      <c r="C52" s="26" t="s">
        <v>88</v>
      </c>
      <c r="D52" s="26" t="s">
        <v>89</v>
      </c>
      <c r="E52" s="26" t="s">
        <v>89</v>
      </c>
      <c r="F52" s="27">
        <v>11760.0</v>
      </c>
      <c r="G52" s="27">
        <v>11760.0</v>
      </c>
      <c r="H52" s="27">
        <f t="shared" si="11"/>
        <v>0</v>
      </c>
      <c r="I52" s="27">
        <v>300.0</v>
      </c>
      <c r="J52" s="32"/>
      <c r="K52" s="31"/>
      <c r="L52" s="29">
        <f t="shared" si="12"/>
        <v>300</v>
      </c>
      <c r="M52" s="29">
        <f t="shared" si="13"/>
        <v>11460</v>
      </c>
    </row>
    <row r="53">
      <c r="A53" s="24">
        <v>5.0</v>
      </c>
      <c r="B53" s="25" t="s">
        <v>90</v>
      </c>
      <c r="C53" s="26" t="s">
        <v>91</v>
      </c>
      <c r="D53" s="26" t="s">
        <v>92</v>
      </c>
      <c r="E53" s="26" t="s">
        <v>92</v>
      </c>
      <c r="F53" s="27">
        <f>250*10*2</f>
        <v>5000</v>
      </c>
      <c r="G53" s="27"/>
      <c r="H53" s="27">
        <f t="shared" si="11"/>
        <v>5000</v>
      </c>
      <c r="I53" s="27"/>
      <c r="J53" s="32"/>
      <c r="K53" s="31"/>
      <c r="L53" s="29">
        <f t="shared" si="12"/>
        <v>0</v>
      </c>
      <c r="M53" s="29">
        <f t="shared" si="13"/>
        <v>5000</v>
      </c>
    </row>
    <row r="54">
      <c r="A54" s="24">
        <v>6.0</v>
      </c>
      <c r="B54" s="25" t="s">
        <v>90</v>
      </c>
      <c r="C54" s="26" t="s">
        <v>93</v>
      </c>
      <c r="D54" s="26" t="s">
        <v>94</v>
      </c>
      <c r="E54" s="26" t="s">
        <v>94</v>
      </c>
      <c r="F54" s="27">
        <v>28000.0</v>
      </c>
      <c r="G54" s="27">
        <v>28000.0</v>
      </c>
      <c r="H54" s="27">
        <f t="shared" si="11"/>
        <v>0</v>
      </c>
      <c r="I54" s="27">
        <f>1250+150</f>
        <v>1400</v>
      </c>
      <c r="J54" s="29"/>
      <c r="K54" s="31"/>
      <c r="L54" s="29">
        <f t="shared" si="12"/>
        <v>1400</v>
      </c>
      <c r="M54" s="29">
        <f t="shared" si="13"/>
        <v>26600</v>
      </c>
    </row>
    <row r="55">
      <c r="A55" s="24">
        <v>7.0</v>
      </c>
      <c r="B55" s="25" t="s">
        <v>95</v>
      </c>
      <c r="C55" s="26" t="s">
        <v>96</v>
      </c>
      <c r="D55" s="26" t="s">
        <v>97</v>
      </c>
      <c r="E55" s="26" t="s">
        <v>97</v>
      </c>
      <c r="F55" s="27">
        <f>4*2*3500</f>
        <v>28000</v>
      </c>
      <c r="G55" s="27">
        <v>20000.0</v>
      </c>
      <c r="H55" s="27">
        <f t="shared" si="11"/>
        <v>8000</v>
      </c>
      <c r="I55" s="27"/>
      <c r="J55" s="29"/>
      <c r="K55" s="31"/>
      <c r="L55" s="29">
        <f t="shared" si="12"/>
        <v>0</v>
      </c>
      <c r="M55" s="29">
        <f t="shared" si="13"/>
        <v>28000</v>
      </c>
    </row>
    <row r="56">
      <c r="A56" s="24">
        <v>8.0</v>
      </c>
      <c r="B56" s="25" t="s">
        <v>95</v>
      </c>
      <c r="C56" s="26" t="s">
        <v>91</v>
      </c>
      <c r="D56" s="26" t="s">
        <v>98</v>
      </c>
      <c r="E56" s="26" t="s">
        <v>98</v>
      </c>
      <c r="F56" s="27">
        <f>20*1*250</f>
        <v>5000</v>
      </c>
      <c r="G56" s="27"/>
      <c r="H56" s="27">
        <f t="shared" si="11"/>
        <v>5000</v>
      </c>
      <c r="I56" s="27"/>
      <c r="J56" s="29"/>
      <c r="K56" s="31"/>
      <c r="L56" s="29">
        <f t="shared" si="12"/>
        <v>0</v>
      </c>
      <c r="M56" s="29">
        <f t="shared" si="13"/>
        <v>5000</v>
      </c>
    </row>
    <row r="57">
      <c r="A57" s="24">
        <v>9.0</v>
      </c>
      <c r="B57" s="25" t="s">
        <v>99</v>
      </c>
      <c r="C57" s="26" t="s">
        <v>100</v>
      </c>
      <c r="D57" s="26" t="s">
        <v>101</v>
      </c>
      <c r="E57" s="26" t="s">
        <v>101</v>
      </c>
      <c r="F57" s="27">
        <v>30000.0</v>
      </c>
      <c r="G57" s="29"/>
      <c r="H57" s="27">
        <f t="shared" si="11"/>
        <v>30000</v>
      </c>
      <c r="I57" s="27">
        <v>7650.0</v>
      </c>
      <c r="J57" s="29"/>
      <c r="K57" s="31"/>
      <c r="L57" s="29">
        <f t="shared" si="12"/>
        <v>7650</v>
      </c>
      <c r="M57" s="29">
        <f t="shared" si="13"/>
        <v>22350</v>
      </c>
    </row>
    <row r="58">
      <c r="A58" s="24">
        <v>10.0</v>
      </c>
      <c r="B58" s="25" t="s">
        <v>99</v>
      </c>
      <c r="C58" s="26" t="s">
        <v>91</v>
      </c>
      <c r="D58" s="26" t="s">
        <v>102</v>
      </c>
      <c r="E58" s="26" t="s">
        <v>102</v>
      </c>
      <c r="F58" s="27">
        <f>250*5*1</f>
        <v>1250</v>
      </c>
      <c r="G58" s="27"/>
      <c r="H58" s="27">
        <f t="shared" si="11"/>
        <v>1250</v>
      </c>
      <c r="I58" s="27"/>
      <c r="J58" s="29"/>
      <c r="K58" s="31"/>
      <c r="L58" s="29">
        <f t="shared" si="12"/>
        <v>0</v>
      </c>
      <c r="M58" s="29">
        <f t="shared" si="13"/>
        <v>1250</v>
      </c>
    </row>
    <row r="59">
      <c r="A59" s="24">
        <v>11.0</v>
      </c>
      <c r="B59" s="25" t="s">
        <v>103</v>
      </c>
      <c r="C59" s="26" t="s">
        <v>104</v>
      </c>
      <c r="D59" s="26" t="s">
        <v>105</v>
      </c>
      <c r="E59" s="26" t="s">
        <v>105</v>
      </c>
      <c r="F59" s="27">
        <v>14000.0</v>
      </c>
      <c r="G59" s="27">
        <v>14000.0</v>
      </c>
      <c r="H59" s="27">
        <f t="shared" si="11"/>
        <v>0</v>
      </c>
      <c r="I59" s="27"/>
      <c r="J59" s="29"/>
      <c r="K59" s="31"/>
      <c r="L59" s="29">
        <f t="shared" si="12"/>
        <v>0</v>
      </c>
      <c r="M59" s="29">
        <f t="shared" si="13"/>
        <v>14000</v>
      </c>
    </row>
    <row r="60">
      <c r="A60" s="24">
        <v>12.0</v>
      </c>
      <c r="B60" s="25" t="s">
        <v>106</v>
      </c>
      <c r="C60" s="26" t="s">
        <v>107</v>
      </c>
      <c r="D60" s="26" t="s">
        <v>108</v>
      </c>
      <c r="E60" s="26" t="s">
        <v>108</v>
      </c>
      <c r="F60" s="27">
        <v>10000.0</v>
      </c>
      <c r="G60" s="27">
        <v>9000.0</v>
      </c>
      <c r="H60" s="27">
        <f t="shared" si="11"/>
        <v>1000</v>
      </c>
      <c r="I60" s="27">
        <v>1200.0</v>
      </c>
      <c r="J60" s="27">
        <v>1000.0</v>
      </c>
      <c r="K60" s="31"/>
      <c r="L60" s="29">
        <f t="shared" si="12"/>
        <v>2200</v>
      </c>
      <c r="M60" s="29">
        <f t="shared" si="13"/>
        <v>7800</v>
      </c>
    </row>
    <row r="61">
      <c r="A61" s="33" t="s">
        <v>42</v>
      </c>
      <c r="B61" s="34"/>
      <c r="C61" s="34"/>
      <c r="D61" s="34"/>
      <c r="E61" s="35"/>
      <c r="F61" s="36">
        <f t="shared" ref="F61:G61" si="14">SUM(F49:F60)</f>
        <v>1413010</v>
      </c>
      <c r="G61" s="36">
        <f t="shared" si="14"/>
        <v>857760</v>
      </c>
      <c r="H61" s="36">
        <f>SUM(H49:H54)</f>
        <v>510000</v>
      </c>
      <c r="I61" s="36">
        <f t="shared" ref="I61:K61" si="15">SUM(I49:I60)</f>
        <v>1039940</v>
      </c>
      <c r="J61" s="36">
        <f t="shared" si="15"/>
        <v>1000</v>
      </c>
      <c r="K61" s="36">
        <f t="shared" si="15"/>
        <v>0</v>
      </c>
      <c r="L61" s="37">
        <f t="shared" si="12"/>
        <v>1040940</v>
      </c>
      <c r="M61" s="36">
        <f>SUM(M49:M54)</f>
        <v>293670</v>
      </c>
    </row>
    <row r="65">
      <c r="A65" s="38">
        <v>45017.0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9"/>
    </row>
    <row r="66">
      <c r="A66" s="15" t="s">
        <v>6</v>
      </c>
      <c r="B66" s="16" t="s">
        <v>7</v>
      </c>
      <c r="C66" s="16" t="s">
        <v>8</v>
      </c>
      <c r="D66" s="16" t="s">
        <v>9</v>
      </c>
      <c r="E66" s="16" t="s">
        <v>10</v>
      </c>
      <c r="F66" s="17" t="s">
        <v>11</v>
      </c>
      <c r="G66" s="5"/>
      <c r="H66" s="6"/>
      <c r="I66" s="17" t="s">
        <v>12</v>
      </c>
      <c r="J66" s="5"/>
      <c r="K66" s="5"/>
      <c r="L66" s="18"/>
      <c r="M66" s="19" t="s">
        <v>13</v>
      </c>
    </row>
    <row r="67">
      <c r="A67" s="21"/>
      <c r="B67" s="9"/>
      <c r="C67" s="9"/>
      <c r="D67" s="9"/>
      <c r="E67" s="9"/>
      <c r="F67" s="22" t="s">
        <v>15</v>
      </c>
      <c r="G67" s="22" t="s">
        <v>16</v>
      </c>
      <c r="H67" s="22" t="s">
        <v>17</v>
      </c>
      <c r="I67" s="22" t="s">
        <v>18</v>
      </c>
      <c r="J67" s="22" t="s">
        <v>19</v>
      </c>
      <c r="K67" s="22" t="s">
        <v>20</v>
      </c>
      <c r="L67" s="23" t="s">
        <v>21</v>
      </c>
      <c r="M67" s="12"/>
    </row>
    <row r="68">
      <c r="A68" s="24">
        <v>1.0</v>
      </c>
      <c r="B68" s="25" t="s">
        <v>109</v>
      </c>
      <c r="C68" s="26" t="s">
        <v>110</v>
      </c>
      <c r="D68" s="26" t="s">
        <v>111</v>
      </c>
      <c r="E68" s="26" t="s">
        <v>111</v>
      </c>
      <c r="F68" s="27">
        <f>3*3500</f>
        <v>10500</v>
      </c>
      <c r="G68" s="27"/>
      <c r="H68" s="27">
        <f t="shared" ref="H68:H71" si="16">F68-G68</f>
        <v>10500</v>
      </c>
      <c r="I68" s="27"/>
      <c r="J68" s="28"/>
      <c r="K68" s="27"/>
      <c r="L68" s="29">
        <f t="shared" ref="L68:L72" si="17">I68+J68+K68</f>
        <v>0</v>
      </c>
      <c r="M68" s="29">
        <f t="shared" ref="M68:M71" si="18">F68-L68</f>
        <v>10500</v>
      </c>
    </row>
    <row r="69">
      <c r="A69" s="24">
        <v>2.0</v>
      </c>
      <c r="B69" s="25" t="s">
        <v>112</v>
      </c>
      <c r="C69" s="26" t="s">
        <v>113</v>
      </c>
      <c r="D69" s="26" t="s">
        <v>114</v>
      </c>
      <c r="E69" s="26" t="s">
        <v>114</v>
      </c>
      <c r="F69" s="27">
        <v>3500.0</v>
      </c>
      <c r="G69" s="27">
        <v>3500.0</v>
      </c>
      <c r="H69" s="27">
        <f t="shared" si="16"/>
        <v>0</v>
      </c>
      <c r="I69" s="27"/>
      <c r="J69" s="27"/>
      <c r="K69" s="31"/>
      <c r="L69" s="29">
        <f t="shared" si="17"/>
        <v>0</v>
      </c>
      <c r="M69" s="29">
        <f t="shared" si="18"/>
        <v>3500</v>
      </c>
    </row>
    <row r="70">
      <c r="A70" s="24">
        <v>3.0</v>
      </c>
      <c r="B70" s="25" t="s">
        <v>115</v>
      </c>
      <c r="C70" s="26" t="s">
        <v>116</v>
      </c>
      <c r="D70" s="26" t="s">
        <v>117</v>
      </c>
      <c r="E70" s="26" t="s">
        <v>117</v>
      </c>
      <c r="F70" s="27">
        <v>5000.0</v>
      </c>
      <c r="G70" s="27">
        <v>5000.0</v>
      </c>
      <c r="H70" s="27">
        <f t="shared" si="16"/>
        <v>0</v>
      </c>
      <c r="I70" s="27"/>
      <c r="J70" s="27"/>
      <c r="K70" s="31"/>
      <c r="L70" s="29">
        <f t="shared" si="17"/>
        <v>0</v>
      </c>
      <c r="M70" s="29">
        <f t="shared" si="18"/>
        <v>5000</v>
      </c>
    </row>
    <row r="71">
      <c r="A71" s="24">
        <v>4.0</v>
      </c>
      <c r="B71" s="25" t="s">
        <v>118</v>
      </c>
      <c r="C71" s="26" t="s">
        <v>119</v>
      </c>
      <c r="D71" s="26" t="s">
        <v>120</v>
      </c>
      <c r="E71" s="26" t="s">
        <v>120</v>
      </c>
      <c r="F71" s="27">
        <v>30000.0</v>
      </c>
      <c r="G71" s="27">
        <v>30000.0</v>
      </c>
      <c r="H71" s="27">
        <f t="shared" si="16"/>
        <v>0</v>
      </c>
      <c r="I71" s="27">
        <f>1560+750+200+3000+40+7500</f>
        <v>13050</v>
      </c>
      <c r="J71" s="32"/>
      <c r="K71" s="31"/>
      <c r="L71" s="29">
        <f t="shared" si="17"/>
        <v>13050</v>
      </c>
      <c r="M71" s="29">
        <f t="shared" si="18"/>
        <v>16950</v>
      </c>
    </row>
    <row r="72">
      <c r="A72" s="33" t="s">
        <v>42</v>
      </c>
      <c r="B72" s="34"/>
      <c r="C72" s="34"/>
      <c r="D72" s="34"/>
      <c r="E72" s="35"/>
      <c r="F72" s="36">
        <f t="shared" ref="F72:K72" si="19">SUM(F68:F71)</f>
        <v>49000</v>
      </c>
      <c r="G72" s="36">
        <f t="shared" si="19"/>
        <v>38500</v>
      </c>
      <c r="H72" s="36">
        <f t="shared" si="19"/>
        <v>10500</v>
      </c>
      <c r="I72" s="36">
        <f t="shared" si="19"/>
        <v>13050</v>
      </c>
      <c r="J72" s="36">
        <f t="shared" si="19"/>
        <v>0</v>
      </c>
      <c r="K72" s="36">
        <f t="shared" si="19"/>
        <v>0</v>
      </c>
      <c r="L72" s="37">
        <f t="shared" si="17"/>
        <v>13050</v>
      </c>
      <c r="M72" s="36">
        <f>SUM(M68:M71)</f>
        <v>35950</v>
      </c>
    </row>
    <row r="76">
      <c r="A76" s="38">
        <v>45047.0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9"/>
    </row>
    <row r="77">
      <c r="A77" s="15" t="s">
        <v>6</v>
      </c>
      <c r="B77" s="16" t="s">
        <v>7</v>
      </c>
      <c r="C77" s="16" t="s">
        <v>8</v>
      </c>
      <c r="D77" s="16" t="s">
        <v>9</v>
      </c>
      <c r="E77" s="16" t="s">
        <v>10</v>
      </c>
      <c r="F77" s="17" t="s">
        <v>11</v>
      </c>
      <c r="G77" s="5"/>
      <c r="H77" s="6"/>
      <c r="I77" s="17" t="s">
        <v>12</v>
      </c>
      <c r="J77" s="5"/>
      <c r="K77" s="5"/>
      <c r="L77" s="18"/>
      <c r="M77" s="19" t="s">
        <v>13</v>
      </c>
    </row>
    <row r="78">
      <c r="A78" s="21"/>
      <c r="B78" s="9"/>
      <c r="C78" s="9"/>
      <c r="D78" s="9"/>
      <c r="E78" s="9"/>
      <c r="F78" s="22" t="s">
        <v>15</v>
      </c>
      <c r="G78" s="22" t="s">
        <v>16</v>
      </c>
      <c r="H78" s="22" t="s">
        <v>17</v>
      </c>
      <c r="I78" s="22" t="s">
        <v>18</v>
      </c>
      <c r="J78" s="22" t="s">
        <v>19</v>
      </c>
      <c r="K78" s="22" t="s">
        <v>20</v>
      </c>
      <c r="L78" s="23" t="s">
        <v>21</v>
      </c>
      <c r="M78" s="12"/>
    </row>
    <row r="79">
      <c r="A79" s="24">
        <v>1.0</v>
      </c>
      <c r="B79" s="25" t="s">
        <v>121</v>
      </c>
      <c r="C79" s="26" t="s">
        <v>122</v>
      </c>
      <c r="D79" s="26" t="s">
        <v>123</v>
      </c>
      <c r="E79" s="26" t="s">
        <v>123</v>
      </c>
      <c r="F79" s="27">
        <v>6000.0</v>
      </c>
      <c r="G79" s="27"/>
      <c r="H79" s="27">
        <f t="shared" ref="H79:H83" si="20">F79-G79</f>
        <v>6000</v>
      </c>
      <c r="I79" s="27"/>
      <c r="J79" s="28"/>
      <c r="K79" s="27"/>
      <c r="L79" s="29">
        <f t="shared" ref="L79:L84" si="21">I79+J79+K79</f>
        <v>0</v>
      </c>
      <c r="M79" s="29">
        <f t="shared" ref="M79:M83" si="22">F79-L79</f>
        <v>6000</v>
      </c>
      <c r="N79" s="41" t="s">
        <v>124</v>
      </c>
    </row>
    <row r="80">
      <c r="A80" s="24">
        <v>2.0</v>
      </c>
      <c r="B80" s="25" t="s">
        <v>121</v>
      </c>
      <c r="C80" s="26" t="s">
        <v>125</v>
      </c>
      <c r="D80" s="26" t="s">
        <v>126</v>
      </c>
      <c r="E80" s="26" t="s">
        <v>126</v>
      </c>
      <c r="F80" s="27">
        <f>15*3*300</f>
        <v>13500</v>
      </c>
      <c r="G80" s="27">
        <v>13500.0</v>
      </c>
      <c r="H80" s="27">
        <f t="shared" si="20"/>
        <v>0</v>
      </c>
      <c r="I80" s="27"/>
      <c r="J80" s="27"/>
      <c r="K80" s="31"/>
      <c r="L80" s="29">
        <f t="shared" si="21"/>
        <v>0</v>
      </c>
      <c r="M80" s="29">
        <f t="shared" si="22"/>
        <v>13500</v>
      </c>
      <c r="N80" s="41" t="s">
        <v>127</v>
      </c>
    </row>
    <row r="81">
      <c r="A81" s="24">
        <v>3.0</v>
      </c>
      <c r="B81" s="25" t="s">
        <v>128</v>
      </c>
      <c r="C81" s="26" t="s">
        <v>129</v>
      </c>
      <c r="D81" s="26" t="s">
        <v>130</v>
      </c>
      <c r="E81" s="26" t="s">
        <v>130</v>
      </c>
      <c r="F81" s="27">
        <f>27000*9+8000+6000</f>
        <v>257000</v>
      </c>
      <c r="G81" s="27">
        <f>100000+100000</f>
        <v>200000</v>
      </c>
      <c r="H81" s="27">
        <f t="shared" si="20"/>
        <v>57000</v>
      </c>
      <c r="I81" s="27"/>
      <c r="J81" s="27"/>
      <c r="K81" s="31"/>
      <c r="L81" s="29">
        <f t="shared" si="21"/>
        <v>0</v>
      </c>
      <c r="M81" s="29">
        <f t="shared" si="22"/>
        <v>257000</v>
      </c>
    </row>
    <row r="82">
      <c r="A82" s="24">
        <v>4.0</v>
      </c>
      <c r="B82" s="25" t="s">
        <v>131</v>
      </c>
      <c r="C82" s="26" t="s">
        <v>132</v>
      </c>
      <c r="D82" s="26" t="s">
        <v>133</v>
      </c>
      <c r="E82" s="26" t="s">
        <v>133</v>
      </c>
      <c r="F82" s="27">
        <f>24*35000+22000+12000</f>
        <v>874000</v>
      </c>
      <c r="G82" s="27">
        <v>400000.0</v>
      </c>
      <c r="H82" s="27">
        <f t="shared" si="20"/>
        <v>474000</v>
      </c>
      <c r="I82" s="27"/>
      <c r="J82" s="32"/>
      <c r="K82" s="31"/>
      <c r="L82" s="29">
        <f t="shared" si="21"/>
        <v>0</v>
      </c>
      <c r="M82" s="29">
        <f t="shared" si="22"/>
        <v>874000</v>
      </c>
    </row>
    <row r="83">
      <c r="A83" s="24">
        <v>5.0</v>
      </c>
      <c r="B83" s="25" t="s">
        <v>134</v>
      </c>
      <c r="C83" s="26" t="s">
        <v>49</v>
      </c>
      <c r="D83" s="26" t="s">
        <v>135</v>
      </c>
      <c r="E83" s="26" t="s">
        <v>135</v>
      </c>
      <c r="F83" s="27">
        <v>20000.0</v>
      </c>
      <c r="G83" s="27">
        <v>20000.0</v>
      </c>
      <c r="H83" s="27">
        <f t="shared" si="20"/>
        <v>0</v>
      </c>
      <c r="I83" s="27">
        <f>3000+4000+700</f>
        <v>7700</v>
      </c>
      <c r="J83" s="32"/>
      <c r="K83" s="31"/>
      <c r="L83" s="29">
        <f t="shared" si="21"/>
        <v>7700</v>
      </c>
      <c r="M83" s="29">
        <f t="shared" si="22"/>
        <v>12300</v>
      </c>
    </row>
    <row r="84">
      <c r="A84" s="33" t="s">
        <v>42</v>
      </c>
      <c r="B84" s="34"/>
      <c r="C84" s="34"/>
      <c r="D84" s="34"/>
      <c r="E84" s="35"/>
      <c r="F84" s="36">
        <f t="shared" ref="F84:K84" si="23">SUM(F79:F83)</f>
        <v>1170500</v>
      </c>
      <c r="G84" s="36">
        <f t="shared" si="23"/>
        <v>633500</v>
      </c>
      <c r="H84" s="36">
        <f t="shared" si="23"/>
        <v>537000</v>
      </c>
      <c r="I84" s="36">
        <f t="shared" si="23"/>
        <v>7700</v>
      </c>
      <c r="J84" s="36">
        <f t="shared" si="23"/>
        <v>0</v>
      </c>
      <c r="K84" s="36">
        <f t="shared" si="23"/>
        <v>0</v>
      </c>
      <c r="L84" s="37">
        <f t="shared" si="21"/>
        <v>7700</v>
      </c>
      <c r="M84" s="36">
        <f>SUM(M79:M83)</f>
        <v>1162800</v>
      </c>
    </row>
    <row r="88">
      <c r="A88" s="38">
        <v>45078.0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9"/>
    </row>
    <row r="89">
      <c r="A89" s="15" t="s">
        <v>6</v>
      </c>
      <c r="B89" s="16" t="s">
        <v>7</v>
      </c>
      <c r="C89" s="16" t="s">
        <v>8</v>
      </c>
      <c r="D89" s="16" t="s">
        <v>9</v>
      </c>
      <c r="E89" s="16" t="s">
        <v>10</v>
      </c>
      <c r="F89" s="17" t="s">
        <v>11</v>
      </c>
      <c r="G89" s="5"/>
      <c r="H89" s="6"/>
      <c r="I89" s="17" t="s">
        <v>12</v>
      </c>
      <c r="J89" s="5"/>
      <c r="K89" s="5"/>
      <c r="L89" s="18"/>
      <c r="M89" s="19" t="s">
        <v>13</v>
      </c>
    </row>
    <row r="90">
      <c r="A90" s="21"/>
      <c r="B90" s="9"/>
      <c r="C90" s="9"/>
      <c r="D90" s="9"/>
      <c r="E90" s="9"/>
      <c r="F90" s="22" t="s">
        <v>15</v>
      </c>
      <c r="G90" s="22" t="s">
        <v>16</v>
      </c>
      <c r="H90" s="22" t="s">
        <v>17</v>
      </c>
      <c r="I90" s="22" t="s">
        <v>18</v>
      </c>
      <c r="J90" s="22" t="s">
        <v>19</v>
      </c>
      <c r="K90" s="22" t="s">
        <v>20</v>
      </c>
      <c r="L90" s="23" t="s">
        <v>21</v>
      </c>
      <c r="M90" s="12"/>
    </row>
    <row r="91">
      <c r="A91" s="24">
        <v>1.0</v>
      </c>
      <c r="B91" s="25" t="s">
        <v>121</v>
      </c>
      <c r="C91" s="26" t="s">
        <v>136</v>
      </c>
      <c r="D91" s="26" t="s">
        <v>137</v>
      </c>
      <c r="E91" s="26" t="s">
        <v>137</v>
      </c>
      <c r="F91" s="27">
        <v>43000.0</v>
      </c>
      <c r="G91" s="27">
        <f>20000+23000</f>
        <v>43000</v>
      </c>
      <c r="H91" s="27">
        <f t="shared" ref="H91:H104" si="24">F91-G91</f>
        <v>0</v>
      </c>
      <c r="I91" s="27">
        <v>31150.0</v>
      </c>
      <c r="J91" s="28"/>
      <c r="K91" s="27"/>
      <c r="L91" s="29">
        <f t="shared" ref="L91:L105" si="25">I91+J91+K91</f>
        <v>31150</v>
      </c>
      <c r="M91" s="29">
        <f t="shared" ref="M91:M104" si="26">F91-L91</f>
        <v>11850</v>
      </c>
    </row>
    <row r="92">
      <c r="A92" s="24">
        <v>2.0</v>
      </c>
      <c r="B92" s="25" t="s">
        <v>138</v>
      </c>
      <c r="C92" s="26" t="s">
        <v>139</v>
      </c>
      <c r="D92" s="26" t="s">
        <v>140</v>
      </c>
      <c r="E92" s="26" t="s">
        <v>140</v>
      </c>
      <c r="F92" s="27">
        <v>20000.0</v>
      </c>
      <c r="G92" s="27">
        <v>15000.0</v>
      </c>
      <c r="H92" s="27">
        <f t="shared" si="24"/>
        <v>5000</v>
      </c>
      <c r="I92" s="27">
        <v>7850.0</v>
      </c>
      <c r="J92" s="27"/>
      <c r="K92" s="31"/>
      <c r="L92" s="29">
        <f t="shared" si="25"/>
        <v>7850</v>
      </c>
      <c r="M92" s="29">
        <f t="shared" si="26"/>
        <v>12150</v>
      </c>
    </row>
    <row r="93">
      <c r="A93" s="24">
        <v>3.0</v>
      </c>
      <c r="B93" s="25" t="s">
        <v>138</v>
      </c>
      <c r="C93" s="26" t="s">
        <v>113</v>
      </c>
      <c r="D93" s="26" t="s">
        <v>141</v>
      </c>
      <c r="E93" s="26" t="s">
        <v>141</v>
      </c>
      <c r="F93" s="27">
        <v>3000.0</v>
      </c>
      <c r="G93" s="27">
        <v>3000.0</v>
      </c>
      <c r="H93" s="27">
        <f t="shared" si="24"/>
        <v>0</v>
      </c>
      <c r="I93" s="27">
        <v>300.0</v>
      </c>
      <c r="J93" s="27"/>
      <c r="K93" s="31"/>
      <c r="L93" s="29">
        <f t="shared" si="25"/>
        <v>300</v>
      </c>
      <c r="M93" s="29">
        <f t="shared" si="26"/>
        <v>2700</v>
      </c>
    </row>
    <row r="94">
      <c r="A94" s="24">
        <v>4.0</v>
      </c>
      <c r="B94" s="25" t="s">
        <v>142</v>
      </c>
      <c r="C94" s="26" t="s">
        <v>143</v>
      </c>
      <c r="D94" s="26" t="s">
        <v>144</v>
      </c>
      <c r="E94" s="26" t="s">
        <v>144</v>
      </c>
      <c r="F94" s="27">
        <v>125000.0</v>
      </c>
      <c r="G94" s="27">
        <v>50000.0</v>
      </c>
      <c r="H94" s="27">
        <f t="shared" si="24"/>
        <v>75000</v>
      </c>
      <c r="I94" s="27">
        <v>42230.0</v>
      </c>
      <c r="J94" s="32"/>
      <c r="K94" s="31"/>
      <c r="L94" s="29">
        <f t="shared" si="25"/>
        <v>42230</v>
      </c>
      <c r="M94" s="29">
        <f t="shared" si="26"/>
        <v>82770</v>
      </c>
    </row>
    <row r="95">
      <c r="A95" s="24">
        <v>5.0</v>
      </c>
      <c r="B95" s="25" t="s">
        <v>145</v>
      </c>
      <c r="C95" s="26" t="s">
        <v>146</v>
      </c>
      <c r="D95" s="26" t="s">
        <v>147</v>
      </c>
      <c r="E95" s="26" t="s">
        <v>147</v>
      </c>
      <c r="F95" s="27">
        <v>80000.0</v>
      </c>
      <c r="G95" s="27">
        <v>40000.0</v>
      </c>
      <c r="H95" s="27">
        <f t="shared" si="24"/>
        <v>40000</v>
      </c>
      <c r="I95" s="27">
        <v>28800.0</v>
      </c>
      <c r="J95" s="32"/>
      <c r="K95" s="31"/>
      <c r="L95" s="29">
        <f t="shared" si="25"/>
        <v>28800</v>
      </c>
      <c r="M95" s="29">
        <f t="shared" si="26"/>
        <v>51200</v>
      </c>
    </row>
    <row r="96">
      <c r="A96" s="24">
        <v>6.0</v>
      </c>
      <c r="B96" s="25" t="s">
        <v>148</v>
      </c>
      <c r="C96" s="26" t="s">
        <v>149</v>
      </c>
      <c r="D96" s="26" t="s">
        <v>150</v>
      </c>
      <c r="E96" s="26" t="s">
        <v>150</v>
      </c>
      <c r="F96" s="27">
        <v>30000.0</v>
      </c>
      <c r="G96" s="27">
        <v>15000.0</v>
      </c>
      <c r="H96" s="27">
        <f t="shared" si="24"/>
        <v>15000</v>
      </c>
      <c r="I96" s="27">
        <v>6075.0</v>
      </c>
      <c r="J96" s="29"/>
      <c r="K96" s="31"/>
      <c r="L96" s="29">
        <f t="shared" si="25"/>
        <v>6075</v>
      </c>
      <c r="M96" s="29">
        <f t="shared" si="26"/>
        <v>23925</v>
      </c>
    </row>
    <row r="97">
      <c r="A97" s="24">
        <v>7.0</v>
      </c>
      <c r="B97" s="25" t="s">
        <v>151</v>
      </c>
      <c r="C97" s="26" t="s">
        <v>152</v>
      </c>
      <c r="D97" s="26" t="s">
        <v>153</v>
      </c>
      <c r="E97" s="26" t="s">
        <v>153</v>
      </c>
      <c r="F97" s="27">
        <v>30000.0</v>
      </c>
      <c r="G97" s="27">
        <v>15000.0</v>
      </c>
      <c r="H97" s="27">
        <f t="shared" si="24"/>
        <v>15000</v>
      </c>
      <c r="I97" s="27">
        <v>4090.0</v>
      </c>
      <c r="J97" s="29"/>
      <c r="K97" s="31"/>
      <c r="L97" s="29">
        <f t="shared" si="25"/>
        <v>4090</v>
      </c>
      <c r="M97" s="29">
        <f t="shared" si="26"/>
        <v>25910</v>
      </c>
    </row>
    <row r="98">
      <c r="A98" s="24">
        <v>8.0</v>
      </c>
      <c r="B98" s="25" t="s">
        <v>151</v>
      </c>
      <c r="C98" s="26" t="s">
        <v>154</v>
      </c>
      <c r="D98" s="26" t="s">
        <v>155</v>
      </c>
      <c r="E98" s="26" t="s">
        <v>155</v>
      </c>
      <c r="F98" s="27">
        <v>30000.0</v>
      </c>
      <c r="G98" s="27">
        <v>15000.0</v>
      </c>
      <c r="H98" s="27">
        <f t="shared" si="24"/>
        <v>15000</v>
      </c>
      <c r="I98" s="27">
        <f>1760+2000</f>
        <v>3760</v>
      </c>
      <c r="J98" s="29"/>
      <c r="K98" s="31"/>
      <c r="L98" s="29">
        <f t="shared" si="25"/>
        <v>3760</v>
      </c>
      <c r="M98" s="29">
        <f t="shared" si="26"/>
        <v>26240</v>
      </c>
    </row>
    <row r="99">
      <c r="A99" s="24">
        <v>9.0</v>
      </c>
      <c r="B99" s="25" t="s">
        <v>156</v>
      </c>
      <c r="C99" s="26" t="s">
        <v>157</v>
      </c>
      <c r="D99" s="26" t="s">
        <v>158</v>
      </c>
      <c r="E99" s="26" t="s">
        <v>158</v>
      </c>
      <c r="F99" s="27">
        <v>42000.0</v>
      </c>
      <c r="G99" s="27">
        <f>22000+20000</f>
        <v>42000</v>
      </c>
      <c r="H99" s="27">
        <f t="shared" si="24"/>
        <v>0</v>
      </c>
      <c r="I99" s="27">
        <v>12400.0</v>
      </c>
      <c r="J99" s="29"/>
      <c r="K99" s="31"/>
      <c r="L99" s="29">
        <f t="shared" si="25"/>
        <v>12400</v>
      </c>
      <c r="M99" s="29">
        <f t="shared" si="26"/>
        <v>29600</v>
      </c>
    </row>
    <row r="100">
      <c r="A100" s="24">
        <v>10.0</v>
      </c>
      <c r="B100" s="25" t="s">
        <v>156</v>
      </c>
      <c r="C100" s="26" t="s">
        <v>159</v>
      </c>
      <c r="D100" s="26" t="s">
        <v>160</v>
      </c>
      <c r="E100" s="26" t="s">
        <v>160</v>
      </c>
      <c r="F100" s="27">
        <f>6000+6000+5000+2000+3000-7000</f>
        <v>15000</v>
      </c>
      <c r="G100" s="27">
        <v>15000.0</v>
      </c>
      <c r="H100" s="27">
        <f t="shared" si="24"/>
        <v>0</v>
      </c>
      <c r="I100" s="27">
        <v>7330.0</v>
      </c>
      <c r="J100" s="29"/>
      <c r="K100" s="31"/>
      <c r="L100" s="29">
        <f t="shared" si="25"/>
        <v>7330</v>
      </c>
      <c r="M100" s="29">
        <f t="shared" si="26"/>
        <v>7670</v>
      </c>
    </row>
    <row r="101">
      <c r="A101" s="24">
        <v>11.0</v>
      </c>
      <c r="B101" s="25" t="s">
        <v>161</v>
      </c>
      <c r="C101" s="26" t="s">
        <v>91</v>
      </c>
      <c r="D101" s="26" t="s">
        <v>162</v>
      </c>
      <c r="E101" s="26" t="s">
        <v>162</v>
      </c>
      <c r="F101" s="27">
        <v>4500.0</v>
      </c>
      <c r="G101" s="27">
        <v>4500.0</v>
      </c>
      <c r="H101" s="27">
        <f t="shared" si="24"/>
        <v>0</v>
      </c>
      <c r="I101" s="27"/>
      <c r="J101" s="29"/>
      <c r="K101" s="31"/>
      <c r="L101" s="29">
        <f t="shared" si="25"/>
        <v>0</v>
      </c>
      <c r="M101" s="29">
        <f t="shared" si="26"/>
        <v>4500</v>
      </c>
    </row>
    <row r="102">
      <c r="A102" s="24">
        <v>12.0</v>
      </c>
      <c r="B102" s="25" t="s">
        <v>163</v>
      </c>
      <c r="C102" s="26" t="s">
        <v>164</v>
      </c>
      <c r="D102" s="26" t="s">
        <v>165</v>
      </c>
      <c r="E102" s="26" t="s">
        <v>165</v>
      </c>
      <c r="F102" s="27">
        <v>27000.0</v>
      </c>
      <c r="G102" s="27">
        <v>27000.0</v>
      </c>
      <c r="H102" s="27">
        <f t="shared" si="24"/>
        <v>0</v>
      </c>
      <c r="I102" s="27">
        <v>12020.0</v>
      </c>
      <c r="J102" s="27"/>
      <c r="K102" s="31"/>
      <c r="L102" s="29">
        <f t="shared" si="25"/>
        <v>12020</v>
      </c>
      <c r="M102" s="29">
        <f t="shared" si="26"/>
        <v>14980</v>
      </c>
    </row>
    <row r="103">
      <c r="A103" s="24">
        <v>13.0</v>
      </c>
      <c r="B103" s="25" t="s">
        <v>161</v>
      </c>
      <c r="C103" s="26" t="s">
        <v>166</v>
      </c>
      <c r="D103" s="26" t="s">
        <v>167</v>
      </c>
      <c r="E103" s="26" t="s">
        <v>167</v>
      </c>
      <c r="F103" s="27">
        <v>1000.0</v>
      </c>
      <c r="G103" s="27">
        <v>1000.0</v>
      </c>
      <c r="H103" s="27">
        <f t="shared" si="24"/>
        <v>0</v>
      </c>
      <c r="I103" s="27"/>
      <c r="J103" s="29"/>
      <c r="K103" s="31"/>
      <c r="L103" s="29">
        <f t="shared" si="25"/>
        <v>0</v>
      </c>
      <c r="M103" s="29">
        <f t="shared" si="26"/>
        <v>1000</v>
      </c>
    </row>
    <row r="104">
      <c r="A104" s="24">
        <v>14.0</v>
      </c>
      <c r="B104" s="25" t="s">
        <v>163</v>
      </c>
      <c r="C104" s="26" t="s">
        <v>113</v>
      </c>
      <c r="D104" s="26" t="s">
        <v>168</v>
      </c>
      <c r="E104" s="26" t="s">
        <v>168</v>
      </c>
      <c r="F104" s="27">
        <v>3000.0</v>
      </c>
      <c r="G104" s="27"/>
      <c r="H104" s="27">
        <f t="shared" si="24"/>
        <v>3000</v>
      </c>
      <c r="I104" s="27"/>
      <c r="J104" s="29"/>
      <c r="K104" s="31"/>
      <c r="L104" s="29">
        <f t="shared" si="25"/>
        <v>0</v>
      </c>
      <c r="M104" s="29">
        <f t="shared" si="26"/>
        <v>3000</v>
      </c>
    </row>
    <row r="105">
      <c r="A105" s="33" t="s">
        <v>42</v>
      </c>
      <c r="B105" s="34"/>
      <c r="C105" s="34"/>
      <c r="D105" s="34"/>
      <c r="E105" s="35"/>
      <c r="F105" s="36">
        <f t="shared" ref="F105:G105" si="27">SUM(F91:F104)</f>
        <v>453500</v>
      </c>
      <c r="G105" s="36">
        <f t="shared" si="27"/>
        <v>285500</v>
      </c>
      <c r="H105" s="36">
        <f>SUM(H91:H96)</f>
        <v>135000</v>
      </c>
      <c r="I105" s="36">
        <f t="shared" ref="I105:K105" si="28">SUM(I91:I104)</f>
        <v>156005</v>
      </c>
      <c r="J105" s="36">
        <f t="shared" si="28"/>
        <v>0</v>
      </c>
      <c r="K105" s="36">
        <f t="shared" si="28"/>
        <v>0</v>
      </c>
      <c r="L105" s="37">
        <f t="shared" si="25"/>
        <v>156005</v>
      </c>
      <c r="M105" s="36">
        <f>SUM(M91:M96)</f>
        <v>184595</v>
      </c>
    </row>
    <row r="109">
      <c r="A109" s="38">
        <v>45108.0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9"/>
    </row>
    <row r="110">
      <c r="A110" s="15" t="s">
        <v>6</v>
      </c>
      <c r="B110" s="16" t="s">
        <v>7</v>
      </c>
      <c r="C110" s="16" t="s">
        <v>8</v>
      </c>
      <c r="D110" s="16" t="s">
        <v>9</v>
      </c>
      <c r="E110" s="16" t="s">
        <v>10</v>
      </c>
      <c r="F110" s="17" t="s">
        <v>11</v>
      </c>
      <c r="G110" s="5"/>
      <c r="H110" s="6"/>
      <c r="I110" s="17" t="s">
        <v>12</v>
      </c>
      <c r="J110" s="5"/>
      <c r="K110" s="5"/>
      <c r="L110" s="18"/>
      <c r="M110" s="19" t="s">
        <v>13</v>
      </c>
    </row>
    <row r="111">
      <c r="A111" s="21"/>
      <c r="B111" s="9"/>
      <c r="C111" s="9"/>
      <c r="D111" s="9"/>
      <c r="E111" s="9"/>
      <c r="F111" s="22" t="s">
        <v>15</v>
      </c>
      <c r="G111" s="22" t="s">
        <v>16</v>
      </c>
      <c r="H111" s="22" t="s">
        <v>17</v>
      </c>
      <c r="I111" s="22" t="s">
        <v>18</v>
      </c>
      <c r="J111" s="22" t="s">
        <v>19</v>
      </c>
      <c r="K111" s="22" t="s">
        <v>20</v>
      </c>
      <c r="L111" s="23" t="s">
        <v>21</v>
      </c>
      <c r="M111" s="12"/>
    </row>
    <row r="112">
      <c r="A112" s="24">
        <v>1.0</v>
      </c>
      <c r="B112" s="25" t="s">
        <v>169</v>
      </c>
      <c r="C112" s="26" t="s">
        <v>170</v>
      </c>
      <c r="D112" s="26" t="s">
        <v>171</v>
      </c>
      <c r="E112" s="26" t="s">
        <v>171</v>
      </c>
      <c r="F112" s="27">
        <v>150000.0</v>
      </c>
      <c r="G112" s="27">
        <v>85000.0</v>
      </c>
      <c r="H112" s="27">
        <f t="shared" ref="H112:H117" si="29">F112-G112</f>
        <v>65000</v>
      </c>
      <c r="I112" s="27">
        <f>84525+300</f>
        <v>84825</v>
      </c>
      <c r="J112" s="28"/>
      <c r="K112" s="27"/>
      <c r="L112" s="29">
        <f t="shared" ref="L112:L118" si="30">I112+J112+K112</f>
        <v>84825</v>
      </c>
      <c r="M112" s="29">
        <f t="shared" ref="M112:M117" si="31">F112-L112</f>
        <v>65175</v>
      </c>
    </row>
    <row r="113">
      <c r="A113" s="24">
        <v>2.0</v>
      </c>
      <c r="B113" s="25" t="s">
        <v>172</v>
      </c>
      <c r="C113" s="26" t="s">
        <v>173</v>
      </c>
      <c r="D113" s="26" t="s">
        <v>174</v>
      </c>
      <c r="E113" s="26" t="s">
        <v>174</v>
      </c>
      <c r="F113" s="27">
        <v>28000.0</v>
      </c>
      <c r="G113" s="27">
        <v>15000.0</v>
      </c>
      <c r="H113" s="27">
        <f t="shared" si="29"/>
        <v>13000</v>
      </c>
      <c r="I113" s="27">
        <v>7590.0</v>
      </c>
      <c r="J113" s="27"/>
      <c r="K113" s="31"/>
      <c r="L113" s="29">
        <f t="shared" si="30"/>
        <v>7590</v>
      </c>
      <c r="M113" s="29">
        <f t="shared" si="31"/>
        <v>20410</v>
      </c>
    </row>
    <row r="114">
      <c r="A114" s="24">
        <v>3.0</v>
      </c>
      <c r="B114" s="25" t="s">
        <v>175</v>
      </c>
      <c r="C114" s="26" t="s">
        <v>176</v>
      </c>
      <c r="D114" s="26" t="s">
        <v>177</v>
      </c>
      <c r="E114" s="26" t="s">
        <v>177</v>
      </c>
      <c r="F114" s="27">
        <v>11000.0</v>
      </c>
      <c r="G114" s="27">
        <v>11000.0</v>
      </c>
      <c r="H114" s="27">
        <f t="shared" si="29"/>
        <v>0</v>
      </c>
      <c r="I114" s="27">
        <v>14885.0</v>
      </c>
      <c r="J114" s="27"/>
      <c r="K114" s="31"/>
      <c r="L114" s="29">
        <f t="shared" si="30"/>
        <v>14885</v>
      </c>
      <c r="M114" s="29">
        <f t="shared" si="31"/>
        <v>-3885</v>
      </c>
    </row>
    <row r="115">
      <c r="A115" s="24">
        <v>4.0</v>
      </c>
      <c r="B115" s="25" t="s">
        <v>178</v>
      </c>
      <c r="C115" s="26" t="s">
        <v>179</v>
      </c>
      <c r="D115" s="26" t="s">
        <v>180</v>
      </c>
      <c r="E115" s="26" t="s">
        <v>180</v>
      </c>
      <c r="F115" s="27">
        <v>45000.0</v>
      </c>
      <c r="G115" s="27">
        <v>15000.0</v>
      </c>
      <c r="H115" s="27">
        <f t="shared" si="29"/>
        <v>30000</v>
      </c>
      <c r="I115" s="27">
        <v>9490.0</v>
      </c>
      <c r="J115" s="32"/>
      <c r="K115" s="31"/>
      <c r="L115" s="29">
        <f t="shared" si="30"/>
        <v>9490</v>
      </c>
      <c r="M115" s="29">
        <f t="shared" si="31"/>
        <v>35510</v>
      </c>
    </row>
    <row r="116">
      <c r="A116" s="24">
        <v>5.0</v>
      </c>
      <c r="B116" s="25" t="s">
        <v>181</v>
      </c>
      <c r="C116" s="26" t="s">
        <v>182</v>
      </c>
      <c r="D116" s="26" t="s">
        <v>183</v>
      </c>
      <c r="E116" s="26" t="s">
        <v>183</v>
      </c>
      <c r="F116" s="27">
        <v>150000.0</v>
      </c>
      <c r="G116" s="27">
        <v>20000.0</v>
      </c>
      <c r="H116" s="27">
        <f t="shared" si="29"/>
        <v>130000</v>
      </c>
      <c r="I116" s="27">
        <v>65160.0</v>
      </c>
      <c r="J116" s="32"/>
      <c r="K116" s="31"/>
      <c r="L116" s="29">
        <f t="shared" si="30"/>
        <v>65160</v>
      </c>
      <c r="M116" s="29">
        <f t="shared" si="31"/>
        <v>84840</v>
      </c>
    </row>
    <row r="117">
      <c r="A117" s="24">
        <v>6.0</v>
      </c>
      <c r="B117" s="25" t="s">
        <v>181</v>
      </c>
      <c r="C117" s="26" t="s">
        <v>184</v>
      </c>
      <c r="D117" s="26" t="s">
        <v>185</v>
      </c>
      <c r="E117" s="26" t="s">
        <v>185</v>
      </c>
      <c r="F117" s="27">
        <v>25000.0</v>
      </c>
      <c r="G117" s="27">
        <v>25000.0</v>
      </c>
      <c r="H117" s="27">
        <f t="shared" si="29"/>
        <v>0</v>
      </c>
      <c r="I117" s="27">
        <v>11680.0</v>
      </c>
      <c r="J117" s="29"/>
      <c r="K117" s="31"/>
      <c r="L117" s="29">
        <f t="shared" si="30"/>
        <v>11680</v>
      </c>
      <c r="M117" s="29">
        <f t="shared" si="31"/>
        <v>13320</v>
      </c>
    </row>
    <row r="118">
      <c r="A118" s="33" t="s">
        <v>42</v>
      </c>
      <c r="B118" s="34"/>
      <c r="C118" s="34"/>
      <c r="D118" s="34"/>
      <c r="E118" s="35"/>
      <c r="F118" s="36">
        <f t="shared" ref="F118:K118" si="32">SUM(F112:F117)</f>
        <v>409000</v>
      </c>
      <c r="G118" s="36">
        <f t="shared" si="32"/>
        <v>171000</v>
      </c>
      <c r="H118" s="36">
        <f t="shared" si="32"/>
        <v>238000</v>
      </c>
      <c r="I118" s="36">
        <f t="shared" si="32"/>
        <v>193630</v>
      </c>
      <c r="J118" s="36">
        <f t="shared" si="32"/>
        <v>0</v>
      </c>
      <c r="K118" s="36">
        <f t="shared" si="32"/>
        <v>0</v>
      </c>
      <c r="L118" s="37">
        <f t="shared" si="30"/>
        <v>193630</v>
      </c>
      <c r="M118" s="36">
        <f>SUM(M112:M117)</f>
        <v>215370</v>
      </c>
    </row>
    <row r="122">
      <c r="A122" s="38">
        <v>45139.0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9"/>
    </row>
    <row r="123">
      <c r="A123" s="15" t="s">
        <v>6</v>
      </c>
      <c r="B123" s="16" t="s">
        <v>7</v>
      </c>
      <c r="C123" s="16" t="s">
        <v>8</v>
      </c>
      <c r="D123" s="16" t="s">
        <v>9</v>
      </c>
      <c r="E123" s="16" t="s">
        <v>10</v>
      </c>
      <c r="F123" s="17" t="s">
        <v>11</v>
      </c>
      <c r="G123" s="5"/>
      <c r="H123" s="6"/>
      <c r="I123" s="17" t="s">
        <v>12</v>
      </c>
      <c r="J123" s="5"/>
      <c r="K123" s="5"/>
      <c r="L123" s="18"/>
      <c r="M123" s="19" t="s">
        <v>13</v>
      </c>
    </row>
    <row r="124">
      <c r="A124" s="21"/>
      <c r="B124" s="9"/>
      <c r="C124" s="9"/>
      <c r="D124" s="9"/>
      <c r="E124" s="9"/>
      <c r="F124" s="22" t="s">
        <v>15</v>
      </c>
      <c r="G124" s="22" t="s">
        <v>16</v>
      </c>
      <c r="H124" s="22" t="s">
        <v>17</v>
      </c>
      <c r="I124" s="22" t="s">
        <v>18</v>
      </c>
      <c r="J124" s="22" t="s">
        <v>19</v>
      </c>
      <c r="K124" s="22" t="s">
        <v>20</v>
      </c>
      <c r="L124" s="23" t="s">
        <v>21</v>
      </c>
      <c r="M124" s="12"/>
    </row>
    <row r="125">
      <c r="A125" s="24">
        <v>1.0</v>
      </c>
      <c r="B125" s="25" t="s">
        <v>186</v>
      </c>
      <c r="C125" s="26" t="s">
        <v>184</v>
      </c>
      <c r="D125" s="26" t="s">
        <v>187</v>
      </c>
      <c r="E125" s="26" t="s">
        <v>187</v>
      </c>
      <c r="F125" s="27">
        <v>82000.0</v>
      </c>
      <c r="G125" s="27"/>
      <c r="H125" s="27">
        <f t="shared" ref="H125:H130" si="33">F125-G125</f>
        <v>82000</v>
      </c>
      <c r="I125" s="27">
        <v>35650.0</v>
      </c>
      <c r="J125" s="28"/>
      <c r="K125" s="27"/>
      <c r="L125" s="29">
        <f t="shared" ref="L125:L131" si="34">I125+J125+K125</f>
        <v>35650</v>
      </c>
      <c r="M125" s="29">
        <f t="shared" ref="M125:M130" si="35">F125-L125</f>
        <v>46350</v>
      </c>
    </row>
    <row r="126">
      <c r="A126" s="24">
        <v>2.0</v>
      </c>
      <c r="B126" s="25" t="s">
        <v>188</v>
      </c>
      <c r="C126" s="26" t="s">
        <v>189</v>
      </c>
      <c r="D126" s="26" t="s">
        <v>190</v>
      </c>
      <c r="E126" s="26" t="s">
        <v>190</v>
      </c>
      <c r="F126" s="27">
        <v>10000.0</v>
      </c>
      <c r="G126" s="27"/>
      <c r="H126" s="27">
        <f t="shared" si="33"/>
        <v>10000</v>
      </c>
      <c r="I126" s="27">
        <v>750.0</v>
      </c>
      <c r="J126" s="27"/>
      <c r="K126" s="31"/>
      <c r="L126" s="29">
        <f t="shared" si="34"/>
        <v>750</v>
      </c>
      <c r="M126" s="29">
        <f t="shared" si="35"/>
        <v>9250</v>
      </c>
    </row>
    <row r="127">
      <c r="A127" s="24">
        <v>3.0</v>
      </c>
      <c r="B127" s="25" t="s">
        <v>191</v>
      </c>
      <c r="C127" s="26" t="s">
        <v>192</v>
      </c>
      <c r="D127" s="26" t="s">
        <v>193</v>
      </c>
      <c r="E127" s="26" t="s">
        <v>193</v>
      </c>
      <c r="F127" s="27">
        <v>4000.0</v>
      </c>
      <c r="G127" s="27">
        <v>4000.0</v>
      </c>
      <c r="H127" s="27">
        <f t="shared" si="33"/>
        <v>0</v>
      </c>
      <c r="I127" s="27"/>
      <c r="J127" s="27"/>
      <c r="K127" s="31"/>
      <c r="L127" s="29">
        <f t="shared" si="34"/>
        <v>0</v>
      </c>
      <c r="M127" s="29">
        <f t="shared" si="35"/>
        <v>4000</v>
      </c>
    </row>
    <row r="128">
      <c r="A128" s="24">
        <v>4.0</v>
      </c>
      <c r="B128" s="25" t="s">
        <v>194</v>
      </c>
      <c r="C128" s="26" t="s">
        <v>113</v>
      </c>
      <c r="D128" s="26" t="s">
        <v>195</v>
      </c>
      <c r="E128" s="26" t="s">
        <v>195</v>
      </c>
      <c r="F128" s="27">
        <v>3500.0</v>
      </c>
      <c r="G128" s="27">
        <v>3500.0</v>
      </c>
      <c r="H128" s="27">
        <f t="shared" si="33"/>
        <v>0</v>
      </c>
      <c r="I128" s="27"/>
      <c r="J128" s="32"/>
      <c r="K128" s="31"/>
      <c r="L128" s="29">
        <f t="shared" si="34"/>
        <v>0</v>
      </c>
      <c r="M128" s="29">
        <f t="shared" si="35"/>
        <v>3500</v>
      </c>
    </row>
    <row r="129">
      <c r="A129" s="24">
        <v>5.0</v>
      </c>
      <c r="B129" s="25" t="s">
        <v>196</v>
      </c>
      <c r="C129" s="26" t="s">
        <v>197</v>
      </c>
      <c r="D129" s="26" t="s">
        <v>198</v>
      </c>
      <c r="E129" s="26" t="s">
        <v>198</v>
      </c>
      <c r="F129" s="27">
        <v>3000.0</v>
      </c>
      <c r="G129" s="27">
        <v>3000.0</v>
      </c>
      <c r="H129" s="27">
        <f t="shared" si="33"/>
        <v>0</v>
      </c>
      <c r="I129" s="27"/>
      <c r="J129" s="32"/>
      <c r="K129" s="31"/>
      <c r="L129" s="29">
        <f t="shared" si="34"/>
        <v>0</v>
      </c>
      <c r="M129" s="29">
        <f t="shared" si="35"/>
        <v>3000</v>
      </c>
    </row>
    <row r="130">
      <c r="A130" s="24">
        <v>6.0</v>
      </c>
      <c r="B130" s="25" t="s">
        <v>199</v>
      </c>
      <c r="C130" s="26" t="s">
        <v>200</v>
      </c>
      <c r="D130" s="26" t="s">
        <v>201</v>
      </c>
      <c r="E130" s="26" t="s">
        <v>201</v>
      </c>
      <c r="F130" s="27">
        <v>3000.0</v>
      </c>
      <c r="G130" s="27"/>
      <c r="H130" s="27">
        <f t="shared" si="33"/>
        <v>3000</v>
      </c>
      <c r="I130" s="27"/>
      <c r="J130" s="29"/>
      <c r="K130" s="31"/>
      <c r="L130" s="29">
        <f t="shared" si="34"/>
        <v>0</v>
      </c>
      <c r="M130" s="29">
        <f t="shared" si="35"/>
        <v>3000</v>
      </c>
    </row>
    <row r="131">
      <c r="A131" s="33" t="s">
        <v>42</v>
      </c>
      <c r="B131" s="34"/>
      <c r="C131" s="34"/>
      <c r="D131" s="34"/>
      <c r="E131" s="35"/>
      <c r="F131" s="36">
        <f t="shared" ref="F131:K131" si="36">SUM(F125:F130)</f>
        <v>105500</v>
      </c>
      <c r="G131" s="36">
        <f t="shared" si="36"/>
        <v>10500</v>
      </c>
      <c r="H131" s="36">
        <f t="shared" si="36"/>
        <v>95000</v>
      </c>
      <c r="I131" s="36">
        <f t="shared" si="36"/>
        <v>36400</v>
      </c>
      <c r="J131" s="36">
        <f t="shared" si="36"/>
        <v>0</v>
      </c>
      <c r="K131" s="36">
        <f t="shared" si="36"/>
        <v>0</v>
      </c>
      <c r="L131" s="37">
        <f t="shared" si="34"/>
        <v>36400</v>
      </c>
      <c r="M131" s="36">
        <f>SUM(M125:M130)</f>
        <v>69100</v>
      </c>
    </row>
    <row r="135">
      <c r="A135" s="38">
        <v>45170.0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9"/>
    </row>
    <row r="136">
      <c r="A136" s="15" t="s">
        <v>6</v>
      </c>
      <c r="B136" s="16" t="s">
        <v>7</v>
      </c>
      <c r="C136" s="16" t="s">
        <v>8</v>
      </c>
      <c r="D136" s="16" t="s">
        <v>9</v>
      </c>
      <c r="E136" s="16" t="s">
        <v>10</v>
      </c>
      <c r="F136" s="17" t="s">
        <v>11</v>
      </c>
      <c r="G136" s="5"/>
      <c r="H136" s="6"/>
      <c r="I136" s="17" t="s">
        <v>12</v>
      </c>
      <c r="J136" s="5"/>
      <c r="K136" s="5"/>
      <c r="L136" s="18"/>
      <c r="M136" s="19" t="s">
        <v>13</v>
      </c>
    </row>
    <row r="137">
      <c r="A137" s="21"/>
      <c r="B137" s="9"/>
      <c r="C137" s="9"/>
      <c r="D137" s="9"/>
      <c r="E137" s="9"/>
      <c r="F137" s="22" t="s">
        <v>15</v>
      </c>
      <c r="G137" s="22" t="s">
        <v>16</v>
      </c>
      <c r="H137" s="22" t="s">
        <v>17</v>
      </c>
      <c r="I137" s="22" t="s">
        <v>18</v>
      </c>
      <c r="J137" s="22" t="s">
        <v>19</v>
      </c>
      <c r="K137" s="22" t="s">
        <v>20</v>
      </c>
      <c r="L137" s="23" t="s">
        <v>21</v>
      </c>
      <c r="M137" s="12"/>
    </row>
    <row r="138">
      <c r="A138" s="24">
        <v>1.0</v>
      </c>
      <c r="B138" s="25"/>
      <c r="C138" s="26"/>
      <c r="D138" s="26" t="s">
        <v>202</v>
      </c>
      <c r="E138" s="26" t="s">
        <v>202</v>
      </c>
      <c r="F138" s="27"/>
      <c r="G138" s="27"/>
      <c r="H138" s="27">
        <f t="shared" ref="H138:H165" si="37">F138-G138</f>
        <v>0</v>
      </c>
      <c r="I138" s="27"/>
      <c r="J138" s="28"/>
      <c r="K138" s="27"/>
      <c r="L138" s="29">
        <f t="shared" ref="L138:L166" si="38">I138+J138+K138</f>
        <v>0</v>
      </c>
      <c r="M138" s="29">
        <f t="shared" ref="M138:M165" si="39">F138-L138</f>
        <v>0</v>
      </c>
    </row>
    <row r="139">
      <c r="A139" s="24">
        <v>2.0</v>
      </c>
      <c r="B139" s="25"/>
      <c r="C139" s="26"/>
      <c r="D139" s="26" t="s">
        <v>203</v>
      </c>
      <c r="E139" s="26" t="s">
        <v>203</v>
      </c>
      <c r="F139" s="27"/>
      <c r="G139" s="27"/>
      <c r="H139" s="27">
        <f t="shared" si="37"/>
        <v>0</v>
      </c>
      <c r="I139" s="27"/>
      <c r="J139" s="27"/>
      <c r="K139" s="31"/>
      <c r="L139" s="29">
        <f t="shared" si="38"/>
        <v>0</v>
      </c>
      <c r="M139" s="29">
        <f t="shared" si="39"/>
        <v>0</v>
      </c>
    </row>
    <row r="140">
      <c r="A140" s="24">
        <v>3.0</v>
      </c>
      <c r="B140" s="25"/>
      <c r="C140" s="26"/>
      <c r="D140" s="26" t="s">
        <v>204</v>
      </c>
      <c r="E140" s="26" t="s">
        <v>204</v>
      </c>
      <c r="F140" s="27"/>
      <c r="G140" s="27"/>
      <c r="H140" s="27">
        <f t="shared" si="37"/>
        <v>0</v>
      </c>
      <c r="I140" s="27"/>
      <c r="J140" s="27"/>
      <c r="K140" s="31"/>
      <c r="L140" s="29">
        <f t="shared" si="38"/>
        <v>0</v>
      </c>
      <c r="M140" s="29">
        <f t="shared" si="39"/>
        <v>0</v>
      </c>
    </row>
    <row r="141">
      <c r="A141" s="24">
        <v>4.0</v>
      </c>
      <c r="B141" s="25"/>
      <c r="C141" s="26"/>
      <c r="D141" s="26" t="s">
        <v>205</v>
      </c>
      <c r="E141" s="26" t="s">
        <v>205</v>
      </c>
      <c r="F141" s="27"/>
      <c r="G141" s="27"/>
      <c r="H141" s="27">
        <f t="shared" si="37"/>
        <v>0</v>
      </c>
      <c r="I141" s="27"/>
      <c r="J141" s="32"/>
      <c r="K141" s="31"/>
      <c r="L141" s="29">
        <f t="shared" si="38"/>
        <v>0</v>
      </c>
      <c r="M141" s="29">
        <f t="shared" si="39"/>
        <v>0</v>
      </c>
    </row>
    <row r="142">
      <c r="A142" s="24">
        <v>5.0</v>
      </c>
      <c r="B142" s="25"/>
      <c r="C142" s="26"/>
      <c r="D142" s="26" t="s">
        <v>206</v>
      </c>
      <c r="E142" s="26" t="s">
        <v>206</v>
      </c>
      <c r="F142" s="27"/>
      <c r="G142" s="27"/>
      <c r="H142" s="27">
        <f t="shared" si="37"/>
        <v>0</v>
      </c>
      <c r="I142" s="27"/>
      <c r="J142" s="32"/>
      <c r="K142" s="31"/>
      <c r="L142" s="29">
        <f t="shared" si="38"/>
        <v>0</v>
      </c>
      <c r="M142" s="29">
        <f t="shared" si="39"/>
        <v>0</v>
      </c>
    </row>
    <row r="143">
      <c r="A143" s="24">
        <v>6.0</v>
      </c>
      <c r="B143" s="25"/>
      <c r="C143" s="26"/>
      <c r="D143" s="26" t="s">
        <v>207</v>
      </c>
      <c r="E143" s="26" t="s">
        <v>207</v>
      </c>
      <c r="F143" s="27"/>
      <c r="G143" s="27"/>
      <c r="H143" s="27">
        <f t="shared" si="37"/>
        <v>0</v>
      </c>
      <c r="I143" s="27"/>
      <c r="J143" s="29"/>
      <c r="K143" s="31"/>
      <c r="L143" s="29">
        <f t="shared" si="38"/>
        <v>0</v>
      </c>
      <c r="M143" s="29">
        <f t="shared" si="39"/>
        <v>0</v>
      </c>
    </row>
    <row r="144">
      <c r="A144" s="24">
        <v>7.0</v>
      </c>
      <c r="B144" s="25"/>
      <c r="C144" s="26"/>
      <c r="D144" s="26" t="s">
        <v>208</v>
      </c>
      <c r="E144" s="26" t="s">
        <v>208</v>
      </c>
      <c r="F144" s="27"/>
      <c r="G144" s="27"/>
      <c r="H144" s="27">
        <f t="shared" si="37"/>
        <v>0</v>
      </c>
      <c r="I144" s="27"/>
      <c r="J144" s="29"/>
      <c r="K144" s="31"/>
      <c r="L144" s="29">
        <f t="shared" si="38"/>
        <v>0</v>
      </c>
      <c r="M144" s="29">
        <f t="shared" si="39"/>
        <v>0</v>
      </c>
    </row>
    <row r="145">
      <c r="A145" s="24">
        <v>8.0</v>
      </c>
      <c r="B145" s="25"/>
      <c r="C145" s="26"/>
      <c r="D145" s="26" t="s">
        <v>209</v>
      </c>
      <c r="E145" s="26" t="s">
        <v>209</v>
      </c>
      <c r="F145" s="27"/>
      <c r="G145" s="27"/>
      <c r="H145" s="27">
        <f t="shared" si="37"/>
        <v>0</v>
      </c>
      <c r="I145" s="27"/>
      <c r="J145" s="29"/>
      <c r="K145" s="31"/>
      <c r="L145" s="29">
        <f t="shared" si="38"/>
        <v>0</v>
      </c>
      <c r="M145" s="29">
        <f t="shared" si="39"/>
        <v>0</v>
      </c>
    </row>
    <row r="146">
      <c r="A146" s="24">
        <v>9.0</v>
      </c>
      <c r="B146" s="25"/>
      <c r="C146" s="26"/>
      <c r="D146" s="26" t="s">
        <v>210</v>
      </c>
      <c r="E146" s="26" t="s">
        <v>210</v>
      </c>
      <c r="F146" s="27"/>
      <c r="G146" s="27"/>
      <c r="H146" s="27">
        <f t="shared" si="37"/>
        <v>0</v>
      </c>
      <c r="I146" s="27"/>
      <c r="J146" s="29"/>
      <c r="K146" s="31"/>
      <c r="L146" s="29">
        <f t="shared" si="38"/>
        <v>0</v>
      </c>
      <c r="M146" s="29">
        <f t="shared" si="39"/>
        <v>0</v>
      </c>
    </row>
    <row r="147">
      <c r="A147" s="24">
        <v>10.0</v>
      </c>
      <c r="B147" s="25"/>
      <c r="C147" s="26"/>
      <c r="D147" s="26" t="s">
        <v>211</v>
      </c>
      <c r="E147" s="26" t="s">
        <v>211</v>
      </c>
      <c r="F147" s="27"/>
      <c r="G147" s="27"/>
      <c r="H147" s="27">
        <f t="shared" si="37"/>
        <v>0</v>
      </c>
      <c r="I147" s="27"/>
      <c r="J147" s="29"/>
      <c r="K147" s="31"/>
      <c r="L147" s="29">
        <f t="shared" si="38"/>
        <v>0</v>
      </c>
      <c r="M147" s="29">
        <f t="shared" si="39"/>
        <v>0</v>
      </c>
    </row>
    <row r="148">
      <c r="A148" s="24">
        <v>11.0</v>
      </c>
      <c r="B148" s="25"/>
      <c r="C148" s="26"/>
      <c r="D148" s="26" t="s">
        <v>212</v>
      </c>
      <c r="E148" s="26" t="s">
        <v>212</v>
      </c>
      <c r="F148" s="27"/>
      <c r="G148" s="27"/>
      <c r="H148" s="27">
        <f t="shared" si="37"/>
        <v>0</v>
      </c>
      <c r="I148" s="27"/>
      <c r="J148" s="29"/>
      <c r="K148" s="31"/>
      <c r="L148" s="29">
        <f t="shared" si="38"/>
        <v>0</v>
      </c>
      <c r="M148" s="29">
        <f t="shared" si="39"/>
        <v>0</v>
      </c>
    </row>
    <row r="149">
      <c r="A149" s="24">
        <v>12.0</v>
      </c>
      <c r="B149" s="25"/>
      <c r="C149" s="26"/>
      <c r="D149" s="26" t="s">
        <v>213</v>
      </c>
      <c r="E149" s="26" t="s">
        <v>213</v>
      </c>
      <c r="F149" s="27"/>
      <c r="G149" s="27"/>
      <c r="H149" s="27">
        <f t="shared" si="37"/>
        <v>0</v>
      </c>
      <c r="I149" s="27"/>
      <c r="J149" s="27"/>
      <c r="K149" s="31"/>
      <c r="L149" s="29">
        <f t="shared" si="38"/>
        <v>0</v>
      </c>
      <c r="M149" s="29">
        <f t="shared" si="39"/>
        <v>0</v>
      </c>
    </row>
    <row r="150">
      <c r="A150" s="24">
        <v>13.0</v>
      </c>
      <c r="B150" s="25"/>
      <c r="C150" s="26"/>
      <c r="D150" s="26" t="s">
        <v>214</v>
      </c>
      <c r="E150" s="26" t="s">
        <v>214</v>
      </c>
      <c r="F150" s="27"/>
      <c r="G150" s="27"/>
      <c r="H150" s="27">
        <f t="shared" si="37"/>
        <v>0</v>
      </c>
      <c r="I150" s="27"/>
      <c r="J150" s="29"/>
      <c r="K150" s="31"/>
      <c r="L150" s="29">
        <f t="shared" si="38"/>
        <v>0</v>
      </c>
      <c r="M150" s="29">
        <f t="shared" si="39"/>
        <v>0</v>
      </c>
    </row>
    <row r="151">
      <c r="A151" s="24">
        <v>14.0</v>
      </c>
      <c r="B151" s="25"/>
      <c r="C151" s="26"/>
      <c r="D151" s="26" t="s">
        <v>215</v>
      </c>
      <c r="E151" s="26" t="s">
        <v>215</v>
      </c>
      <c r="F151" s="27"/>
      <c r="G151" s="27"/>
      <c r="H151" s="27">
        <f t="shared" si="37"/>
        <v>0</v>
      </c>
      <c r="I151" s="27"/>
      <c r="J151" s="29"/>
      <c r="K151" s="31"/>
      <c r="L151" s="29">
        <f t="shared" si="38"/>
        <v>0</v>
      </c>
      <c r="M151" s="29">
        <f t="shared" si="39"/>
        <v>0</v>
      </c>
    </row>
    <row r="152">
      <c r="A152" s="24">
        <v>15.0</v>
      </c>
      <c r="B152" s="25"/>
      <c r="C152" s="26"/>
      <c r="D152" s="26" t="s">
        <v>216</v>
      </c>
      <c r="E152" s="26" t="s">
        <v>216</v>
      </c>
      <c r="F152" s="27"/>
      <c r="G152" s="29"/>
      <c r="H152" s="27">
        <f t="shared" si="37"/>
        <v>0</v>
      </c>
      <c r="I152" s="27"/>
      <c r="J152" s="29"/>
      <c r="K152" s="31"/>
      <c r="L152" s="29">
        <f t="shared" si="38"/>
        <v>0</v>
      </c>
      <c r="M152" s="29">
        <f t="shared" si="39"/>
        <v>0</v>
      </c>
    </row>
    <row r="153">
      <c r="A153" s="24">
        <v>16.0</v>
      </c>
      <c r="B153" s="24"/>
      <c r="C153" s="31"/>
      <c r="D153" s="26" t="s">
        <v>217</v>
      </c>
      <c r="E153" s="26" t="s">
        <v>217</v>
      </c>
      <c r="F153" s="29"/>
      <c r="G153" s="29"/>
      <c r="H153" s="27">
        <f t="shared" si="37"/>
        <v>0</v>
      </c>
      <c r="I153" s="29"/>
      <c r="J153" s="29"/>
      <c r="K153" s="31"/>
      <c r="L153" s="29">
        <f t="shared" si="38"/>
        <v>0</v>
      </c>
      <c r="M153" s="29">
        <f t="shared" si="39"/>
        <v>0</v>
      </c>
    </row>
    <row r="154">
      <c r="A154" s="24">
        <v>17.0</v>
      </c>
      <c r="B154" s="24"/>
      <c r="C154" s="31"/>
      <c r="D154" s="26" t="s">
        <v>218</v>
      </c>
      <c r="E154" s="26" t="s">
        <v>218</v>
      </c>
      <c r="F154" s="29"/>
      <c r="G154" s="29"/>
      <c r="H154" s="27">
        <f t="shared" si="37"/>
        <v>0</v>
      </c>
      <c r="I154" s="29"/>
      <c r="J154" s="29"/>
      <c r="K154" s="31"/>
      <c r="L154" s="29">
        <f t="shared" si="38"/>
        <v>0</v>
      </c>
      <c r="M154" s="29">
        <f t="shared" si="39"/>
        <v>0</v>
      </c>
    </row>
    <row r="155">
      <c r="A155" s="24">
        <v>18.0</v>
      </c>
      <c r="B155" s="24"/>
      <c r="C155" s="31"/>
      <c r="D155" s="26" t="s">
        <v>219</v>
      </c>
      <c r="E155" s="26" t="s">
        <v>219</v>
      </c>
      <c r="F155" s="29"/>
      <c r="G155" s="29"/>
      <c r="H155" s="27">
        <f t="shared" si="37"/>
        <v>0</v>
      </c>
      <c r="I155" s="29"/>
      <c r="J155" s="29"/>
      <c r="K155" s="31"/>
      <c r="L155" s="29">
        <f t="shared" si="38"/>
        <v>0</v>
      </c>
      <c r="M155" s="29">
        <f t="shared" si="39"/>
        <v>0</v>
      </c>
    </row>
    <row r="156">
      <c r="A156" s="24">
        <v>19.0</v>
      </c>
      <c r="B156" s="24"/>
      <c r="C156" s="31"/>
      <c r="D156" s="26" t="s">
        <v>220</v>
      </c>
      <c r="E156" s="26" t="s">
        <v>220</v>
      </c>
      <c r="F156" s="29"/>
      <c r="G156" s="29"/>
      <c r="H156" s="27">
        <f t="shared" si="37"/>
        <v>0</v>
      </c>
      <c r="I156" s="29"/>
      <c r="J156" s="29"/>
      <c r="K156" s="31"/>
      <c r="L156" s="29">
        <f t="shared" si="38"/>
        <v>0</v>
      </c>
      <c r="M156" s="29">
        <f t="shared" si="39"/>
        <v>0</v>
      </c>
    </row>
    <row r="157">
      <c r="A157" s="24">
        <v>20.0</v>
      </c>
      <c r="B157" s="24"/>
      <c r="C157" s="31"/>
      <c r="D157" s="26" t="s">
        <v>221</v>
      </c>
      <c r="E157" s="26" t="s">
        <v>221</v>
      </c>
      <c r="F157" s="29"/>
      <c r="G157" s="29"/>
      <c r="H157" s="27">
        <f t="shared" si="37"/>
        <v>0</v>
      </c>
      <c r="I157" s="29"/>
      <c r="J157" s="29"/>
      <c r="K157" s="31"/>
      <c r="L157" s="29">
        <f t="shared" si="38"/>
        <v>0</v>
      </c>
      <c r="M157" s="29">
        <f t="shared" si="39"/>
        <v>0</v>
      </c>
    </row>
    <row r="158">
      <c r="A158" s="24">
        <v>21.0</v>
      </c>
      <c r="B158" s="24"/>
      <c r="C158" s="31"/>
      <c r="D158" s="26" t="s">
        <v>222</v>
      </c>
      <c r="E158" s="26" t="s">
        <v>222</v>
      </c>
      <c r="F158" s="29"/>
      <c r="G158" s="29"/>
      <c r="H158" s="27">
        <f t="shared" si="37"/>
        <v>0</v>
      </c>
      <c r="I158" s="29"/>
      <c r="J158" s="29"/>
      <c r="K158" s="26"/>
      <c r="L158" s="29">
        <f t="shared" si="38"/>
        <v>0</v>
      </c>
      <c r="M158" s="29">
        <f t="shared" si="39"/>
        <v>0</v>
      </c>
    </row>
    <row r="159">
      <c r="A159" s="24">
        <v>22.0</v>
      </c>
      <c r="B159" s="24"/>
      <c r="C159" s="31"/>
      <c r="D159" s="26" t="s">
        <v>223</v>
      </c>
      <c r="E159" s="26" t="s">
        <v>223</v>
      </c>
      <c r="F159" s="29"/>
      <c r="G159" s="29"/>
      <c r="H159" s="27">
        <f t="shared" si="37"/>
        <v>0</v>
      </c>
      <c r="I159" s="29"/>
      <c r="J159" s="29"/>
      <c r="K159" s="26"/>
      <c r="L159" s="29">
        <f t="shared" si="38"/>
        <v>0</v>
      </c>
      <c r="M159" s="29">
        <f t="shared" si="39"/>
        <v>0</v>
      </c>
    </row>
    <row r="160">
      <c r="A160" s="24">
        <v>23.0</v>
      </c>
      <c r="B160" s="24"/>
      <c r="C160" s="31"/>
      <c r="D160" s="26" t="s">
        <v>224</v>
      </c>
      <c r="E160" s="26" t="s">
        <v>224</v>
      </c>
      <c r="F160" s="29"/>
      <c r="G160" s="29"/>
      <c r="H160" s="27">
        <f t="shared" si="37"/>
        <v>0</v>
      </c>
      <c r="I160" s="29"/>
      <c r="J160" s="29"/>
      <c r="K160" s="31"/>
      <c r="L160" s="29">
        <f t="shared" si="38"/>
        <v>0</v>
      </c>
      <c r="M160" s="29">
        <f t="shared" si="39"/>
        <v>0</v>
      </c>
    </row>
    <row r="161">
      <c r="A161" s="24">
        <v>24.0</v>
      </c>
      <c r="B161" s="24"/>
      <c r="C161" s="31"/>
      <c r="D161" s="26" t="s">
        <v>225</v>
      </c>
      <c r="E161" s="26" t="s">
        <v>225</v>
      </c>
      <c r="F161" s="29"/>
      <c r="G161" s="29"/>
      <c r="H161" s="27">
        <f t="shared" si="37"/>
        <v>0</v>
      </c>
      <c r="I161" s="29"/>
      <c r="J161" s="29"/>
      <c r="K161" s="31"/>
      <c r="L161" s="29">
        <f t="shared" si="38"/>
        <v>0</v>
      </c>
      <c r="M161" s="29">
        <f t="shared" si="39"/>
        <v>0</v>
      </c>
    </row>
    <row r="162">
      <c r="A162" s="24">
        <v>25.0</v>
      </c>
      <c r="B162" s="24"/>
      <c r="C162" s="31"/>
      <c r="D162" s="26" t="s">
        <v>226</v>
      </c>
      <c r="E162" s="26" t="s">
        <v>226</v>
      </c>
      <c r="F162" s="29"/>
      <c r="G162" s="29"/>
      <c r="H162" s="27">
        <f t="shared" si="37"/>
        <v>0</v>
      </c>
      <c r="I162" s="29"/>
      <c r="J162" s="29"/>
      <c r="K162" s="31"/>
      <c r="L162" s="29">
        <f t="shared" si="38"/>
        <v>0</v>
      </c>
      <c r="M162" s="29">
        <f t="shared" si="39"/>
        <v>0</v>
      </c>
    </row>
    <row r="163">
      <c r="A163" s="24">
        <v>26.0</v>
      </c>
      <c r="B163" s="24"/>
      <c r="C163" s="31"/>
      <c r="D163" s="26" t="s">
        <v>227</v>
      </c>
      <c r="E163" s="26" t="s">
        <v>227</v>
      </c>
      <c r="F163" s="29"/>
      <c r="G163" s="29"/>
      <c r="H163" s="27">
        <f t="shared" si="37"/>
        <v>0</v>
      </c>
      <c r="I163" s="29"/>
      <c r="J163" s="29"/>
      <c r="K163" s="31"/>
      <c r="L163" s="29">
        <f t="shared" si="38"/>
        <v>0</v>
      </c>
      <c r="M163" s="29">
        <f t="shared" si="39"/>
        <v>0</v>
      </c>
    </row>
    <row r="164">
      <c r="A164" s="24">
        <v>27.0</v>
      </c>
      <c r="B164" s="24"/>
      <c r="C164" s="31"/>
      <c r="D164" s="26" t="s">
        <v>228</v>
      </c>
      <c r="E164" s="26" t="s">
        <v>228</v>
      </c>
      <c r="F164" s="29"/>
      <c r="G164" s="29"/>
      <c r="H164" s="27">
        <f t="shared" si="37"/>
        <v>0</v>
      </c>
      <c r="I164" s="29"/>
      <c r="J164" s="29"/>
      <c r="K164" s="31"/>
      <c r="L164" s="29">
        <f t="shared" si="38"/>
        <v>0</v>
      </c>
      <c r="M164" s="29">
        <f t="shared" si="39"/>
        <v>0</v>
      </c>
    </row>
    <row r="165">
      <c r="A165" s="24">
        <v>28.0</v>
      </c>
      <c r="B165" s="24"/>
      <c r="C165" s="31"/>
      <c r="D165" s="26" t="s">
        <v>229</v>
      </c>
      <c r="E165" s="26" t="s">
        <v>229</v>
      </c>
      <c r="F165" s="29"/>
      <c r="G165" s="29"/>
      <c r="H165" s="27">
        <f t="shared" si="37"/>
        <v>0</v>
      </c>
      <c r="I165" s="29"/>
      <c r="J165" s="29"/>
      <c r="K165" s="31"/>
      <c r="L165" s="29">
        <f t="shared" si="38"/>
        <v>0</v>
      </c>
      <c r="M165" s="29">
        <f t="shared" si="39"/>
        <v>0</v>
      </c>
    </row>
    <row r="166">
      <c r="A166" s="33" t="s">
        <v>42</v>
      </c>
      <c r="B166" s="34"/>
      <c r="C166" s="34"/>
      <c r="D166" s="34"/>
      <c r="E166" s="35"/>
      <c r="F166" s="36">
        <f t="shared" ref="F166:G166" si="40">SUM(F138:F165)</f>
        <v>0</v>
      </c>
      <c r="G166" s="36">
        <f t="shared" si="40"/>
        <v>0</v>
      </c>
      <c r="H166" s="36">
        <f>SUM(H138:H143)</f>
        <v>0</v>
      </c>
      <c r="I166" s="36">
        <f t="shared" ref="I166:K166" si="41">SUM(I138:I165)</f>
        <v>0</v>
      </c>
      <c r="J166" s="36">
        <f t="shared" si="41"/>
        <v>0</v>
      </c>
      <c r="K166" s="36">
        <f t="shared" si="41"/>
        <v>0</v>
      </c>
      <c r="L166" s="37">
        <f t="shared" si="38"/>
        <v>0</v>
      </c>
      <c r="M166" s="36">
        <f>SUM(M138:M143)</f>
        <v>0</v>
      </c>
    </row>
  </sheetData>
  <mergeCells count="94">
    <mergeCell ref="D25:D26"/>
    <mergeCell ref="E25:E26"/>
    <mergeCell ref="A42:E42"/>
    <mergeCell ref="A46:M46"/>
    <mergeCell ref="A47:A48"/>
    <mergeCell ref="B47:B48"/>
    <mergeCell ref="C47:C48"/>
    <mergeCell ref="M47:M48"/>
    <mergeCell ref="F66:H66"/>
    <mergeCell ref="I66:L66"/>
    <mergeCell ref="D47:D48"/>
    <mergeCell ref="E47:E48"/>
    <mergeCell ref="A61:E61"/>
    <mergeCell ref="A65:M65"/>
    <mergeCell ref="A66:A67"/>
    <mergeCell ref="B66:B67"/>
    <mergeCell ref="C66:C67"/>
    <mergeCell ref="M66:M67"/>
    <mergeCell ref="F77:H77"/>
    <mergeCell ref="I77:L77"/>
    <mergeCell ref="D66:D67"/>
    <mergeCell ref="E66:E67"/>
    <mergeCell ref="A72:E72"/>
    <mergeCell ref="A76:M76"/>
    <mergeCell ref="A77:A78"/>
    <mergeCell ref="B77:B78"/>
    <mergeCell ref="C77:C78"/>
    <mergeCell ref="M77:M78"/>
    <mergeCell ref="F89:H89"/>
    <mergeCell ref="I89:L89"/>
    <mergeCell ref="D77:D78"/>
    <mergeCell ref="E77:E78"/>
    <mergeCell ref="A84:E84"/>
    <mergeCell ref="A88:M88"/>
    <mergeCell ref="A89:A90"/>
    <mergeCell ref="B89:B90"/>
    <mergeCell ref="C89:C90"/>
    <mergeCell ref="M89:M90"/>
    <mergeCell ref="F110:H110"/>
    <mergeCell ref="I110:L110"/>
    <mergeCell ref="D89:D90"/>
    <mergeCell ref="E89:E90"/>
    <mergeCell ref="A105:E105"/>
    <mergeCell ref="A109:M109"/>
    <mergeCell ref="A110:A111"/>
    <mergeCell ref="B110:B111"/>
    <mergeCell ref="C110:C111"/>
    <mergeCell ref="M110:M111"/>
    <mergeCell ref="F123:H123"/>
    <mergeCell ref="I123:L123"/>
    <mergeCell ref="D110:D111"/>
    <mergeCell ref="E110:E111"/>
    <mergeCell ref="A118:E118"/>
    <mergeCell ref="A122:M122"/>
    <mergeCell ref="A123:A124"/>
    <mergeCell ref="B123:B124"/>
    <mergeCell ref="C123:C124"/>
    <mergeCell ref="M123:M124"/>
    <mergeCell ref="F136:H136"/>
    <mergeCell ref="I136:L136"/>
    <mergeCell ref="D123:D124"/>
    <mergeCell ref="E123:E124"/>
    <mergeCell ref="A131:E131"/>
    <mergeCell ref="A135:M135"/>
    <mergeCell ref="A136:A137"/>
    <mergeCell ref="B136:B137"/>
    <mergeCell ref="C136:C137"/>
    <mergeCell ref="M136:M137"/>
    <mergeCell ref="E11:E12"/>
    <mergeCell ref="F11:H11"/>
    <mergeCell ref="I11:L11"/>
    <mergeCell ref="M11:M12"/>
    <mergeCell ref="A6:M6"/>
    <mergeCell ref="A7:M7"/>
    <mergeCell ref="A8:M8"/>
    <mergeCell ref="A9:M9"/>
    <mergeCell ref="B10:M10"/>
    <mergeCell ref="A11:A12"/>
    <mergeCell ref="B11:B12"/>
    <mergeCell ref="F25:H25"/>
    <mergeCell ref="I25:L25"/>
    <mergeCell ref="C11:C12"/>
    <mergeCell ref="D11:D12"/>
    <mergeCell ref="A20:E20"/>
    <mergeCell ref="A24:M24"/>
    <mergeCell ref="A25:A26"/>
    <mergeCell ref="B25:B26"/>
    <mergeCell ref="C25:C26"/>
    <mergeCell ref="M25:M26"/>
    <mergeCell ref="F47:H47"/>
    <mergeCell ref="I47:L47"/>
    <mergeCell ref="D136:D137"/>
    <mergeCell ref="E136:E137"/>
    <mergeCell ref="A166:E166"/>
  </mergeCells>
  <hyperlinks>
    <hyperlink r:id="rId1" ref="A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50.88"/>
    <col customWidth="1" min="4" max="4" width="20.88"/>
  </cols>
  <sheetData>
    <row r="1">
      <c r="A1" s="42"/>
      <c r="B1" s="2"/>
      <c r="C1" s="43"/>
      <c r="D1" s="44"/>
    </row>
    <row r="2">
      <c r="A2" s="45"/>
      <c r="B2" s="2"/>
      <c r="C2" s="2"/>
      <c r="D2" s="46"/>
    </row>
    <row r="3">
      <c r="A3" s="45"/>
      <c r="B3" s="2"/>
      <c r="C3" s="2"/>
      <c r="D3" s="46"/>
    </row>
    <row r="4">
      <c r="A4" s="47"/>
      <c r="B4" s="3"/>
      <c r="C4" s="3"/>
      <c r="D4" s="48"/>
    </row>
    <row r="5">
      <c r="A5" s="49" t="s">
        <v>1</v>
      </c>
      <c r="D5" s="50"/>
    </row>
    <row r="6">
      <c r="A6" s="49" t="s">
        <v>2</v>
      </c>
      <c r="D6" s="50"/>
    </row>
    <row r="7">
      <c r="A7" s="49" t="s">
        <v>230</v>
      </c>
      <c r="D7" s="50"/>
    </row>
    <row r="8">
      <c r="A8" s="51" t="s">
        <v>3</v>
      </c>
      <c r="B8" s="5"/>
      <c r="C8" s="5"/>
      <c r="D8" s="6"/>
    </row>
    <row r="9">
      <c r="A9" s="47"/>
      <c r="B9" s="5"/>
      <c r="C9" s="5"/>
      <c r="D9" s="6"/>
    </row>
    <row r="10">
      <c r="A10" s="52" t="s">
        <v>231</v>
      </c>
      <c r="B10" s="5"/>
      <c r="C10" s="5"/>
      <c r="D10" s="6"/>
    </row>
    <row r="11" hidden="1">
      <c r="A11" s="47"/>
      <c r="B11" s="5"/>
      <c r="C11" s="5"/>
      <c r="D11" s="6"/>
    </row>
    <row r="12" hidden="1">
      <c r="A12" s="53" t="s">
        <v>232</v>
      </c>
      <c r="B12" s="54" t="s">
        <v>233</v>
      </c>
      <c r="C12" s="5"/>
      <c r="D12" s="6"/>
    </row>
    <row r="13" hidden="1">
      <c r="A13" s="53" t="s">
        <v>9</v>
      </c>
      <c r="B13" s="54" t="s">
        <v>25</v>
      </c>
      <c r="C13" s="5"/>
      <c r="D13" s="6"/>
    </row>
    <row r="14" hidden="1">
      <c r="A14" s="53" t="s">
        <v>10</v>
      </c>
      <c r="B14" s="54" t="s">
        <v>25</v>
      </c>
      <c r="C14" s="5"/>
      <c r="D14" s="6"/>
    </row>
    <row r="15" hidden="1">
      <c r="A15" s="53" t="s">
        <v>234</v>
      </c>
      <c r="B15" s="54" t="s">
        <v>235</v>
      </c>
      <c r="C15" s="5"/>
      <c r="D15" s="6"/>
    </row>
    <row r="16" hidden="1">
      <c r="A16" s="53" t="s">
        <v>236</v>
      </c>
      <c r="B16" s="54" t="s">
        <v>24</v>
      </c>
      <c r="C16" s="5"/>
      <c r="D16" s="6"/>
    </row>
    <row r="17" hidden="1">
      <c r="A17" s="55"/>
      <c r="B17" s="5"/>
      <c r="C17" s="5"/>
      <c r="D17" s="6"/>
    </row>
    <row r="18" hidden="1">
      <c r="A18" s="56" t="s">
        <v>7</v>
      </c>
      <c r="B18" s="57" t="s">
        <v>237</v>
      </c>
      <c r="C18" s="57" t="s">
        <v>238</v>
      </c>
      <c r="D18" s="57" t="s">
        <v>239</v>
      </c>
    </row>
    <row r="19" hidden="1">
      <c r="A19" s="58" t="s">
        <v>26</v>
      </c>
      <c r="B19" s="59" t="s">
        <v>240</v>
      </c>
      <c r="C19" s="60">
        <f>1.5*3*3000</f>
        <v>13500</v>
      </c>
      <c r="D19" s="61" t="s">
        <v>241</v>
      </c>
    </row>
    <row r="20" hidden="1">
      <c r="A20" s="62"/>
      <c r="B20" s="59" t="s">
        <v>242</v>
      </c>
      <c r="C20" s="60">
        <f>1.5*2*3000+3000</f>
        <v>12000</v>
      </c>
      <c r="D20" s="61" t="s">
        <v>243</v>
      </c>
    </row>
    <row r="21" hidden="1">
      <c r="A21" s="62"/>
      <c r="B21" s="59" t="s">
        <v>244</v>
      </c>
      <c r="C21" s="63">
        <v>8500.0</v>
      </c>
      <c r="D21" s="64"/>
    </row>
    <row r="22" hidden="1">
      <c r="A22" s="62"/>
      <c r="B22" s="59" t="s">
        <v>245</v>
      </c>
      <c r="C22" s="63">
        <f>80+40+300</f>
        <v>420</v>
      </c>
      <c r="D22" s="65"/>
    </row>
    <row r="23" hidden="1">
      <c r="A23" s="66" t="s">
        <v>246</v>
      </c>
      <c r="B23" s="39"/>
      <c r="C23" s="67">
        <f>SUM(C19:C22)</f>
        <v>34420</v>
      </c>
      <c r="D23" s="68"/>
    </row>
    <row r="24" hidden="1">
      <c r="A24" s="69"/>
      <c r="B24" s="69"/>
      <c r="C24" s="69"/>
      <c r="D24" s="69"/>
    </row>
    <row r="25" hidden="1">
      <c r="A25" s="69"/>
      <c r="B25" s="69"/>
      <c r="C25" s="69"/>
      <c r="D25" s="69"/>
    </row>
    <row r="26" hidden="1">
      <c r="A26" s="70" t="s">
        <v>232</v>
      </c>
      <c r="B26" s="71" t="s">
        <v>247</v>
      </c>
      <c r="C26" s="34"/>
      <c r="D26" s="39"/>
    </row>
    <row r="27" hidden="1">
      <c r="A27" s="53" t="s">
        <v>9</v>
      </c>
      <c r="B27" s="54" t="s">
        <v>28</v>
      </c>
      <c r="C27" s="5"/>
      <c r="D27" s="6"/>
    </row>
    <row r="28" hidden="1">
      <c r="A28" s="53" t="s">
        <v>10</v>
      </c>
      <c r="B28" s="54" t="s">
        <v>28</v>
      </c>
      <c r="C28" s="5"/>
      <c r="D28" s="6"/>
    </row>
    <row r="29" hidden="1">
      <c r="A29" s="53" t="s">
        <v>234</v>
      </c>
      <c r="B29" s="54" t="s">
        <v>248</v>
      </c>
      <c r="C29" s="5"/>
      <c r="D29" s="6"/>
    </row>
    <row r="30" hidden="1">
      <c r="A30" s="53" t="s">
        <v>236</v>
      </c>
      <c r="B30" s="54" t="s">
        <v>27</v>
      </c>
      <c r="C30" s="5"/>
      <c r="D30" s="6"/>
    </row>
    <row r="31" hidden="1">
      <c r="A31" s="55"/>
      <c r="B31" s="5"/>
      <c r="C31" s="5"/>
      <c r="D31" s="6"/>
    </row>
    <row r="32" hidden="1">
      <c r="A32" s="56" t="s">
        <v>7</v>
      </c>
      <c r="B32" s="57" t="s">
        <v>237</v>
      </c>
      <c r="C32" s="57" t="s">
        <v>238</v>
      </c>
      <c r="D32" s="57" t="s">
        <v>239</v>
      </c>
    </row>
    <row r="33" hidden="1">
      <c r="A33" s="58" t="s">
        <v>249</v>
      </c>
      <c r="B33" s="59" t="s">
        <v>250</v>
      </c>
      <c r="C33" s="63">
        <v>150.0</v>
      </c>
      <c r="D33" s="65"/>
    </row>
    <row r="34" hidden="1">
      <c r="A34" s="62"/>
      <c r="B34" s="59" t="s">
        <v>251</v>
      </c>
      <c r="C34" s="63">
        <v>450.0</v>
      </c>
      <c r="D34" s="65"/>
    </row>
    <row r="35" hidden="1">
      <c r="A35" s="62"/>
      <c r="B35" s="59" t="s">
        <v>252</v>
      </c>
      <c r="C35" s="60">
        <f>600+300+350</f>
        <v>1250</v>
      </c>
      <c r="D35" s="65"/>
    </row>
    <row r="36" hidden="1">
      <c r="A36" s="62"/>
      <c r="B36" s="59" t="s">
        <v>253</v>
      </c>
      <c r="C36" s="60">
        <f>6*150</f>
        <v>900</v>
      </c>
      <c r="D36" s="65"/>
    </row>
    <row r="37" hidden="1">
      <c r="A37" s="62"/>
      <c r="B37" s="59" t="s">
        <v>254</v>
      </c>
      <c r="C37" s="60">
        <f>3*150</f>
        <v>450</v>
      </c>
      <c r="D37" s="65"/>
    </row>
    <row r="38" hidden="1">
      <c r="A38" s="58" t="s">
        <v>23</v>
      </c>
      <c r="B38" s="59" t="s">
        <v>250</v>
      </c>
      <c r="C38" s="60">
        <f>150+170+50</f>
        <v>370</v>
      </c>
      <c r="D38" s="65"/>
    </row>
    <row r="39" hidden="1">
      <c r="A39" s="62"/>
      <c r="B39" s="59" t="s">
        <v>251</v>
      </c>
      <c r="C39" s="63">
        <v>200.0</v>
      </c>
      <c r="D39" s="65"/>
    </row>
    <row r="40" hidden="1">
      <c r="A40" s="62"/>
      <c r="B40" s="59" t="s">
        <v>255</v>
      </c>
      <c r="C40" s="60">
        <f>250+100+200+300+20+250+320+100+100</f>
        <v>1640</v>
      </c>
      <c r="D40" s="65"/>
    </row>
    <row r="41" hidden="1">
      <c r="A41" s="72"/>
      <c r="B41" s="59" t="s">
        <v>253</v>
      </c>
      <c r="C41" s="73">
        <f>6*150</f>
        <v>900</v>
      </c>
      <c r="D41" s="61"/>
    </row>
    <row r="42" hidden="1">
      <c r="A42" s="72"/>
      <c r="B42" s="59" t="s">
        <v>254</v>
      </c>
      <c r="C42" s="73">
        <f>5*150</f>
        <v>750</v>
      </c>
      <c r="D42" s="61"/>
    </row>
    <row r="43" hidden="1">
      <c r="A43" s="72"/>
      <c r="B43" s="64" t="s">
        <v>256</v>
      </c>
      <c r="C43" s="74">
        <v>3000.0</v>
      </c>
      <c r="D43" s="61"/>
    </row>
    <row r="44" hidden="1">
      <c r="A44" s="72"/>
      <c r="B44" s="61" t="s">
        <v>257</v>
      </c>
      <c r="C44" s="75">
        <f>1*4*3000+3000</f>
        <v>15000</v>
      </c>
      <c r="D44" s="61" t="s">
        <v>241</v>
      </c>
    </row>
    <row r="45" hidden="1">
      <c r="A45" s="62"/>
      <c r="B45" s="59" t="s">
        <v>258</v>
      </c>
      <c r="C45" s="60">
        <f>1*3*3000+1*6*3000</f>
        <v>27000</v>
      </c>
      <c r="D45" s="65"/>
    </row>
    <row r="46" hidden="1">
      <c r="A46" s="72"/>
      <c r="B46" s="64" t="s">
        <v>259</v>
      </c>
      <c r="C46" s="74">
        <v>20000.0</v>
      </c>
      <c r="D46" s="64"/>
    </row>
    <row r="47" hidden="1">
      <c r="A47" s="62"/>
      <c r="B47" s="59" t="s">
        <v>260</v>
      </c>
      <c r="C47" s="63">
        <v>7000.0</v>
      </c>
      <c r="D47" s="65"/>
    </row>
    <row r="48" hidden="1">
      <c r="A48" s="62"/>
      <c r="B48" s="59" t="s">
        <v>261</v>
      </c>
      <c r="C48" s="63">
        <v>7000.0</v>
      </c>
      <c r="D48" s="65"/>
    </row>
    <row r="49" hidden="1">
      <c r="A49" s="65"/>
      <c r="B49" s="59" t="s">
        <v>262</v>
      </c>
      <c r="C49" s="63">
        <v>7000.0</v>
      </c>
      <c r="D49" s="65"/>
    </row>
    <row r="50" hidden="1">
      <c r="A50" s="65"/>
      <c r="B50" s="59" t="s">
        <v>263</v>
      </c>
      <c r="C50" s="63">
        <v>7000.0</v>
      </c>
      <c r="D50" s="65"/>
    </row>
    <row r="51" hidden="1">
      <c r="A51" s="65"/>
      <c r="B51" s="59" t="s">
        <v>264</v>
      </c>
      <c r="C51" s="63">
        <v>7000.0</v>
      </c>
      <c r="D51" s="65"/>
    </row>
    <row r="52" hidden="1">
      <c r="A52" s="65"/>
      <c r="B52" s="59" t="s">
        <v>265</v>
      </c>
      <c r="C52" s="63">
        <v>3500.0</v>
      </c>
      <c r="D52" s="65"/>
    </row>
    <row r="53" hidden="1">
      <c r="A53" s="65"/>
      <c r="B53" s="59" t="s">
        <v>266</v>
      </c>
      <c r="C53" s="63">
        <v>3500.0</v>
      </c>
      <c r="D53" s="65"/>
    </row>
    <row r="54" hidden="1">
      <c r="A54" s="65"/>
      <c r="B54" s="59" t="s">
        <v>267</v>
      </c>
      <c r="C54" s="63">
        <v>7000.0</v>
      </c>
      <c r="D54" s="65"/>
    </row>
    <row r="55" hidden="1">
      <c r="A55" s="76"/>
      <c r="B55" s="64" t="s">
        <v>268</v>
      </c>
      <c r="C55" s="73">
        <f>8000+1000+600</f>
        <v>9600</v>
      </c>
      <c r="D55" s="64"/>
    </row>
    <row r="56" hidden="1">
      <c r="A56" s="66" t="s">
        <v>246</v>
      </c>
      <c r="B56" s="39"/>
      <c r="C56" s="67">
        <f>SUM(C33:C55)</f>
        <v>130660</v>
      </c>
      <c r="D56" s="68"/>
    </row>
    <row r="57" hidden="1">
      <c r="A57" s="69"/>
      <c r="B57" s="69"/>
      <c r="C57" s="69"/>
      <c r="D57" s="69"/>
    </row>
    <row r="58" hidden="1">
      <c r="A58" s="69"/>
      <c r="B58" s="69"/>
      <c r="C58" s="69"/>
      <c r="D58" s="69"/>
    </row>
    <row r="59" hidden="1">
      <c r="A59" s="70" t="s">
        <v>232</v>
      </c>
      <c r="B59" s="71" t="s">
        <v>269</v>
      </c>
      <c r="C59" s="34"/>
      <c r="D59" s="39"/>
    </row>
    <row r="60" hidden="1">
      <c r="A60" s="70" t="s">
        <v>9</v>
      </c>
      <c r="B60" s="71" t="s">
        <v>31</v>
      </c>
      <c r="C60" s="34"/>
      <c r="D60" s="39"/>
    </row>
    <row r="61" hidden="1">
      <c r="A61" s="70" t="s">
        <v>10</v>
      </c>
      <c r="B61" s="71" t="s">
        <v>31</v>
      </c>
      <c r="C61" s="34"/>
      <c r="D61" s="39"/>
    </row>
    <row r="62" hidden="1">
      <c r="A62" s="70" t="s">
        <v>234</v>
      </c>
      <c r="B62" s="71" t="s">
        <v>270</v>
      </c>
      <c r="C62" s="34"/>
      <c r="D62" s="39"/>
    </row>
    <row r="63" hidden="1">
      <c r="A63" s="70" t="s">
        <v>236</v>
      </c>
      <c r="B63" s="71" t="s">
        <v>30</v>
      </c>
      <c r="C63" s="34"/>
      <c r="D63" s="39"/>
    </row>
    <row r="64" hidden="1">
      <c r="A64" s="55"/>
      <c r="B64" s="5"/>
      <c r="C64" s="5"/>
      <c r="D64" s="6"/>
    </row>
    <row r="65" hidden="1">
      <c r="A65" s="56" t="s">
        <v>7</v>
      </c>
      <c r="B65" s="57" t="s">
        <v>237</v>
      </c>
      <c r="C65" s="57" t="s">
        <v>238</v>
      </c>
      <c r="D65" s="57" t="s">
        <v>239</v>
      </c>
    </row>
    <row r="66" hidden="1">
      <c r="A66" s="77" t="s">
        <v>32</v>
      </c>
      <c r="B66" s="78" t="s">
        <v>271</v>
      </c>
      <c r="C66" s="79">
        <v>2115.0</v>
      </c>
      <c r="D66" s="80"/>
    </row>
    <row r="67" hidden="1">
      <c r="A67" s="81"/>
      <c r="B67" s="81" t="s">
        <v>272</v>
      </c>
      <c r="C67" s="82">
        <f>7560+5700+1040</f>
        <v>14300</v>
      </c>
      <c r="D67" s="83"/>
    </row>
    <row r="68" hidden="1">
      <c r="A68" s="83"/>
      <c r="B68" s="81" t="s">
        <v>273</v>
      </c>
      <c r="C68" s="84">
        <f>1355+36+920+190+60+80</f>
        <v>2641</v>
      </c>
      <c r="D68" s="83"/>
    </row>
    <row r="69" hidden="1">
      <c r="A69" s="83"/>
      <c r="B69" s="81" t="s">
        <v>274</v>
      </c>
      <c r="C69" s="84">
        <f>50+150+220+200+300</f>
        <v>920</v>
      </c>
      <c r="D69" s="83"/>
    </row>
    <row r="70" hidden="1">
      <c r="A70" s="83"/>
      <c r="B70" s="85" t="s">
        <v>275</v>
      </c>
      <c r="C70" s="82">
        <v>2000.0</v>
      </c>
      <c r="D70" s="81" t="s">
        <v>276</v>
      </c>
    </row>
    <row r="71" hidden="1">
      <c r="A71" s="83"/>
      <c r="B71" s="85" t="s">
        <v>277</v>
      </c>
      <c r="C71" s="82">
        <v>6000.0</v>
      </c>
      <c r="D71" s="83"/>
    </row>
    <row r="72" hidden="1">
      <c r="A72" s="83"/>
      <c r="B72" s="85" t="s">
        <v>278</v>
      </c>
      <c r="C72" s="82">
        <v>6000.0</v>
      </c>
      <c r="D72" s="83"/>
    </row>
    <row r="73" hidden="1">
      <c r="A73" s="83"/>
      <c r="B73" s="85" t="s">
        <v>279</v>
      </c>
      <c r="C73" s="82">
        <v>3000.0</v>
      </c>
      <c r="D73" s="83"/>
    </row>
    <row r="74" hidden="1">
      <c r="A74" s="83"/>
      <c r="B74" s="85" t="s">
        <v>280</v>
      </c>
      <c r="C74" s="82">
        <v>5000.0</v>
      </c>
      <c r="D74" s="81" t="s">
        <v>281</v>
      </c>
    </row>
    <row r="75" hidden="1">
      <c r="A75" s="83"/>
      <c r="B75" s="85" t="s">
        <v>282</v>
      </c>
      <c r="C75" s="82">
        <v>12000.0</v>
      </c>
      <c r="D75" s="81" t="s">
        <v>283</v>
      </c>
    </row>
    <row r="76" hidden="1">
      <c r="A76" s="83"/>
      <c r="B76" s="85" t="s">
        <v>284</v>
      </c>
      <c r="C76" s="84">
        <f>3500*4+5000+300+500+1500+500+300</f>
        <v>22100</v>
      </c>
      <c r="D76" s="83"/>
    </row>
    <row r="77" hidden="1">
      <c r="A77" s="83"/>
      <c r="B77" s="81" t="s">
        <v>285</v>
      </c>
      <c r="C77" s="84">
        <f>2*1*2000</f>
        <v>4000</v>
      </c>
      <c r="D77" s="86" t="s">
        <v>241</v>
      </c>
    </row>
    <row r="78" hidden="1">
      <c r="A78" s="83"/>
      <c r="B78" s="81" t="s">
        <v>286</v>
      </c>
      <c r="C78" s="82">
        <v>3000.0</v>
      </c>
      <c r="D78" s="81" t="s">
        <v>287</v>
      </c>
    </row>
    <row r="79" hidden="1">
      <c r="A79" s="83"/>
      <c r="B79" s="81" t="s">
        <v>288</v>
      </c>
      <c r="C79" s="84">
        <f>500+200+100+150+120+150+2000+100+400+120+150+250+320+620+270+250+400+800+600++200+150+150</f>
        <v>8000</v>
      </c>
      <c r="D79" s="83"/>
    </row>
    <row r="80" hidden="1">
      <c r="A80" s="83"/>
      <c r="B80" s="81" t="s">
        <v>289</v>
      </c>
      <c r="C80" s="84">
        <f>2*2*8000</f>
        <v>32000</v>
      </c>
      <c r="D80" s="86" t="s">
        <v>241</v>
      </c>
    </row>
    <row r="81" hidden="1">
      <c r="A81" s="83"/>
      <c r="B81" s="81" t="s">
        <v>290</v>
      </c>
      <c r="C81" s="84">
        <f>4*2*3000</f>
        <v>24000</v>
      </c>
      <c r="D81" s="86" t="s">
        <v>241</v>
      </c>
    </row>
    <row r="82" hidden="1">
      <c r="A82" s="66" t="s">
        <v>246</v>
      </c>
      <c r="B82" s="39"/>
      <c r="C82" s="67">
        <f>SUM(C66:C81)</f>
        <v>147076</v>
      </c>
      <c r="D82" s="68"/>
    </row>
    <row r="83" hidden="1">
      <c r="A83" s="87"/>
      <c r="B83" s="87"/>
      <c r="C83" s="87"/>
      <c r="D83" s="87"/>
    </row>
    <row r="84" hidden="1">
      <c r="A84" s="87"/>
      <c r="B84" s="87"/>
      <c r="C84" s="87"/>
      <c r="D84" s="87"/>
    </row>
    <row r="85" hidden="1">
      <c r="A85" s="70" t="s">
        <v>232</v>
      </c>
      <c r="B85" s="71" t="s">
        <v>291</v>
      </c>
      <c r="C85" s="34"/>
      <c r="D85" s="39"/>
    </row>
    <row r="86" hidden="1">
      <c r="A86" s="70" t="s">
        <v>9</v>
      </c>
      <c r="B86" s="71" t="s">
        <v>33</v>
      </c>
      <c r="C86" s="34"/>
      <c r="D86" s="39"/>
    </row>
    <row r="87" hidden="1">
      <c r="A87" s="53" t="s">
        <v>10</v>
      </c>
      <c r="B87" s="54" t="s">
        <v>33</v>
      </c>
      <c r="C87" s="5"/>
      <c r="D87" s="6"/>
    </row>
    <row r="88" hidden="1">
      <c r="A88" s="53" t="s">
        <v>234</v>
      </c>
      <c r="B88" s="54" t="s">
        <v>235</v>
      </c>
      <c r="C88" s="5"/>
      <c r="D88" s="6"/>
    </row>
    <row r="89" hidden="1">
      <c r="A89" s="53" t="s">
        <v>236</v>
      </c>
      <c r="B89" s="54" t="s">
        <v>24</v>
      </c>
      <c r="C89" s="5"/>
      <c r="D89" s="6"/>
    </row>
    <row r="90" hidden="1">
      <c r="A90" s="55"/>
      <c r="B90" s="5"/>
      <c r="C90" s="5"/>
      <c r="D90" s="6"/>
    </row>
    <row r="91" hidden="1">
      <c r="A91" s="56" t="s">
        <v>7</v>
      </c>
      <c r="B91" s="57" t="s">
        <v>237</v>
      </c>
      <c r="C91" s="57" t="s">
        <v>238</v>
      </c>
      <c r="D91" s="57" t="s">
        <v>239</v>
      </c>
    </row>
    <row r="92" hidden="1">
      <c r="A92" s="58" t="s">
        <v>26</v>
      </c>
      <c r="B92" s="59" t="s">
        <v>292</v>
      </c>
      <c r="C92" s="60">
        <f>3*1*3000</f>
        <v>9000</v>
      </c>
      <c r="D92" s="61"/>
    </row>
    <row r="93" hidden="1">
      <c r="A93" s="62"/>
      <c r="B93" s="59" t="s">
        <v>242</v>
      </c>
      <c r="C93" s="60">
        <f>4*1*3000</f>
        <v>12000</v>
      </c>
      <c r="D93" s="61" t="s">
        <v>241</v>
      </c>
    </row>
    <row r="94" hidden="1">
      <c r="A94" s="62"/>
      <c r="B94" s="59" t="s">
        <v>244</v>
      </c>
      <c r="C94" s="63">
        <v>4000.0</v>
      </c>
      <c r="D94" s="64"/>
    </row>
    <row r="95" hidden="1">
      <c r="A95" s="62"/>
      <c r="B95" s="59" t="s">
        <v>293</v>
      </c>
      <c r="C95" s="63">
        <f>390+100+40+100</f>
        <v>630</v>
      </c>
      <c r="D95" s="65"/>
    </row>
    <row r="96" hidden="1">
      <c r="A96" s="66" t="s">
        <v>246</v>
      </c>
      <c r="B96" s="39"/>
      <c r="C96" s="67">
        <f>SUM(C85:C95)</f>
        <v>25630</v>
      </c>
      <c r="D96" s="68"/>
    </row>
    <row r="97" hidden="1">
      <c r="A97" s="69"/>
      <c r="B97" s="69"/>
      <c r="C97" s="69"/>
      <c r="D97" s="69"/>
    </row>
    <row r="98" hidden="1">
      <c r="A98" s="69"/>
      <c r="B98" s="69"/>
      <c r="C98" s="69"/>
      <c r="D98" s="69"/>
    </row>
    <row r="99" hidden="1">
      <c r="A99" s="70" t="s">
        <v>232</v>
      </c>
      <c r="B99" s="71" t="s">
        <v>294</v>
      </c>
      <c r="C99" s="34"/>
      <c r="D99" s="39"/>
    </row>
    <row r="100" hidden="1">
      <c r="A100" s="70" t="s">
        <v>9</v>
      </c>
      <c r="B100" s="71" t="s">
        <v>35</v>
      </c>
      <c r="C100" s="34"/>
      <c r="D100" s="39"/>
    </row>
    <row r="101" hidden="1">
      <c r="A101" s="53" t="s">
        <v>10</v>
      </c>
      <c r="B101" s="54" t="s">
        <v>35</v>
      </c>
      <c r="C101" s="5"/>
      <c r="D101" s="6"/>
    </row>
    <row r="102" hidden="1">
      <c r="A102" s="53" t="s">
        <v>234</v>
      </c>
      <c r="B102" s="54" t="s">
        <v>295</v>
      </c>
      <c r="C102" s="5"/>
      <c r="D102" s="6"/>
    </row>
    <row r="103" hidden="1">
      <c r="A103" s="53" t="s">
        <v>236</v>
      </c>
      <c r="B103" s="54" t="s">
        <v>30</v>
      </c>
      <c r="C103" s="5"/>
      <c r="D103" s="6"/>
    </row>
    <row r="104" hidden="1">
      <c r="A104" s="55"/>
      <c r="B104" s="5"/>
      <c r="C104" s="5"/>
      <c r="D104" s="6"/>
    </row>
    <row r="105" hidden="1">
      <c r="A105" s="56" t="s">
        <v>7</v>
      </c>
      <c r="B105" s="57" t="s">
        <v>237</v>
      </c>
      <c r="C105" s="57" t="s">
        <v>238</v>
      </c>
      <c r="D105" s="57" t="s">
        <v>239</v>
      </c>
    </row>
    <row r="106" hidden="1">
      <c r="A106" s="59" t="s">
        <v>34</v>
      </c>
      <c r="B106" s="59" t="s">
        <v>296</v>
      </c>
      <c r="C106" s="88">
        <f>10500+2707+320+300</f>
        <v>13827</v>
      </c>
      <c r="D106" s="65"/>
    </row>
    <row r="107" hidden="1">
      <c r="A107" s="65"/>
      <c r="B107" s="59" t="s">
        <v>297</v>
      </c>
      <c r="C107" s="88">
        <f>2800+600+600+360</f>
        <v>4360</v>
      </c>
      <c r="D107" s="65"/>
    </row>
    <row r="108" hidden="1">
      <c r="A108" s="65"/>
      <c r="B108" s="59" t="s">
        <v>298</v>
      </c>
      <c r="C108" s="88">
        <f>2500*3</f>
        <v>7500</v>
      </c>
      <c r="D108" s="65"/>
    </row>
    <row r="109" hidden="1">
      <c r="A109" s="66" t="s">
        <v>246</v>
      </c>
      <c r="B109" s="39"/>
      <c r="C109" s="67">
        <f>SUM(C106:C108)</f>
        <v>25687</v>
      </c>
      <c r="D109" s="68"/>
    </row>
    <row r="110" hidden="1">
      <c r="A110" s="69"/>
      <c r="B110" s="69"/>
      <c r="C110" s="89"/>
      <c r="D110" s="69"/>
    </row>
    <row r="111" hidden="1">
      <c r="A111" s="69"/>
      <c r="B111" s="69"/>
      <c r="C111" s="89"/>
      <c r="D111" s="69"/>
    </row>
    <row r="112" hidden="1">
      <c r="A112" s="70" t="s">
        <v>232</v>
      </c>
      <c r="B112" s="71" t="s">
        <v>299</v>
      </c>
      <c r="C112" s="34"/>
      <c r="D112" s="39"/>
    </row>
    <row r="113" hidden="1">
      <c r="A113" s="70" t="s">
        <v>9</v>
      </c>
      <c r="B113" s="71" t="s">
        <v>45</v>
      </c>
      <c r="C113" s="34"/>
      <c r="D113" s="39"/>
    </row>
    <row r="114" hidden="1">
      <c r="A114" s="53" t="s">
        <v>10</v>
      </c>
      <c r="B114" s="54" t="s">
        <v>45</v>
      </c>
      <c r="C114" s="5"/>
      <c r="D114" s="6"/>
    </row>
    <row r="115" hidden="1">
      <c r="A115" s="53" t="s">
        <v>234</v>
      </c>
      <c r="B115" s="54" t="s">
        <v>300</v>
      </c>
      <c r="C115" s="5"/>
      <c r="D115" s="6"/>
    </row>
    <row r="116" hidden="1">
      <c r="A116" s="53" t="s">
        <v>236</v>
      </c>
      <c r="B116" s="54" t="s">
        <v>44</v>
      </c>
      <c r="C116" s="5"/>
      <c r="D116" s="6"/>
    </row>
    <row r="117" hidden="1">
      <c r="A117" s="55"/>
      <c r="B117" s="5"/>
      <c r="C117" s="5"/>
      <c r="D117" s="6"/>
    </row>
    <row r="118" hidden="1">
      <c r="A118" s="56" t="s">
        <v>7</v>
      </c>
      <c r="B118" s="57" t="s">
        <v>237</v>
      </c>
      <c r="C118" s="57" t="s">
        <v>238</v>
      </c>
      <c r="D118" s="57" t="s">
        <v>239</v>
      </c>
    </row>
    <row r="119" hidden="1">
      <c r="A119" s="59" t="s">
        <v>301</v>
      </c>
      <c r="B119" s="59" t="s">
        <v>302</v>
      </c>
      <c r="C119" s="90">
        <v>440.0</v>
      </c>
      <c r="D119" s="65"/>
    </row>
    <row r="120" hidden="1">
      <c r="A120" s="59" t="s">
        <v>303</v>
      </c>
      <c r="B120" s="59" t="s">
        <v>302</v>
      </c>
      <c r="C120" s="91">
        <f>20+25+50+100</f>
        <v>195</v>
      </c>
      <c r="D120" s="65"/>
    </row>
    <row r="121" hidden="1">
      <c r="A121" s="65"/>
      <c r="B121" s="59" t="s">
        <v>304</v>
      </c>
      <c r="C121" s="90">
        <v>16670.0</v>
      </c>
      <c r="D121" s="65"/>
    </row>
    <row r="122" hidden="1">
      <c r="A122" s="59" t="s">
        <v>43</v>
      </c>
      <c r="B122" s="59" t="s">
        <v>305</v>
      </c>
      <c r="C122" s="90">
        <v>630.0</v>
      </c>
      <c r="D122" s="65"/>
    </row>
    <row r="123" hidden="1">
      <c r="A123" s="65"/>
      <c r="B123" s="59" t="s">
        <v>306</v>
      </c>
      <c r="C123" s="90">
        <v>200.0</v>
      </c>
      <c r="D123" s="65"/>
    </row>
    <row r="124" hidden="1">
      <c r="A124" s="65"/>
      <c r="B124" s="59" t="s">
        <v>307</v>
      </c>
      <c r="C124" s="90">
        <v>300.0</v>
      </c>
      <c r="D124" s="65"/>
    </row>
    <row r="125" hidden="1">
      <c r="A125" s="65"/>
      <c r="B125" s="59" t="s">
        <v>308</v>
      </c>
      <c r="C125" s="90">
        <f>780+1360+270+400+11*150</f>
        <v>4460</v>
      </c>
      <c r="D125" s="59"/>
    </row>
    <row r="126" hidden="1">
      <c r="A126" s="59" t="s">
        <v>309</v>
      </c>
      <c r="B126" s="59" t="s">
        <v>310</v>
      </c>
      <c r="C126" s="90">
        <v>1100.0</v>
      </c>
      <c r="D126" s="65"/>
    </row>
    <row r="127" hidden="1">
      <c r="A127" s="59" t="s">
        <v>46</v>
      </c>
      <c r="B127" s="59" t="s">
        <v>311</v>
      </c>
      <c r="C127" s="90">
        <v>150.0</v>
      </c>
      <c r="D127" s="65"/>
    </row>
    <row r="128" hidden="1">
      <c r="A128" s="65"/>
      <c r="B128" s="59" t="s">
        <v>308</v>
      </c>
      <c r="C128" s="91">
        <f>1370+500+10*150</f>
        <v>3370</v>
      </c>
      <c r="D128" s="59"/>
    </row>
    <row r="129" hidden="1">
      <c r="A129" s="59" t="s">
        <v>312</v>
      </c>
      <c r="B129" s="59" t="s">
        <v>308</v>
      </c>
      <c r="C129" s="90">
        <f>300+360+280+180+30+275+1570+350+100+150+300+1500</f>
        <v>5395</v>
      </c>
      <c r="D129" s="65"/>
    </row>
    <row r="130" hidden="1">
      <c r="A130" s="65"/>
      <c r="B130" s="59" t="s">
        <v>313</v>
      </c>
      <c r="C130" s="90">
        <v>400.0</v>
      </c>
      <c r="D130" s="65"/>
    </row>
    <row r="131" hidden="1">
      <c r="A131" s="59" t="s">
        <v>51</v>
      </c>
      <c r="B131" s="59" t="s">
        <v>314</v>
      </c>
      <c r="C131" s="90">
        <f>310+300+550+600+600+200++200+500+390+200+1500+1000</f>
        <v>6350</v>
      </c>
      <c r="D131" s="65"/>
    </row>
    <row r="132" hidden="1">
      <c r="A132" s="65"/>
      <c r="B132" s="59" t="s">
        <v>289</v>
      </c>
      <c r="C132" s="90">
        <f>2*1*8000</f>
        <v>16000</v>
      </c>
      <c r="D132" s="59" t="s">
        <v>241</v>
      </c>
    </row>
    <row r="133" hidden="1">
      <c r="A133" s="65"/>
      <c r="B133" s="59" t="s">
        <v>315</v>
      </c>
      <c r="C133" s="91">
        <f>4*5000</f>
        <v>20000</v>
      </c>
      <c r="D133" s="59"/>
    </row>
    <row r="134" hidden="1">
      <c r="A134" s="65"/>
      <c r="B134" s="59" t="s">
        <v>113</v>
      </c>
      <c r="C134" s="91">
        <f t="shared" ref="C134:C135" si="1">4*4000</f>
        <v>16000</v>
      </c>
      <c r="D134" s="59"/>
    </row>
    <row r="135" hidden="1">
      <c r="A135" s="65"/>
      <c r="B135" s="59" t="s">
        <v>262</v>
      </c>
      <c r="C135" s="91">
        <f t="shared" si="1"/>
        <v>16000</v>
      </c>
      <c r="D135" s="59"/>
    </row>
    <row r="136" hidden="1">
      <c r="A136" s="65"/>
      <c r="B136" s="59" t="s">
        <v>275</v>
      </c>
      <c r="C136" s="91">
        <f>4*2000</f>
        <v>8000</v>
      </c>
      <c r="D136" s="59"/>
    </row>
    <row r="137" hidden="1">
      <c r="A137" s="65"/>
      <c r="B137" s="59" t="s">
        <v>316</v>
      </c>
      <c r="C137" s="91">
        <f>7*5000</f>
        <v>35000</v>
      </c>
      <c r="D137" s="59"/>
    </row>
    <row r="138" hidden="1">
      <c r="A138" s="65"/>
      <c r="B138" s="59" t="s">
        <v>298</v>
      </c>
      <c r="C138" s="91">
        <f>4*3*3000</f>
        <v>36000</v>
      </c>
      <c r="D138" s="59" t="s">
        <v>241</v>
      </c>
    </row>
    <row r="139" hidden="1">
      <c r="A139" s="65"/>
      <c r="B139" s="59" t="s">
        <v>317</v>
      </c>
      <c r="C139" s="91">
        <f>4*4500</f>
        <v>18000</v>
      </c>
      <c r="D139" s="59"/>
    </row>
    <row r="140" hidden="1">
      <c r="A140" s="65"/>
      <c r="B140" s="59" t="s">
        <v>318</v>
      </c>
      <c r="C140" s="91">
        <f>4*300</f>
        <v>1200</v>
      </c>
      <c r="D140" s="59"/>
    </row>
    <row r="141" hidden="1">
      <c r="A141" s="66" t="s">
        <v>246</v>
      </c>
      <c r="B141" s="39"/>
      <c r="C141" s="67">
        <f>SUM(C119:C140)</f>
        <v>205860</v>
      </c>
      <c r="D141" s="68"/>
    </row>
    <row r="142" hidden="1">
      <c r="A142" s="69"/>
      <c r="B142" s="69"/>
      <c r="C142" s="92"/>
      <c r="D142" s="69"/>
    </row>
    <row r="143" hidden="1">
      <c r="A143" s="69"/>
      <c r="B143" s="69"/>
      <c r="C143" s="93"/>
      <c r="D143" s="69"/>
    </row>
    <row r="144" hidden="1">
      <c r="A144" s="69"/>
      <c r="B144" s="69"/>
      <c r="C144" s="93"/>
      <c r="D144" s="69"/>
    </row>
    <row r="145" hidden="1">
      <c r="A145" s="69"/>
      <c r="B145" s="69"/>
      <c r="C145" s="93"/>
      <c r="D145" s="69"/>
    </row>
    <row r="146" hidden="1">
      <c r="A146" s="69"/>
      <c r="B146" s="69"/>
      <c r="C146" s="93"/>
      <c r="D146" s="69"/>
    </row>
    <row r="147" hidden="1">
      <c r="A147" s="69"/>
      <c r="B147" s="69"/>
      <c r="C147" s="93"/>
      <c r="D147" s="69"/>
    </row>
    <row r="148" hidden="1">
      <c r="A148" s="69"/>
      <c r="B148" s="69"/>
      <c r="C148" s="93"/>
      <c r="D148" s="69"/>
    </row>
    <row r="149" hidden="1">
      <c r="A149" s="69"/>
      <c r="B149" s="69"/>
      <c r="C149" s="69"/>
      <c r="D149" s="69"/>
    </row>
    <row r="150" hidden="1">
      <c r="A150" s="70" t="s">
        <v>232</v>
      </c>
      <c r="B150" s="71" t="s">
        <v>319</v>
      </c>
      <c r="C150" s="34"/>
      <c r="D150" s="39"/>
    </row>
    <row r="151" hidden="1">
      <c r="A151" s="70" t="s">
        <v>9</v>
      </c>
      <c r="B151" s="71" t="s">
        <v>47</v>
      </c>
      <c r="C151" s="34"/>
      <c r="D151" s="39"/>
    </row>
    <row r="152" hidden="1">
      <c r="A152" s="53" t="s">
        <v>10</v>
      </c>
      <c r="B152" s="54" t="s">
        <v>47</v>
      </c>
      <c r="C152" s="5"/>
      <c r="D152" s="6"/>
    </row>
    <row r="153" hidden="1">
      <c r="A153" s="53" t="s">
        <v>234</v>
      </c>
      <c r="B153" s="54" t="s">
        <v>235</v>
      </c>
      <c r="C153" s="5"/>
      <c r="D153" s="6"/>
    </row>
    <row r="154" hidden="1">
      <c r="A154" s="53" t="s">
        <v>236</v>
      </c>
      <c r="B154" s="54" t="s">
        <v>24</v>
      </c>
      <c r="C154" s="5"/>
      <c r="D154" s="6"/>
    </row>
    <row r="155" hidden="1">
      <c r="A155" s="55"/>
      <c r="B155" s="5"/>
      <c r="C155" s="5"/>
      <c r="D155" s="6"/>
    </row>
    <row r="156" hidden="1">
      <c r="A156" s="56" t="s">
        <v>7</v>
      </c>
      <c r="B156" s="57" t="s">
        <v>237</v>
      </c>
      <c r="C156" s="57" t="s">
        <v>238</v>
      </c>
      <c r="D156" s="57" t="s">
        <v>239</v>
      </c>
    </row>
    <row r="157" hidden="1">
      <c r="A157" s="58" t="s">
        <v>46</v>
      </c>
      <c r="B157" s="59" t="s">
        <v>292</v>
      </c>
      <c r="C157" s="60">
        <f>2*1*3000</f>
        <v>6000</v>
      </c>
      <c r="D157" s="64"/>
    </row>
    <row r="158" hidden="1">
      <c r="A158" s="62"/>
      <c r="B158" s="59" t="s">
        <v>290</v>
      </c>
      <c r="C158" s="63">
        <v>3000.0</v>
      </c>
      <c r="D158" s="64" t="s">
        <v>241</v>
      </c>
    </row>
    <row r="159" hidden="1">
      <c r="A159" s="62"/>
      <c r="B159" s="59" t="s">
        <v>242</v>
      </c>
      <c r="C159" s="60">
        <f>4*1*3000</f>
        <v>12000</v>
      </c>
      <c r="D159" s="64" t="s">
        <v>241</v>
      </c>
    </row>
    <row r="160" hidden="1">
      <c r="A160" s="62"/>
      <c r="B160" s="59" t="s">
        <v>244</v>
      </c>
      <c r="C160" s="63">
        <v>4000.0</v>
      </c>
      <c r="D160" s="64"/>
    </row>
    <row r="161" hidden="1">
      <c r="A161" s="62"/>
      <c r="B161" s="59" t="s">
        <v>320</v>
      </c>
      <c r="C161" s="63">
        <f>500+250</f>
        <v>750</v>
      </c>
      <c r="D161" s="64"/>
    </row>
    <row r="162" hidden="1">
      <c r="A162" s="62"/>
      <c r="B162" s="59" t="s">
        <v>293</v>
      </c>
      <c r="C162" s="63">
        <f>340+100</f>
        <v>440</v>
      </c>
      <c r="D162" s="94"/>
    </row>
    <row r="163" hidden="1">
      <c r="A163" s="66" t="s">
        <v>246</v>
      </c>
      <c r="B163" s="39"/>
      <c r="C163" s="67">
        <f>SUM(C157:C162)</f>
        <v>26190</v>
      </c>
      <c r="D163" s="95"/>
    </row>
    <row r="164" hidden="1">
      <c r="A164" s="69"/>
      <c r="B164" s="69"/>
      <c r="C164" s="69"/>
      <c r="D164" s="69"/>
    </row>
    <row r="165" hidden="1">
      <c r="A165" s="69"/>
      <c r="B165" s="69"/>
      <c r="C165" s="69"/>
      <c r="D165" s="69"/>
    </row>
    <row r="166" hidden="1">
      <c r="A166" s="70" t="s">
        <v>232</v>
      </c>
      <c r="B166" s="71" t="s">
        <v>321</v>
      </c>
      <c r="C166" s="34"/>
      <c r="D166" s="39"/>
    </row>
    <row r="167" hidden="1">
      <c r="A167" s="70" t="s">
        <v>9</v>
      </c>
      <c r="B167" s="71" t="s">
        <v>50</v>
      </c>
      <c r="C167" s="34"/>
      <c r="D167" s="39"/>
    </row>
    <row r="168" hidden="1">
      <c r="A168" s="53" t="s">
        <v>10</v>
      </c>
      <c r="B168" s="54" t="s">
        <v>50</v>
      </c>
      <c r="C168" s="5"/>
      <c r="D168" s="6"/>
    </row>
    <row r="169" hidden="1">
      <c r="A169" s="53" t="s">
        <v>234</v>
      </c>
      <c r="B169" s="54" t="s">
        <v>322</v>
      </c>
      <c r="C169" s="5"/>
      <c r="D169" s="6"/>
    </row>
    <row r="170" hidden="1">
      <c r="A170" s="53" t="s">
        <v>236</v>
      </c>
      <c r="B170" s="54" t="s">
        <v>49</v>
      </c>
      <c r="C170" s="5"/>
      <c r="D170" s="6"/>
    </row>
    <row r="171" hidden="1">
      <c r="A171" s="55"/>
      <c r="B171" s="5"/>
      <c r="C171" s="5"/>
      <c r="D171" s="6"/>
    </row>
    <row r="172" hidden="1">
      <c r="A172" s="56" t="s">
        <v>7</v>
      </c>
      <c r="B172" s="57" t="s">
        <v>237</v>
      </c>
      <c r="C172" s="57" t="s">
        <v>238</v>
      </c>
      <c r="D172" s="57" t="s">
        <v>239</v>
      </c>
    </row>
    <row r="173" hidden="1">
      <c r="A173" s="59" t="s">
        <v>48</v>
      </c>
      <c r="B173" s="59" t="s">
        <v>323</v>
      </c>
      <c r="C173" s="96">
        <f>150+100</f>
        <v>250</v>
      </c>
      <c r="D173" s="65"/>
    </row>
    <row r="174" hidden="1">
      <c r="A174" s="65"/>
      <c r="B174" s="59" t="s">
        <v>324</v>
      </c>
      <c r="C174" s="97">
        <f>300+20+475</f>
        <v>795</v>
      </c>
      <c r="D174" s="65"/>
    </row>
    <row r="175" hidden="1">
      <c r="A175" s="65"/>
      <c r="B175" s="59" t="s">
        <v>325</v>
      </c>
      <c r="C175" s="96">
        <v>4000.0</v>
      </c>
      <c r="D175" s="65"/>
    </row>
    <row r="176" hidden="1">
      <c r="A176" s="65"/>
      <c r="B176" s="59" t="s">
        <v>326</v>
      </c>
      <c r="C176" s="96">
        <v>4000.0</v>
      </c>
      <c r="D176" s="59"/>
    </row>
    <row r="177" hidden="1">
      <c r="A177" s="65"/>
      <c r="B177" s="59" t="s">
        <v>298</v>
      </c>
      <c r="C177" s="97">
        <f>2*1*2500</f>
        <v>5000</v>
      </c>
      <c r="D177" s="59" t="s">
        <v>241</v>
      </c>
    </row>
    <row r="178" hidden="1">
      <c r="A178" s="66" t="s">
        <v>327</v>
      </c>
      <c r="B178" s="39"/>
      <c r="C178" s="91">
        <f>SUM(C173:C177)</f>
        <v>14045</v>
      </c>
      <c r="D178" s="68"/>
    </row>
    <row r="179" hidden="1">
      <c r="A179" s="69"/>
      <c r="B179" s="69"/>
      <c r="C179" s="89"/>
      <c r="D179" s="69"/>
    </row>
    <row r="180" hidden="1">
      <c r="A180" s="69"/>
      <c r="B180" s="69"/>
      <c r="C180" s="89"/>
      <c r="D180" s="69"/>
    </row>
    <row r="181" hidden="1">
      <c r="A181" s="70" t="s">
        <v>232</v>
      </c>
      <c r="B181" s="71" t="s">
        <v>328</v>
      </c>
      <c r="C181" s="34"/>
      <c r="D181" s="39"/>
    </row>
    <row r="182" hidden="1">
      <c r="A182" s="70" t="s">
        <v>9</v>
      </c>
      <c r="B182" s="71" t="s">
        <v>53</v>
      </c>
      <c r="C182" s="34"/>
      <c r="D182" s="39"/>
    </row>
    <row r="183" hidden="1">
      <c r="A183" s="53" t="s">
        <v>10</v>
      </c>
      <c r="B183" s="54" t="s">
        <v>53</v>
      </c>
      <c r="C183" s="5"/>
      <c r="D183" s="6"/>
    </row>
    <row r="184" hidden="1">
      <c r="A184" s="53" t="s">
        <v>234</v>
      </c>
      <c r="B184" s="54" t="s">
        <v>329</v>
      </c>
      <c r="C184" s="5"/>
      <c r="D184" s="6"/>
    </row>
    <row r="185" hidden="1">
      <c r="A185" s="53" t="s">
        <v>236</v>
      </c>
      <c r="B185" s="54" t="s">
        <v>189</v>
      </c>
      <c r="C185" s="5"/>
      <c r="D185" s="6"/>
    </row>
    <row r="186" hidden="1">
      <c r="A186" s="55"/>
      <c r="B186" s="5"/>
      <c r="C186" s="5"/>
      <c r="D186" s="6"/>
    </row>
    <row r="187" hidden="1">
      <c r="A187" s="56" t="s">
        <v>7</v>
      </c>
      <c r="B187" s="57" t="s">
        <v>237</v>
      </c>
      <c r="C187" s="57" t="s">
        <v>238</v>
      </c>
      <c r="D187" s="57" t="s">
        <v>239</v>
      </c>
    </row>
    <row r="188" hidden="1">
      <c r="A188" s="59" t="s">
        <v>51</v>
      </c>
      <c r="B188" s="59" t="s">
        <v>330</v>
      </c>
      <c r="C188" s="96">
        <v>3000.0</v>
      </c>
      <c r="D188" s="59" t="s">
        <v>241</v>
      </c>
    </row>
    <row r="189" hidden="1">
      <c r="A189" s="65"/>
      <c r="B189" s="59" t="s">
        <v>331</v>
      </c>
      <c r="C189" s="96">
        <v>3000.0</v>
      </c>
      <c r="D189" s="59" t="s">
        <v>241</v>
      </c>
    </row>
    <row r="190" hidden="1">
      <c r="A190" s="65"/>
      <c r="B190" s="59" t="s">
        <v>332</v>
      </c>
      <c r="C190" s="96">
        <v>5000.0</v>
      </c>
      <c r="D190" s="59"/>
    </row>
    <row r="191" hidden="1">
      <c r="A191" s="65"/>
      <c r="B191" s="59" t="s">
        <v>333</v>
      </c>
      <c r="C191" s="96">
        <v>3000.0</v>
      </c>
      <c r="D191" s="59" t="s">
        <v>241</v>
      </c>
    </row>
    <row r="192" hidden="1">
      <c r="A192" s="65"/>
      <c r="B192" s="59" t="s">
        <v>334</v>
      </c>
      <c r="C192" s="96">
        <v>4000.0</v>
      </c>
      <c r="D192" s="59" t="s">
        <v>241</v>
      </c>
    </row>
    <row r="193" hidden="1">
      <c r="A193" s="65"/>
      <c r="B193" s="59" t="s">
        <v>335</v>
      </c>
      <c r="C193" s="97">
        <f>2*1*3000</f>
        <v>6000</v>
      </c>
      <c r="D193" s="59"/>
    </row>
    <row r="194" hidden="1">
      <c r="A194" s="65"/>
      <c r="B194" s="59" t="s">
        <v>240</v>
      </c>
      <c r="C194" s="96">
        <v>3000.0</v>
      </c>
      <c r="D194" s="59" t="s">
        <v>241</v>
      </c>
    </row>
    <row r="195" hidden="1">
      <c r="A195" s="65"/>
      <c r="B195" s="59" t="s">
        <v>336</v>
      </c>
      <c r="C195" s="96">
        <v>3000.0</v>
      </c>
      <c r="D195" s="59"/>
    </row>
    <row r="196" hidden="1">
      <c r="A196" s="65"/>
      <c r="B196" s="59" t="s">
        <v>337</v>
      </c>
      <c r="C196" s="97">
        <f>150+300+500+360+350+180+200+150+1200</f>
        <v>3390</v>
      </c>
      <c r="D196" s="65"/>
    </row>
    <row r="197" hidden="1">
      <c r="A197" s="65"/>
      <c r="B197" s="59" t="s">
        <v>338</v>
      </c>
      <c r="C197" s="97">
        <f>3*1*800</f>
        <v>2400</v>
      </c>
      <c r="D197" s="59" t="s">
        <v>241</v>
      </c>
    </row>
    <row r="198" hidden="1">
      <c r="A198" s="66" t="s">
        <v>327</v>
      </c>
      <c r="B198" s="39"/>
      <c r="C198" s="91">
        <f>SUM(C188:C197)</f>
        <v>35790</v>
      </c>
      <c r="D198" s="68"/>
    </row>
    <row r="199" hidden="1"/>
    <row r="200" hidden="1"/>
    <row r="201" hidden="1">
      <c r="A201" s="70" t="s">
        <v>232</v>
      </c>
      <c r="B201" s="71" t="s">
        <v>339</v>
      </c>
      <c r="C201" s="34"/>
      <c r="D201" s="39"/>
    </row>
    <row r="202" hidden="1">
      <c r="A202" s="70" t="s">
        <v>9</v>
      </c>
      <c r="B202" s="71" t="s">
        <v>56</v>
      </c>
      <c r="C202" s="34"/>
      <c r="D202" s="39"/>
    </row>
    <row r="203" hidden="1">
      <c r="A203" s="53" t="s">
        <v>10</v>
      </c>
      <c r="B203" s="54" t="s">
        <v>56</v>
      </c>
      <c r="C203" s="5"/>
      <c r="D203" s="6"/>
    </row>
    <row r="204" hidden="1">
      <c r="A204" s="53" t="s">
        <v>234</v>
      </c>
      <c r="B204" s="54" t="s">
        <v>340</v>
      </c>
      <c r="C204" s="5"/>
      <c r="D204" s="6"/>
    </row>
    <row r="205" hidden="1">
      <c r="A205" s="53" t="s">
        <v>236</v>
      </c>
      <c r="B205" s="54" t="s">
        <v>189</v>
      </c>
      <c r="C205" s="5"/>
      <c r="D205" s="6"/>
    </row>
    <row r="206" hidden="1">
      <c r="A206" s="55"/>
      <c r="B206" s="5"/>
      <c r="C206" s="5"/>
      <c r="D206" s="6"/>
    </row>
    <row r="207" hidden="1">
      <c r="A207" s="56" t="s">
        <v>7</v>
      </c>
      <c r="B207" s="57" t="s">
        <v>237</v>
      </c>
      <c r="C207" s="57" t="s">
        <v>238</v>
      </c>
      <c r="D207" s="57" t="s">
        <v>239</v>
      </c>
    </row>
    <row r="208" hidden="1">
      <c r="A208" s="65"/>
      <c r="B208" s="59" t="s">
        <v>330</v>
      </c>
      <c r="C208" s="97">
        <f t="shared" ref="C208:C209" si="2">2*1*3000</f>
        <v>6000</v>
      </c>
      <c r="D208" s="59" t="s">
        <v>241</v>
      </c>
    </row>
    <row r="209" hidden="1">
      <c r="A209" s="65"/>
      <c r="B209" s="59" t="s">
        <v>331</v>
      </c>
      <c r="C209" s="97">
        <f t="shared" si="2"/>
        <v>6000</v>
      </c>
      <c r="D209" s="59" t="s">
        <v>241</v>
      </c>
    </row>
    <row r="210" hidden="1">
      <c r="A210" s="65"/>
      <c r="B210" s="59" t="s">
        <v>341</v>
      </c>
      <c r="C210" s="96">
        <v>23000.0</v>
      </c>
      <c r="D210" s="59"/>
    </row>
    <row r="211" hidden="1">
      <c r="A211" s="65"/>
      <c r="B211" s="59" t="s">
        <v>338</v>
      </c>
      <c r="C211" s="97">
        <f>3*2*800</f>
        <v>4800</v>
      </c>
      <c r="D211" s="59" t="s">
        <v>241</v>
      </c>
    </row>
    <row r="212" hidden="1">
      <c r="A212" s="65"/>
      <c r="B212" s="59" t="s">
        <v>298</v>
      </c>
      <c r="C212" s="97">
        <f>4*2*3000</f>
        <v>24000</v>
      </c>
      <c r="D212" s="59" t="s">
        <v>241</v>
      </c>
    </row>
    <row r="213" hidden="1">
      <c r="A213" s="65"/>
      <c r="B213" s="59" t="s">
        <v>336</v>
      </c>
      <c r="C213" s="97">
        <f>2*1*6000</f>
        <v>12000</v>
      </c>
      <c r="D213" s="59" t="s">
        <v>241</v>
      </c>
    </row>
    <row r="214" hidden="1">
      <c r="A214" s="65"/>
      <c r="B214" s="59" t="s">
        <v>342</v>
      </c>
      <c r="C214" s="97">
        <f>500+1500+470+120+40+200</f>
        <v>2830</v>
      </c>
      <c r="D214" s="65"/>
    </row>
    <row r="215" hidden="1">
      <c r="A215" s="65"/>
      <c r="B215" s="59" t="s">
        <v>343</v>
      </c>
      <c r="C215" s="96">
        <v>2000.0</v>
      </c>
      <c r="D215" s="65"/>
    </row>
    <row r="216" hidden="1">
      <c r="A216" s="65"/>
      <c r="B216" s="59" t="s">
        <v>344</v>
      </c>
      <c r="C216" s="97">
        <f>10*1*300</f>
        <v>3000</v>
      </c>
      <c r="D216" s="59" t="s">
        <v>241</v>
      </c>
    </row>
    <row r="217" hidden="1">
      <c r="A217" s="65"/>
      <c r="B217" s="59" t="s">
        <v>345</v>
      </c>
      <c r="C217" s="96">
        <v>5000.0</v>
      </c>
      <c r="D217" s="59"/>
    </row>
    <row r="218" hidden="1">
      <c r="A218" s="66" t="s">
        <v>327</v>
      </c>
      <c r="B218" s="39"/>
      <c r="C218" s="91">
        <f>SUM(C208:C217)</f>
        <v>88630</v>
      </c>
      <c r="D218" s="68"/>
    </row>
    <row r="219" hidden="1"/>
    <row r="220" hidden="1"/>
    <row r="221" hidden="1">
      <c r="A221" s="70" t="s">
        <v>232</v>
      </c>
      <c r="B221" s="71" t="s">
        <v>346</v>
      </c>
      <c r="C221" s="34"/>
      <c r="D221" s="39"/>
    </row>
    <row r="222" hidden="1">
      <c r="A222" s="70" t="s">
        <v>9</v>
      </c>
      <c r="B222" s="71" t="s">
        <v>58</v>
      </c>
      <c r="C222" s="34"/>
      <c r="D222" s="39"/>
    </row>
    <row r="223" hidden="1">
      <c r="A223" s="53" t="s">
        <v>10</v>
      </c>
      <c r="B223" s="54" t="s">
        <v>58</v>
      </c>
      <c r="C223" s="5"/>
      <c r="D223" s="6"/>
    </row>
    <row r="224" hidden="1">
      <c r="A224" s="53" t="s">
        <v>234</v>
      </c>
      <c r="B224" s="54" t="s">
        <v>347</v>
      </c>
      <c r="C224" s="5"/>
      <c r="D224" s="6"/>
    </row>
    <row r="225" hidden="1">
      <c r="A225" s="53" t="s">
        <v>236</v>
      </c>
      <c r="B225" s="54" t="s">
        <v>110</v>
      </c>
      <c r="C225" s="5"/>
      <c r="D225" s="6"/>
    </row>
    <row r="226" hidden="1">
      <c r="A226" s="55"/>
      <c r="B226" s="5"/>
      <c r="C226" s="5"/>
      <c r="D226" s="6"/>
    </row>
    <row r="227" hidden="1">
      <c r="A227" s="56" t="s">
        <v>7</v>
      </c>
      <c r="B227" s="57" t="s">
        <v>237</v>
      </c>
      <c r="C227" s="57" t="s">
        <v>238</v>
      </c>
      <c r="D227" s="57" t="s">
        <v>239</v>
      </c>
    </row>
    <row r="228" hidden="1">
      <c r="A228" s="98"/>
      <c r="B228" s="99" t="s">
        <v>348</v>
      </c>
      <c r="C228" s="96">
        <v>2000.0</v>
      </c>
      <c r="D228" s="98"/>
    </row>
    <row r="229" hidden="1">
      <c r="A229" s="98"/>
      <c r="B229" s="99" t="s">
        <v>349</v>
      </c>
      <c r="C229" s="96">
        <v>1000.0</v>
      </c>
      <c r="D229" s="98"/>
    </row>
    <row r="230" hidden="1">
      <c r="A230" s="98"/>
      <c r="B230" s="99" t="s">
        <v>350</v>
      </c>
      <c r="C230" s="96">
        <f>105+200</f>
        <v>305</v>
      </c>
      <c r="D230" s="98"/>
    </row>
    <row r="231" hidden="1">
      <c r="A231" s="66" t="s">
        <v>327</v>
      </c>
      <c r="B231" s="39"/>
      <c r="C231" s="91">
        <f>SUM(C222:C230)</f>
        <v>3305</v>
      </c>
      <c r="D231" s="68"/>
    </row>
    <row r="232" hidden="1"/>
    <row r="233" hidden="1"/>
    <row r="234" hidden="1">
      <c r="A234" s="70" t="s">
        <v>232</v>
      </c>
      <c r="B234" s="71" t="s">
        <v>351</v>
      </c>
      <c r="C234" s="34"/>
      <c r="D234" s="39"/>
    </row>
    <row r="235" hidden="1">
      <c r="A235" s="70" t="s">
        <v>9</v>
      </c>
      <c r="B235" s="71" t="s">
        <v>60</v>
      </c>
      <c r="C235" s="34"/>
      <c r="D235" s="39"/>
    </row>
    <row r="236" hidden="1">
      <c r="A236" s="53" t="s">
        <v>10</v>
      </c>
      <c r="B236" s="54" t="s">
        <v>60</v>
      </c>
      <c r="C236" s="5"/>
      <c r="D236" s="6"/>
    </row>
    <row r="237" hidden="1">
      <c r="A237" s="53" t="s">
        <v>234</v>
      </c>
      <c r="B237" s="54" t="s">
        <v>352</v>
      </c>
      <c r="C237" s="5"/>
      <c r="D237" s="6"/>
    </row>
    <row r="238" hidden="1">
      <c r="A238" s="53" t="s">
        <v>236</v>
      </c>
      <c r="B238" s="54" t="s">
        <v>110</v>
      </c>
      <c r="C238" s="5"/>
      <c r="D238" s="6"/>
    </row>
    <row r="239" hidden="1">
      <c r="A239" s="55"/>
      <c r="B239" s="5"/>
      <c r="C239" s="5"/>
      <c r="D239" s="6"/>
    </row>
    <row r="240" hidden="1">
      <c r="A240" s="56" t="s">
        <v>7</v>
      </c>
      <c r="B240" s="57" t="s">
        <v>237</v>
      </c>
      <c r="C240" s="57" t="s">
        <v>238</v>
      </c>
      <c r="D240" s="57" t="s">
        <v>239</v>
      </c>
    </row>
    <row r="241" hidden="1">
      <c r="A241" s="65"/>
      <c r="B241" s="59" t="s">
        <v>298</v>
      </c>
      <c r="C241" s="96">
        <v>2500.0</v>
      </c>
      <c r="D241" s="98"/>
    </row>
    <row r="242" hidden="1">
      <c r="A242" s="65"/>
      <c r="B242" s="59" t="s">
        <v>349</v>
      </c>
      <c r="C242" s="96">
        <v>1000.0</v>
      </c>
      <c r="D242" s="98"/>
    </row>
    <row r="243" hidden="1">
      <c r="A243" s="65"/>
      <c r="B243" s="59" t="s">
        <v>350</v>
      </c>
      <c r="C243" s="96">
        <v>0.0</v>
      </c>
      <c r="D243" s="98"/>
    </row>
    <row r="244" hidden="1">
      <c r="A244" s="66" t="s">
        <v>327</v>
      </c>
      <c r="B244" s="39"/>
      <c r="C244" s="91">
        <f>SUM(C235:C243)</f>
        <v>3500</v>
      </c>
      <c r="D244" s="68"/>
    </row>
    <row r="245" hidden="1"/>
    <row r="246" hidden="1"/>
    <row r="247" hidden="1">
      <c r="A247" s="70" t="s">
        <v>232</v>
      </c>
      <c r="B247" s="71" t="s">
        <v>353</v>
      </c>
      <c r="C247" s="34"/>
      <c r="D247" s="39"/>
    </row>
    <row r="248" hidden="1">
      <c r="A248" s="70" t="s">
        <v>9</v>
      </c>
      <c r="B248" s="71" t="s">
        <v>62</v>
      </c>
      <c r="C248" s="34"/>
      <c r="D248" s="39"/>
    </row>
    <row r="249" hidden="1">
      <c r="A249" s="53" t="s">
        <v>10</v>
      </c>
      <c r="B249" s="54" t="s">
        <v>62</v>
      </c>
      <c r="C249" s="5"/>
      <c r="D249" s="6"/>
    </row>
    <row r="250" hidden="1">
      <c r="A250" s="53" t="s">
        <v>234</v>
      </c>
      <c r="B250" s="54" t="s">
        <v>235</v>
      </c>
      <c r="C250" s="5"/>
      <c r="D250" s="6"/>
    </row>
    <row r="251" hidden="1">
      <c r="A251" s="53" t="s">
        <v>236</v>
      </c>
      <c r="B251" s="54" t="s">
        <v>24</v>
      </c>
      <c r="C251" s="5"/>
      <c r="D251" s="6"/>
    </row>
    <row r="252" hidden="1">
      <c r="A252" s="55"/>
      <c r="B252" s="5"/>
      <c r="C252" s="5"/>
      <c r="D252" s="6"/>
    </row>
    <row r="253" hidden="1">
      <c r="A253" s="56" t="s">
        <v>7</v>
      </c>
      <c r="B253" s="57" t="s">
        <v>237</v>
      </c>
      <c r="C253" s="57" t="s">
        <v>238</v>
      </c>
      <c r="D253" s="57" t="s">
        <v>239</v>
      </c>
    </row>
    <row r="254" hidden="1">
      <c r="A254" s="62"/>
      <c r="B254" s="59" t="s">
        <v>290</v>
      </c>
      <c r="C254" s="63">
        <f>3*3000</f>
        <v>9000</v>
      </c>
      <c r="D254" s="64" t="s">
        <v>241</v>
      </c>
    </row>
    <row r="255" hidden="1">
      <c r="A255" s="62"/>
      <c r="B255" s="59" t="s">
        <v>242</v>
      </c>
      <c r="C255" s="60">
        <f>4*1*3000</f>
        <v>12000</v>
      </c>
      <c r="D255" s="64" t="s">
        <v>241</v>
      </c>
    </row>
    <row r="256" hidden="1">
      <c r="A256" s="62"/>
      <c r="B256" s="59" t="s">
        <v>354</v>
      </c>
      <c r="C256" s="63">
        <v>4500.0</v>
      </c>
      <c r="D256" s="64"/>
    </row>
    <row r="257" hidden="1">
      <c r="A257" s="66" t="s">
        <v>246</v>
      </c>
      <c r="B257" s="39"/>
      <c r="C257" s="67">
        <f>SUM(C254:C256)</f>
        <v>25500</v>
      </c>
      <c r="D257" s="95"/>
    </row>
    <row r="258" hidden="1"/>
    <row r="259" hidden="1"/>
    <row r="260" hidden="1">
      <c r="A260" s="70" t="s">
        <v>232</v>
      </c>
      <c r="B260" s="71" t="s">
        <v>355</v>
      </c>
      <c r="C260" s="34"/>
      <c r="D260" s="39"/>
    </row>
    <row r="261" hidden="1">
      <c r="A261" s="70" t="s">
        <v>9</v>
      </c>
      <c r="B261" s="71" t="s">
        <v>64</v>
      </c>
      <c r="C261" s="34"/>
      <c r="D261" s="39"/>
    </row>
    <row r="262" hidden="1">
      <c r="A262" s="53" t="s">
        <v>10</v>
      </c>
      <c r="B262" s="54" t="s">
        <v>64</v>
      </c>
      <c r="C262" s="5"/>
      <c r="D262" s="6"/>
    </row>
    <row r="263" hidden="1">
      <c r="A263" s="53" t="s">
        <v>234</v>
      </c>
      <c r="B263" s="54" t="s">
        <v>356</v>
      </c>
      <c r="C263" s="5"/>
      <c r="D263" s="6"/>
    </row>
    <row r="264" hidden="1">
      <c r="A264" s="53" t="s">
        <v>236</v>
      </c>
      <c r="B264" s="54" t="s">
        <v>110</v>
      </c>
      <c r="C264" s="5"/>
      <c r="D264" s="6"/>
    </row>
    <row r="265" hidden="1">
      <c r="A265" s="55"/>
      <c r="B265" s="5"/>
      <c r="C265" s="5"/>
      <c r="D265" s="6"/>
    </row>
    <row r="266" hidden="1">
      <c r="A266" s="56" t="s">
        <v>7</v>
      </c>
      <c r="B266" s="57" t="s">
        <v>237</v>
      </c>
      <c r="C266" s="57" t="s">
        <v>238</v>
      </c>
      <c r="D266" s="57" t="s">
        <v>239</v>
      </c>
    </row>
    <row r="267" hidden="1">
      <c r="A267" s="65"/>
      <c r="B267" s="59" t="s">
        <v>298</v>
      </c>
      <c r="C267" s="96">
        <v>2500.0</v>
      </c>
      <c r="D267" s="98"/>
    </row>
    <row r="268" hidden="1">
      <c r="A268" s="65"/>
      <c r="B268" s="59" t="s">
        <v>349</v>
      </c>
      <c r="C268" s="96">
        <v>1000.0</v>
      </c>
      <c r="D268" s="98"/>
    </row>
    <row r="269" hidden="1">
      <c r="A269" s="65"/>
      <c r="B269" s="59" t="s">
        <v>350</v>
      </c>
      <c r="C269" s="96">
        <v>0.0</v>
      </c>
      <c r="D269" s="98"/>
    </row>
    <row r="270" hidden="1">
      <c r="A270" s="66" t="s">
        <v>327</v>
      </c>
      <c r="B270" s="39"/>
      <c r="C270" s="91">
        <f>SUM(C261:C269)</f>
        <v>3500</v>
      </c>
      <c r="D270" s="68"/>
    </row>
    <row r="271" hidden="1"/>
    <row r="272" hidden="1"/>
    <row r="273" hidden="1">
      <c r="A273" s="70" t="s">
        <v>232</v>
      </c>
      <c r="B273" s="71" t="s">
        <v>355</v>
      </c>
      <c r="C273" s="34"/>
      <c r="D273" s="39"/>
    </row>
    <row r="274" hidden="1">
      <c r="A274" s="70" t="s">
        <v>9</v>
      </c>
      <c r="B274" s="71" t="s">
        <v>66</v>
      </c>
      <c r="C274" s="34"/>
      <c r="D274" s="39"/>
    </row>
    <row r="275" hidden="1">
      <c r="A275" s="53" t="s">
        <v>10</v>
      </c>
      <c r="B275" s="54" t="s">
        <v>66</v>
      </c>
      <c r="C275" s="5"/>
      <c r="D275" s="6"/>
    </row>
    <row r="276" hidden="1">
      <c r="A276" s="53" t="s">
        <v>234</v>
      </c>
      <c r="B276" s="54" t="s">
        <v>357</v>
      </c>
      <c r="C276" s="5"/>
      <c r="D276" s="6"/>
    </row>
    <row r="277" hidden="1">
      <c r="A277" s="53" t="s">
        <v>236</v>
      </c>
      <c r="B277" s="54" t="s">
        <v>189</v>
      </c>
      <c r="C277" s="5"/>
      <c r="D277" s="6"/>
    </row>
    <row r="278" hidden="1">
      <c r="A278" s="55"/>
      <c r="B278" s="5"/>
      <c r="C278" s="5"/>
      <c r="D278" s="6"/>
    </row>
    <row r="279" hidden="1">
      <c r="A279" s="56" t="s">
        <v>7</v>
      </c>
      <c r="B279" s="57" t="s">
        <v>237</v>
      </c>
      <c r="C279" s="57" t="s">
        <v>238</v>
      </c>
      <c r="D279" s="57" t="s">
        <v>239</v>
      </c>
    </row>
    <row r="280" hidden="1">
      <c r="A280" s="59" t="s">
        <v>358</v>
      </c>
      <c r="B280" s="59" t="s">
        <v>317</v>
      </c>
      <c r="C280" s="63">
        <v>2000.0</v>
      </c>
      <c r="D280" s="59" t="s">
        <v>241</v>
      </c>
    </row>
    <row r="281" hidden="1">
      <c r="A281" s="65"/>
      <c r="B281" s="59" t="s">
        <v>359</v>
      </c>
      <c r="C281" s="60">
        <f>500+300+190+30+250+300</f>
        <v>1570</v>
      </c>
      <c r="D281" s="65"/>
    </row>
    <row r="282" hidden="1">
      <c r="A282" s="59" t="s">
        <v>63</v>
      </c>
      <c r="B282" s="59" t="s">
        <v>359</v>
      </c>
      <c r="C282" s="60">
        <f>250+480+805+500+200+200+300+200</f>
        <v>2935</v>
      </c>
      <c r="D282" s="65"/>
    </row>
    <row r="283" hidden="1">
      <c r="A283" s="65"/>
      <c r="B283" s="59" t="s">
        <v>261</v>
      </c>
      <c r="C283" s="63">
        <v>3000.0</v>
      </c>
      <c r="D283" s="65"/>
    </row>
    <row r="284" hidden="1">
      <c r="A284" s="65"/>
      <c r="B284" s="59" t="s">
        <v>360</v>
      </c>
      <c r="C284" s="63">
        <v>3000.0</v>
      </c>
      <c r="D284" s="65"/>
    </row>
    <row r="285" hidden="1">
      <c r="A285" s="65"/>
      <c r="B285" s="59" t="s">
        <v>331</v>
      </c>
      <c r="C285" s="63">
        <v>3000.0</v>
      </c>
      <c r="D285" s="59"/>
    </row>
    <row r="286" hidden="1">
      <c r="A286" s="65"/>
      <c r="B286" s="59" t="s">
        <v>317</v>
      </c>
      <c r="C286" s="63">
        <v>4000.0</v>
      </c>
      <c r="D286" s="59" t="s">
        <v>241</v>
      </c>
    </row>
    <row r="287" hidden="1">
      <c r="A287" s="65"/>
      <c r="B287" s="59" t="s">
        <v>335</v>
      </c>
      <c r="C287" s="63">
        <v>2000.0</v>
      </c>
      <c r="D287" s="59"/>
    </row>
    <row r="288" hidden="1">
      <c r="A288" s="65"/>
      <c r="B288" s="59" t="s">
        <v>298</v>
      </c>
      <c r="C288" s="60">
        <f>1*3*3000</f>
        <v>9000</v>
      </c>
      <c r="D288" s="59" t="s">
        <v>241</v>
      </c>
    </row>
    <row r="289" hidden="1">
      <c r="A289" s="65"/>
      <c r="B289" s="59" t="s">
        <v>345</v>
      </c>
      <c r="C289" s="63">
        <v>2000.0</v>
      </c>
      <c r="D289" s="59" t="s">
        <v>241</v>
      </c>
    </row>
    <row r="290" hidden="1">
      <c r="A290" s="66" t="s">
        <v>327</v>
      </c>
      <c r="B290" s="39"/>
      <c r="C290" s="91">
        <f>SUM(C280:C289)</f>
        <v>32505</v>
      </c>
      <c r="D290" s="68"/>
    </row>
    <row r="291" hidden="1">
      <c r="A291" s="69"/>
      <c r="B291" s="69"/>
      <c r="C291" s="100"/>
      <c r="D291" s="69"/>
    </row>
    <row r="292" hidden="1">
      <c r="A292" s="69"/>
      <c r="B292" s="69"/>
      <c r="C292" s="100"/>
      <c r="D292" s="69"/>
    </row>
    <row r="293" hidden="1">
      <c r="A293" s="70" t="s">
        <v>232</v>
      </c>
      <c r="B293" s="71" t="s">
        <v>361</v>
      </c>
      <c r="C293" s="34"/>
      <c r="D293" s="39"/>
    </row>
    <row r="294" hidden="1">
      <c r="A294" s="53" t="s">
        <v>9</v>
      </c>
      <c r="B294" s="54" t="s">
        <v>362</v>
      </c>
      <c r="C294" s="5"/>
      <c r="D294" s="6"/>
    </row>
    <row r="295" hidden="1">
      <c r="A295" s="53" t="s">
        <v>10</v>
      </c>
      <c r="B295" s="54" t="s">
        <v>362</v>
      </c>
      <c r="C295" s="5"/>
      <c r="D295" s="6"/>
    </row>
    <row r="296" hidden="1">
      <c r="A296" s="53" t="s">
        <v>234</v>
      </c>
      <c r="B296" s="54" t="s">
        <v>363</v>
      </c>
      <c r="C296" s="5"/>
      <c r="D296" s="6"/>
    </row>
    <row r="297" hidden="1">
      <c r="A297" s="53" t="s">
        <v>236</v>
      </c>
      <c r="B297" s="54" t="s">
        <v>27</v>
      </c>
      <c r="C297" s="5"/>
      <c r="D297" s="6"/>
    </row>
    <row r="298" hidden="1">
      <c r="A298" s="55"/>
      <c r="B298" s="5"/>
      <c r="C298" s="5"/>
      <c r="D298" s="6"/>
    </row>
    <row r="299" hidden="1">
      <c r="A299" s="56" t="s">
        <v>7</v>
      </c>
      <c r="B299" s="57" t="s">
        <v>237</v>
      </c>
      <c r="C299" s="57" t="s">
        <v>238</v>
      </c>
      <c r="D299" s="57" t="s">
        <v>239</v>
      </c>
    </row>
    <row r="300" hidden="1">
      <c r="A300" s="59" t="s">
        <v>364</v>
      </c>
      <c r="B300" s="59" t="s">
        <v>298</v>
      </c>
      <c r="C300" s="101">
        <f>1*4*3000</f>
        <v>12000</v>
      </c>
      <c r="D300" s="65"/>
    </row>
    <row r="301" hidden="1">
      <c r="A301" s="98"/>
      <c r="B301" s="99" t="s">
        <v>336</v>
      </c>
      <c r="C301" s="102">
        <v>4000.0</v>
      </c>
      <c r="D301" s="99" t="s">
        <v>365</v>
      </c>
    </row>
    <row r="302" hidden="1">
      <c r="A302" s="98"/>
      <c r="B302" s="99" t="s">
        <v>366</v>
      </c>
      <c r="C302" s="101">
        <f>170+300+150*4+100</f>
        <v>1170</v>
      </c>
      <c r="D302" s="98"/>
    </row>
    <row r="303" hidden="1">
      <c r="A303" s="98"/>
      <c r="B303" s="99" t="s">
        <v>292</v>
      </c>
      <c r="C303" s="102">
        <v>1000.0</v>
      </c>
      <c r="D303" s="98"/>
    </row>
    <row r="304" hidden="1">
      <c r="A304" s="66" t="s">
        <v>327</v>
      </c>
      <c r="B304" s="39"/>
      <c r="C304" s="91">
        <f>SUM(C294:C303)</f>
        <v>18170</v>
      </c>
      <c r="D304" s="68"/>
    </row>
    <row r="305" hidden="1">
      <c r="C305" s="103"/>
    </row>
    <row r="306" hidden="1">
      <c r="C306" s="103"/>
    </row>
    <row r="307" hidden="1">
      <c r="A307" s="70" t="s">
        <v>232</v>
      </c>
      <c r="B307" s="71" t="s">
        <v>367</v>
      </c>
      <c r="C307" s="34"/>
      <c r="D307" s="39"/>
    </row>
    <row r="308" hidden="1">
      <c r="A308" s="53" t="s">
        <v>9</v>
      </c>
      <c r="B308" s="54" t="s">
        <v>368</v>
      </c>
      <c r="C308" s="5"/>
      <c r="D308" s="6"/>
    </row>
    <row r="309" hidden="1">
      <c r="A309" s="53" t="s">
        <v>10</v>
      </c>
      <c r="B309" s="54" t="s">
        <v>368</v>
      </c>
      <c r="C309" s="5"/>
      <c r="D309" s="6"/>
    </row>
    <row r="310" hidden="1">
      <c r="A310" s="53" t="s">
        <v>234</v>
      </c>
      <c r="B310" s="54" t="s">
        <v>369</v>
      </c>
      <c r="C310" s="5"/>
      <c r="D310" s="6"/>
    </row>
    <row r="311" hidden="1">
      <c r="A311" s="53" t="s">
        <v>236</v>
      </c>
      <c r="B311" s="54" t="s">
        <v>57</v>
      </c>
      <c r="C311" s="5"/>
      <c r="D311" s="6"/>
    </row>
    <row r="312" hidden="1">
      <c r="A312" s="55"/>
      <c r="B312" s="5"/>
      <c r="C312" s="5"/>
      <c r="D312" s="6"/>
    </row>
    <row r="313" hidden="1">
      <c r="A313" s="56" t="s">
        <v>7</v>
      </c>
      <c r="B313" s="57" t="s">
        <v>237</v>
      </c>
      <c r="C313" s="57" t="s">
        <v>238</v>
      </c>
      <c r="D313" s="57" t="s">
        <v>239</v>
      </c>
    </row>
    <row r="314" hidden="1">
      <c r="A314" s="104" t="s">
        <v>76</v>
      </c>
      <c r="B314" s="105" t="s">
        <v>298</v>
      </c>
      <c r="C314" s="106">
        <f>1*4*3000</f>
        <v>12000</v>
      </c>
      <c r="D314" s="107"/>
    </row>
    <row r="315" hidden="1">
      <c r="A315" s="108"/>
      <c r="B315" s="105" t="s">
        <v>292</v>
      </c>
      <c r="C315" s="106">
        <f>1*2*3000</f>
        <v>6000</v>
      </c>
      <c r="D315" s="107"/>
    </row>
    <row r="316" hidden="1">
      <c r="A316" s="108"/>
      <c r="B316" s="105" t="s">
        <v>370</v>
      </c>
      <c r="C316" s="106">
        <f>100+100+250+320+200+100+450+300</f>
        <v>1820</v>
      </c>
      <c r="D316" s="107"/>
    </row>
    <row r="317" hidden="1">
      <c r="A317" s="66" t="s">
        <v>327</v>
      </c>
      <c r="B317" s="39"/>
      <c r="C317" s="91">
        <f>SUM(C307:C316)</f>
        <v>19820</v>
      </c>
      <c r="D317" s="68"/>
    </row>
    <row r="318" hidden="1"/>
    <row r="320">
      <c r="A320" s="70" t="s">
        <v>232</v>
      </c>
      <c r="B320" s="71" t="s">
        <v>371</v>
      </c>
      <c r="C320" s="34"/>
      <c r="D320" s="39"/>
    </row>
    <row r="321">
      <c r="A321" s="70" t="s">
        <v>9</v>
      </c>
      <c r="B321" s="71" t="s">
        <v>80</v>
      </c>
      <c r="C321" s="34"/>
      <c r="D321" s="39"/>
    </row>
    <row r="322">
      <c r="A322" s="53" t="s">
        <v>10</v>
      </c>
      <c r="B322" s="54" t="s">
        <v>80</v>
      </c>
      <c r="C322" s="5"/>
      <c r="D322" s="6"/>
    </row>
    <row r="323">
      <c r="A323" s="53" t="s">
        <v>234</v>
      </c>
      <c r="B323" s="54" t="s">
        <v>372</v>
      </c>
      <c r="C323" s="5"/>
      <c r="D323" s="6"/>
    </row>
    <row r="324">
      <c r="A324" s="53" t="s">
        <v>236</v>
      </c>
      <c r="B324" s="54" t="s">
        <v>373</v>
      </c>
      <c r="C324" s="5"/>
      <c r="D324" s="6"/>
    </row>
    <row r="325">
      <c r="A325" s="55"/>
      <c r="B325" s="5"/>
      <c r="C325" s="5"/>
      <c r="D325" s="6"/>
    </row>
    <row r="326">
      <c r="A326" s="56" t="s">
        <v>7</v>
      </c>
      <c r="B326" s="57" t="s">
        <v>237</v>
      </c>
      <c r="C326" s="57" t="s">
        <v>238</v>
      </c>
      <c r="D326" s="57" t="s">
        <v>239</v>
      </c>
    </row>
    <row r="327">
      <c r="A327" s="59" t="s">
        <v>374</v>
      </c>
      <c r="B327" s="59" t="s">
        <v>375</v>
      </c>
      <c r="C327" s="96">
        <v>500.0</v>
      </c>
      <c r="D327" s="65"/>
    </row>
    <row r="328">
      <c r="A328" s="59" t="s">
        <v>78</v>
      </c>
      <c r="B328" s="59" t="s">
        <v>376</v>
      </c>
      <c r="C328" s="97">
        <f>120+200+300+100+100+350</f>
        <v>1170</v>
      </c>
      <c r="D328" s="65"/>
    </row>
    <row r="329">
      <c r="A329" s="65"/>
      <c r="B329" s="59" t="s">
        <v>377</v>
      </c>
      <c r="C329" s="96">
        <v>10000.0</v>
      </c>
      <c r="D329" s="65"/>
    </row>
    <row r="330">
      <c r="A330" s="65"/>
      <c r="B330" s="59" t="s">
        <v>378</v>
      </c>
      <c r="C330" s="97">
        <f>1500*2+2000*2+200</f>
        <v>7200</v>
      </c>
      <c r="D330" s="65"/>
    </row>
    <row r="331">
      <c r="A331" s="65"/>
      <c r="B331" s="59" t="s">
        <v>379</v>
      </c>
      <c r="C331" s="96">
        <v>9000.0</v>
      </c>
      <c r="D331" s="65"/>
    </row>
    <row r="332">
      <c r="A332" s="65"/>
      <c r="B332" s="59" t="s">
        <v>380</v>
      </c>
      <c r="C332" s="96">
        <v>4000.0</v>
      </c>
      <c r="D332" s="65"/>
    </row>
    <row r="333">
      <c r="A333" s="65"/>
      <c r="B333" s="59" t="s">
        <v>381</v>
      </c>
      <c r="C333" s="96">
        <v>1800.0</v>
      </c>
      <c r="D333" s="65"/>
    </row>
    <row r="334">
      <c r="A334" s="65"/>
      <c r="B334" s="59" t="s">
        <v>298</v>
      </c>
      <c r="C334" s="97">
        <f>1*3*3000</f>
        <v>9000</v>
      </c>
      <c r="D334" s="59" t="s">
        <v>241</v>
      </c>
    </row>
    <row r="335">
      <c r="A335" s="66" t="s">
        <v>327</v>
      </c>
      <c r="B335" s="39"/>
      <c r="C335" s="91">
        <f>SUM(C325:C334)</f>
        <v>42670</v>
      </c>
      <c r="D335" s="68"/>
    </row>
    <row r="336">
      <c r="A336" s="69"/>
      <c r="B336" s="69"/>
      <c r="C336" s="109"/>
      <c r="D336" s="69"/>
    </row>
    <row r="337">
      <c r="A337" s="69"/>
      <c r="B337" s="69"/>
      <c r="C337" s="109"/>
      <c r="D337" s="69"/>
    </row>
    <row r="338">
      <c r="A338" s="70" t="s">
        <v>232</v>
      </c>
      <c r="B338" s="71" t="s">
        <v>382</v>
      </c>
      <c r="C338" s="34"/>
      <c r="D338" s="39"/>
    </row>
    <row r="339">
      <c r="A339" s="70" t="s">
        <v>9</v>
      </c>
      <c r="B339" s="71" t="s">
        <v>86</v>
      </c>
      <c r="C339" s="34"/>
      <c r="D339" s="39"/>
    </row>
    <row r="340">
      <c r="A340" s="53" t="s">
        <v>10</v>
      </c>
      <c r="B340" s="54" t="s">
        <v>86</v>
      </c>
      <c r="C340" s="5"/>
      <c r="D340" s="6"/>
    </row>
    <row r="341">
      <c r="A341" s="53" t="s">
        <v>234</v>
      </c>
      <c r="B341" s="54" t="s">
        <v>383</v>
      </c>
      <c r="C341" s="5"/>
      <c r="D341" s="6"/>
    </row>
    <row r="342">
      <c r="A342" s="53" t="s">
        <v>236</v>
      </c>
      <c r="B342" s="54" t="s">
        <v>189</v>
      </c>
      <c r="C342" s="5"/>
      <c r="D342" s="6"/>
    </row>
    <row r="343">
      <c r="A343" s="55"/>
      <c r="B343" s="5"/>
      <c r="C343" s="5"/>
      <c r="D343" s="6"/>
    </row>
    <row r="344">
      <c r="A344" s="56" t="s">
        <v>7</v>
      </c>
      <c r="B344" s="57" t="s">
        <v>237</v>
      </c>
      <c r="C344" s="57" t="s">
        <v>238</v>
      </c>
      <c r="D344" s="57" t="s">
        <v>239</v>
      </c>
    </row>
    <row r="345">
      <c r="A345" s="59" t="s">
        <v>384</v>
      </c>
      <c r="B345" s="59" t="s">
        <v>385</v>
      </c>
      <c r="C345" s="110">
        <f>20+120+350+300+200+400+300</f>
        <v>1690</v>
      </c>
      <c r="D345" s="65"/>
    </row>
    <row r="346">
      <c r="A346" s="65"/>
      <c r="B346" s="59" t="s">
        <v>375</v>
      </c>
      <c r="C346" s="111">
        <v>540.0</v>
      </c>
      <c r="D346" s="65"/>
    </row>
    <row r="347">
      <c r="A347" s="65"/>
      <c r="B347" s="59" t="s">
        <v>386</v>
      </c>
      <c r="C347" s="111">
        <v>122000.0</v>
      </c>
      <c r="D347" s="59" t="s">
        <v>387</v>
      </c>
    </row>
    <row r="348">
      <c r="A348" s="65"/>
      <c r="B348" s="59" t="s">
        <v>388</v>
      </c>
      <c r="C348" s="111">
        <v>22000.0</v>
      </c>
      <c r="D348" s="65"/>
    </row>
    <row r="349">
      <c r="A349" s="65"/>
      <c r="B349" s="59" t="s">
        <v>389</v>
      </c>
      <c r="C349" s="111">
        <v>31000.0</v>
      </c>
      <c r="D349" s="65"/>
    </row>
    <row r="350">
      <c r="A350" s="65"/>
      <c r="B350" s="59" t="s">
        <v>390</v>
      </c>
      <c r="C350" s="112">
        <v>1500.0</v>
      </c>
      <c r="D350" s="59"/>
    </row>
    <row r="351">
      <c r="A351" s="65"/>
      <c r="B351" s="59" t="s">
        <v>391</v>
      </c>
      <c r="C351" s="111">
        <v>1000.0</v>
      </c>
      <c r="D351" s="59" t="s">
        <v>392</v>
      </c>
    </row>
    <row r="352">
      <c r="A352" s="65"/>
      <c r="B352" s="59" t="s">
        <v>393</v>
      </c>
      <c r="C352" s="111">
        <v>268000.0</v>
      </c>
      <c r="D352" s="65"/>
    </row>
    <row r="353">
      <c r="A353" s="65"/>
      <c r="B353" s="59" t="s">
        <v>394</v>
      </c>
      <c r="C353" s="111">
        <v>3000.0</v>
      </c>
      <c r="D353" s="65"/>
    </row>
    <row r="354">
      <c r="A354" s="65"/>
      <c r="B354" s="59" t="s">
        <v>395</v>
      </c>
      <c r="C354" s="111">
        <v>4500.0</v>
      </c>
      <c r="D354" s="65"/>
    </row>
    <row r="355">
      <c r="A355" s="65"/>
      <c r="B355" s="59" t="s">
        <v>396</v>
      </c>
      <c r="C355" s="111">
        <f>680+250+250</f>
        <v>1180</v>
      </c>
      <c r="D355" s="65"/>
    </row>
    <row r="356">
      <c r="A356" s="65"/>
      <c r="B356" s="59" t="s">
        <v>292</v>
      </c>
      <c r="C356" s="96">
        <v>40000.0</v>
      </c>
      <c r="D356" s="59"/>
    </row>
    <row r="357">
      <c r="A357" s="65"/>
      <c r="B357" s="59" t="s">
        <v>348</v>
      </c>
      <c r="C357" s="97">
        <f>3*3*2000+8000</f>
        <v>26000</v>
      </c>
      <c r="D357" s="65"/>
    </row>
    <row r="358">
      <c r="A358" s="65"/>
      <c r="B358" s="59" t="s">
        <v>397</v>
      </c>
      <c r="C358" s="111">
        <v>39000.0</v>
      </c>
      <c r="D358" s="59" t="s">
        <v>398</v>
      </c>
    </row>
    <row r="359">
      <c r="A359" s="65"/>
      <c r="B359" s="59" t="s">
        <v>399</v>
      </c>
      <c r="C359" s="96">
        <v>16000.0</v>
      </c>
      <c r="D359" s="65"/>
    </row>
    <row r="360">
      <c r="A360" s="65"/>
      <c r="B360" s="59" t="s">
        <v>298</v>
      </c>
      <c r="C360" s="97">
        <f>4*4*3000</f>
        <v>48000</v>
      </c>
      <c r="D360" s="65"/>
    </row>
    <row r="361">
      <c r="A361" s="65"/>
      <c r="B361" s="59" t="s">
        <v>192</v>
      </c>
      <c r="C361" s="97">
        <f>4*6000</f>
        <v>24000</v>
      </c>
      <c r="D361" s="65"/>
    </row>
    <row r="362">
      <c r="A362" s="65"/>
      <c r="B362" s="59" t="s">
        <v>400</v>
      </c>
      <c r="C362" s="97">
        <f t="shared" ref="C362:C363" si="3">3*4000</f>
        <v>12000</v>
      </c>
      <c r="D362" s="65"/>
    </row>
    <row r="363">
      <c r="A363" s="65"/>
      <c r="B363" s="59" t="s">
        <v>277</v>
      </c>
      <c r="C363" s="97">
        <f t="shared" si="3"/>
        <v>12000</v>
      </c>
      <c r="D363" s="65"/>
    </row>
    <row r="364">
      <c r="A364" s="65"/>
      <c r="B364" s="59" t="s">
        <v>278</v>
      </c>
      <c r="C364" s="96">
        <v>2000.0</v>
      </c>
      <c r="D364" s="65"/>
    </row>
    <row r="365">
      <c r="A365" s="65"/>
      <c r="B365" s="59" t="s">
        <v>401</v>
      </c>
      <c r="C365" s="97">
        <f>3*3000</f>
        <v>9000</v>
      </c>
      <c r="D365" s="65"/>
    </row>
    <row r="366">
      <c r="A366" s="65"/>
      <c r="B366" s="59" t="s">
        <v>402</v>
      </c>
      <c r="C366" s="97">
        <f>2*3000</f>
        <v>6000</v>
      </c>
      <c r="D366" s="65"/>
    </row>
    <row r="367">
      <c r="A367" s="65"/>
      <c r="B367" s="59" t="s">
        <v>267</v>
      </c>
      <c r="C367" s="97">
        <f t="shared" ref="C367:C369" si="4">3500*2</f>
        <v>7000</v>
      </c>
      <c r="D367" s="65"/>
    </row>
    <row r="368">
      <c r="A368" s="65"/>
      <c r="B368" s="59" t="s">
        <v>403</v>
      </c>
      <c r="C368" s="97">
        <f t="shared" si="4"/>
        <v>7000</v>
      </c>
      <c r="D368" s="65"/>
    </row>
    <row r="369">
      <c r="A369" s="65"/>
      <c r="B369" s="59" t="s">
        <v>404</v>
      </c>
      <c r="C369" s="97">
        <f t="shared" si="4"/>
        <v>7000</v>
      </c>
      <c r="D369" s="65"/>
    </row>
    <row r="370">
      <c r="A370" s="65"/>
      <c r="B370" s="59" t="s">
        <v>405</v>
      </c>
      <c r="C370" s="97">
        <f t="shared" ref="C370:C372" si="5">3000*2</f>
        <v>6000</v>
      </c>
      <c r="D370" s="65"/>
    </row>
    <row r="371">
      <c r="A371" s="65"/>
      <c r="B371" s="59" t="s">
        <v>406</v>
      </c>
      <c r="C371" s="97">
        <f t="shared" si="5"/>
        <v>6000</v>
      </c>
      <c r="D371" s="65"/>
    </row>
    <row r="372">
      <c r="A372" s="65"/>
      <c r="B372" s="59" t="s">
        <v>407</v>
      </c>
      <c r="C372" s="97">
        <f t="shared" si="5"/>
        <v>6000</v>
      </c>
      <c r="D372" s="65"/>
    </row>
    <row r="373">
      <c r="A373" s="65"/>
      <c r="B373" s="59" t="s">
        <v>266</v>
      </c>
      <c r="C373" s="97">
        <f>3500*2</f>
        <v>7000</v>
      </c>
      <c r="D373" s="65"/>
    </row>
    <row r="374">
      <c r="A374" s="65"/>
      <c r="B374" s="59" t="s">
        <v>408</v>
      </c>
      <c r="C374" s="97">
        <f>3500*4</f>
        <v>14000</v>
      </c>
      <c r="D374" s="65"/>
    </row>
    <row r="375">
      <c r="A375" s="65"/>
      <c r="B375" s="59" t="s">
        <v>409</v>
      </c>
      <c r="C375" s="97">
        <f>3500*2</f>
        <v>7000</v>
      </c>
      <c r="D375" s="65"/>
    </row>
    <row r="376">
      <c r="A376" s="65"/>
      <c r="B376" s="59" t="s">
        <v>410</v>
      </c>
      <c r="C376" s="96">
        <v>10000.0</v>
      </c>
      <c r="D376" s="65"/>
    </row>
    <row r="377">
      <c r="A377" s="107"/>
      <c r="B377" s="105" t="s">
        <v>411</v>
      </c>
      <c r="C377" s="113">
        <f>2500*4+1000</f>
        <v>11000</v>
      </c>
      <c r="D377" s="105" t="s">
        <v>398</v>
      </c>
    </row>
    <row r="378">
      <c r="A378" s="107"/>
      <c r="B378" s="105" t="s">
        <v>412</v>
      </c>
      <c r="C378" s="114">
        <f>4000*2+4500</f>
        <v>12500</v>
      </c>
      <c r="D378" s="105" t="s">
        <v>413</v>
      </c>
    </row>
    <row r="379">
      <c r="A379" s="107"/>
      <c r="B379" s="105" t="s">
        <v>414</v>
      </c>
      <c r="C379" s="114">
        <f>4000*2</f>
        <v>8000</v>
      </c>
      <c r="D379" s="107"/>
    </row>
    <row r="380">
      <c r="A380" s="107"/>
      <c r="B380" s="105" t="s">
        <v>415</v>
      </c>
      <c r="C380" s="114">
        <f>3000*2</f>
        <v>6000</v>
      </c>
      <c r="D380" s="107"/>
    </row>
    <row r="381">
      <c r="A381" s="107"/>
      <c r="B381" s="105" t="s">
        <v>416</v>
      </c>
      <c r="C381" s="115">
        <v>10000.0</v>
      </c>
      <c r="D381" s="107"/>
    </row>
    <row r="382">
      <c r="A382" s="107"/>
      <c r="B382" s="105" t="s">
        <v>417</v>
      </c>
      <c r="C382" s="115">
        <v>15000.0</v>
      </c>
      <c r="D382" s="107"/>
    </row>
    <row r="383">
      <c r="A383" s="107"/>
      <c r="B383" s="105" t="s">
        <v>418</v>
      </c>
      <c r="C383" s="114">
        <f>9000*2</f>
        <v>18000</v>
      </c>
      <c r="D383" s="107"/>
    </row>
    <row r="384">
      <c r="A384" s="107"/>
      <c r="B384" s="105" t="s">
        <v>419</v>
      </c>
      <c r="C384" s="113">
        <f>1500*2</f>
        <v>3000</v>
      </c>
      <c r="D384" s="105" t="s">
        <v>398</v>
      </c>
    </row>
    <row r="385">
      <c r="A385" s="107"/>
      <c r="B385" s="105" t="s">
        <v>317</v>
      </c>
      <c r="C385" s="114">
        <f>2*4*5000</f>
        <v>40000</v>
      </c>
      <c r="D385" s="116" t="s">
        <v>420</v>
      </c>
    </row>
    <row r="386">
      <c r="A386" s="107"/>
      <c r="B386" s="105" t="s">
        <v>421</v>
      </c>
      <c r="C386" s="117">
        <f>46290+1500+600+2500+200+3000+1500+1500+2000+2620+600+500+5000</f>
        <v>67810</v>
      </c>
      <c r="D386" s="105" t="s">
        <v>398</v>
      </c>
    </row>
    <row r="387">
      <c r="A387" s="107"/>
      <c r="B387" s="105" t="s">
        <v>422</v>
      </c>
      <c r="C387" s="114">
        <f>4*20*250</f>
        <v>20000</v>
      </c>
      <c r="D387" s="107"/>
    </row>
    <row r="388">
      <c r="A388" s="107"/>
      <c r="B388" s="105" t="s">
        <v>423</v>
      </c>
      <c r="C388" s="117">
        <v>7000.0</v>
      </c>
      <c r="D388" s="107"/>
    </row>
    <row r="389">
      <c r="A389" s="66" t="s">
        <v>327</v>
      </c>
      <c r="B389" s="39"/>
      <c r="C389" s="91">
        <f>SUM(C345:C388)</f>
        <v>985720</v>
      </c>
      <c r="D389" s="68"/>
    </row>
    <row r="390">
      <c r="C390" s="118"/>
    </row>
    <row r="391">
      <c r="C391" s="118"/>
    </row>
    <row r="392">
      <c r="A392" s="70" t="s">
        <v>232</v>
      </c>
      <c r="B392" s="71" t="s">
        <v>424</v>
      </c>
      <c r="C392" s="34"/>
      <c r="D392" s="39"/>
    </row>
    <row r="393">
      <c r="A393" s="70" t="s">
        <v>9</v>
      </c>
      <c r="B393" s="71" t="s">
        <v>101</v>
      </c>
      <c r="C393" s="34"/>
      <c r="D393" s="39"/>
    </row>
    <row r="394">
      <c r="A394" s="53" t="s">
        <v>10</v>
      </c>
      <c r="B394" s="54" t="s">
        <v>101</v>
      </c>
      <c r="C394" s="5"/>
      <c r="D394" s="6"/>
    </row>
    <row r="395">
      <c r="A395" s="53" t="s">
        <v>234</v>
      </c>
      <c r="B395" s="54" t="s">
        <v>425</v>
      </c>
      <c r="C395" s="5"/>
      <c r="D395" s="6"/>
    </row>
    <row r="396">
      <c r="A396" s="53" t="s">
        <v>236</v>
      </c>
      <c r="B396" s="54" t="s">
        <v>189</v>
      </c>
      <c r="C396" s="5"/>
      <c r="D396" s="6"/>
    </row>
    <row r="397">
      <c r="A397" s="55"/>
      <c r="B397" s="5"/>
      <c r="C397" s="5"/>
      <c r="D397" s="6"/>
    </row>
    <row r="398">
      <c r="A398" s="56" t="s">
        <v>7</v>
      </c>
      <c r="B398" s="57" t="s">
        <v>237</v>
      </c>
      <c r="C398" s="57" t="s">
        <v>238</v>
      </c>
      <c r="D398" s="57" t="s">
        <v>239</v>
      </c>
    </row>
    <row r="399">
      <c r="A399" s="105" t="s">
        <v>99</v>
      </c>
      <c r="B399" s="105" t="s">
        <v>285</v>
      </c>
      <c r="C399" s="106">
        <f>1*2*2000</f>
        <v>4000</v>
      </c>
      <c r="D399" s="105" t="s">
        <v>241</v>
      </c>
    </row>
    <row r="400">
      <c r="A400" s="107"/>
      <c r="B400" s="105" t="s">
        <v>426</v>
      </c>
      <c r="C400" s="106">
        <f>500+70+100+200+300+300+180</f>
        <v>1650</v>
      </c>
      <c r="D400" s="107"/>
    </row>
    <row r="401">
      <c r="A401" s="107"/>
      <c r="B401" s="105" t="s">
        <v>427</v>
      </c>
      <c r="C401" s="119">
        <v>2000.0</v>
      </c>
      <c r="D401" s="105"/>
    </row>
    <row r="402">
      <c r="A402" s="66" t="s">
        <v>327</v>
      </c>
      <c r="B402" s="39"/>
      <c r="C402" s="91">
        <f>SUM(C399:C401)</f>
        <v>7650</v>
      </c>
      <c r="D402" s="68"/>
    </row>
    <row r="403">
      <c r="C403" s="30"/>
    </row>
    <row r="404">
      <c r="C404" s="30"/>
    </row>
    <row r="405">
      <c r="A405" s="70" t="s">
        <v>232</v>
      </c>
      <c r="B405" s="71" t="s">
        <v>428</v>
      </c>
      <c r="C405" s="34"/>
      <c r="D405" s="39"/>
    </row>
    <row r="406">
      <c r="A406" s="70" t="s">
        <v>9</v>
      </c>
      <c r="B406" s="71" t="s">
        <v>130</v>
      </c>
      <c r="C406" s="34"/>
      <c r="D406" s="39"/>
    </row>
    <row r="407">
      <c r="A407" s="53" t="s">
        <v>10</v>
      </c>
      <c r="B407" s="54" t="s">
        <v>130</v>
      </c>
      <c r="C407" s="5"/>
      <c r="D407" s="6"/>
    </row>
    <row r="408">
      <c r="A408" s="53" t="s">
        <v>234</v>
      </c>
      <c r="B408" s="54" t="s">
        <v>429</v>
      </c>
      <c r="C408" s="5"/>
      <c r="D408" s="6"/>
    </row>
    <row r="409">
      <c r="A409" s="53" t="s">
        <v>236</v>
      </c>
      <c r="B409" s="54" t="s">
        <v>430</v>
      </c>
      <c r="C409" s="5"/>
      <c r="D409" s="6"/>
    </row>
    <row r="410">
      <c r="A410" s="55"/>
      <c r="B410" s="5"/>
      <c r="C410" s="5"/>
      <c r="D410" s="6"/>
    </row>
    <row r="411">
      <c r="A411" s="56" t="s">
        <v>7</v>
      </c>
      <c r="B411" s="57" t="s">
        <v>237</v>
      </c>
      <c r="C411" s="57" t="s">
        <v>238</v>
      </c>
      <c r="D411" s="57" t="s">
        <v>239</v>
      </c>
    </row>
    <row r="412">
      <c r="A412" s="59" t="s">
        <v>128</v>
      </c>
      <c r="B412" s="59" t="s">
        <v>431</v>
      </c>
      <c r="C412" s="96">
        <v>4000.0</v>
      </c>
      <c r="D412" s="98"/>
    </row>
    <row r="413">
      <c r="A413" s="65"/>
      <c r="B413" s="59" t="s">
        <v>432</v>
      </c>
      <c r="C413" s="96">
        <f>680+200</f>
        <v>880</v>
      </c>
      <c r="D413" s="98"/>
    </row>
    <row r="414">
      <c r="A414" s="65"/>
      <c r="B414" s="59" t="s">
        <v>433</v>
      </c>
      <c r="C414" s="96">
        <v>140.0</v>
      </c>
      <c r="D414" s="98"/>
    </row>
    <row r="415">
      <c r="A415" s="59" t="s">
        <v>434</v>
      </c>
      <c r="B415" s="59" t="s">
        <v>435</v>
      </c>
      <c r="C415" s="97">
        <f>270+330+500</f>
        <v>1100</v>
      </c>
      <c r="D415" s="98"/>
    </row>
    <row r="416">
      <c r="A416" s="59" t="s">
        <v>436</v>
      </c>
      <c r="B416" s="59" t="s">
        <v>437</v>
      </c>
      <c r="C416" s="96">
        <v>450.0</v>
      </c>
      <c r="D416" s="98"/>
    </row>
    <row r="417">
      <c r="A417" s="65"/>
      <c r="B417" s="59" t="s">
        <v>435</v>
      </c>
      <c r="C417" s="97">
        <f>500+480+60</f>
        <v>1040</v>
      </c>
      <c r="D417" s="98"/>
    </row>
    <row r="418">
      <c r="A418" s="65"/>
      <c r="B418" s="59" t="s">
        <v>433</v>
      </c>
      <c r="C418" s="96">
        <v>150.0</v>
      </c>
      <c r="D418" s="98"/>
    </row>
    <row r="419">
      <c r="A419" s="65"/>
      <c r="B419" s="59" t="s">
        <v>438</v>
      </c>
      <c r="C419" s="96">
        <v>500.0</v>
      </c>
      <c r="D419" s="98"/>
    </row>
    <row r="420">
      <c r="A420" s="59" t="s">
        <v>439</v>
      </c>
      <c r="B420" s="59" t="s">
        <v>435</v>
      </c>
      <c r="C420" s="97">
        <f>500+260+260+50</f>
        <v>1070</v>
      </c>
      <c r="D420" s="98"/>
    </row>
    <row r="421">
      <c r="A421" s="65"/>
      <c r="B421" s="59" t="s">
        <v>437</v>
      </c>
      <c r="C421" s="96">
        <v>450.0</v>
      </c>
      <c r="D421" s="98"/>
    </row>
    <row r="422">
      <c r="A422" s="59" t="s">
        <v>440</v>
      </c>
      <c r="B422" s="59" t="s">
        <v>437</v>
      </c>
      <c r="C422" s="96">
        <v>450.0</v>
      </c>
      <c r="D422" s="98"/>
    </row>
    <row r="423">
      <c r="A423" s="65"/>
      <c r="B423" s="59" t="s">
        <v>441</v>
      </c>
      <c r="C423" s="97">
        <f>300+50+550+80</f>
        <v>980</v>
      </c>
      <c r="D423" s="98"/>
    </row>
    <row r="424">
      <c r="A424" s="65"/>
      <c r="B424" s="59" t="s">
        <v>438</v>
      </c>
      <c r="C424" s="96">
        <v>50.0</v>
      </c>
      <c r="D424" s="98"/>
    </row>
    <row r="425">
      <c r="A425" s="59" t="s">
        <v>442</v>
      </c>
      <c r="B425" s="59" t="s">
        <v>443</v>
      </c>
      <c r="C425" s="96">
        <v>390.0</v>
      </c>
      <c r="D425" s="98"/>
    </row>
    <row r="426">
      <c r="A426" s="65"/>
      <c r="B426" s="59" t="s">
        <v>441</v>
      </c>
      <c r="C426" s="97">
        <f>300+550+50+80</f>
        <v>980</v>
      </c>
      <c r="D426" s="98"/>
    </row>
    <row r="427">
      <c r="A427" s="65"/>
      <c r="B427" s="59" t="s">
        <v>433</v>
      </c>
      <c r="C427" s="96">
        <v>150.0</v>
      </c>
      <c r="D427" s="98"/>
    </row>
    <row r="428">
      <c r="A428" s="59" t="s">
        <v>444</v>
      </c>
      <c r="B428" s="59" t="s">
        <v>441</v>
      </c>
      <c r="C428" s="97">
        <f>300+50+510+20+30+20+10+20</f>
        <v>960</v>
      </c>
      <c r="D428" s="98"/>
    </row>
    <row r="429">
      <c r="A429" s="65"/>
      <c r="B429" s="59" t="s">
        <v>445</v>
      </c>
      <c r="C429" s="97">
        <f>10*140</f>
        <v>1400</v>
      </c>
      <c r="D429" s="99"/>
    </row>
    <row r="430">
      <c r="A430" s="65"/>
      <c r="B430" s="59" t="s">
        <v>411</v>
      </c>
      <c r="C430" s="96">
        <v>1000.0</v>
      </c>
      <c r="D430" s="98"/>
    </row>
    <row r="431">
      <c r="A431" s="59" t="s">
        <v>446</v>
      </c>
      <c r="B431" s="59" t="s">
        <v>441</v>
      </c>
      <c r="C431" s="97">
        <f>500+510+50</f>
        <v>1060</v>
      </c>
      <c r="D431" s="98"/>
    </row>
    <row r="432">
      <c r="A432" s="65"/>
      <c r="B432" s="59" t="s">
        <v>443</v>
      </c>
      <c r="C432" s="96">
        <v>400.0</v>
      </c>
      <c r="D432" s="98"/>
    </row>
    <row r="433">
      <c r="A433" s="59" t="s">
        <v>447</v>
      </c>
      <c r="B433" s="59" t="s">
        <v>448</v>
      </c>
      <c r="C433" s="97">
        <f>400+10</f>
        <v>410</v>
      </c>
      <c r="D433" s="98"/>
    </row>
    <row r="434">
      <c r="A434" s="65"/>
      <c r="B434" s="59" t="s">
        <v>441</v>
      </c>
      <c r="C434" s="97">
        <f>300+300+150</f>
        <v>750</v>
      </c>
      <c r="D434" s="98"/>
    </row>
    <row r="435">
      <c r="A435" s="59" t="s">
        <v>449</v>
      </c>
      <c r="B435" s="59" t="s">
        <v>431</v>
      </c>
      <c r="C435" s="96">
        <v>4000.0</v>
      </c>
      <c r="D435" s="99" t="s">
        <v>241</v>
      </c>
    </row>
    <row r="436">
      <c r="A436" s="65"/>
      <c r="B436" s="59" t="s">
        <v>448</v>
      </c>
      <c r="C436" s="96">
        <v>500.0</v>
      </c>
      <c r="D436" s="98"/>
    </row>
    <row r="437">
      <c r="A437" s="65"/>
      <c r="B437" s="59" t="s">
        <v>450</v>
      </c>
      <c r="C437" s="97">
        <f>20+30+30+150</f>
        <v>230</v>
      </c>
      <c r="D437" s="98"/>
    </row>
    <row r="438">
      <c r="A438" s="65"/>
      <c r="B438" s="59" t="s">
        <v>451</v>
      </c>
      <c r="C438" s="97">
        <f>10*150</f>
        <v>1500</v>
      </c>
      <c r="D438" s="99"/>
    </row>
    <row r="439">
      <c r="A439" s="65"/>
      <c r="B439" s="59" t="s">
        <v>452</v>
      </c>
      <c r="C439" s="97">
        <f>8*70</f>
        <v>560</v>
      </c>
      <c r="D439" s="99"/>
    </row>
    <row r="440">
      <c r="A440" s="65"/>
      <c r="B440" s="59" t="s">
        <v>453</v>
      </c>
      <c r="C440" s="96">
        <v>1000.0</v>
      </c>
      <c r="D440" s="99"/>
    </row>
    <row r="441">
      <c r="A441" s="69"/>
      <c r="B441" s="69"/>
      <c r="C441" s="109">
        <f>SUM(C412:C440)</f>
        <v>26550</v>
      </c>
      <c r="D441" s="120"/>
    </row>
    <row r="442">
      <c r="A442" s="69"/>
      <c r="B442" s="69"/>
      <c r="C442" s="109"/>
      <c r="D442" s="120"/>
    </row>
    <row r="443">
      <c r="A443" s="70" t="s">
        <v>232</v>
      </c>
      <c r="B443" s="71" t="s">
        <v>454</v>
      </c>
      <c r="C443" s="34"/>
      <c r="D443" s="39"/>
    </row>
    <row r="444">
      <c r="A444" s="70" t="s">
        <v>9</v>
      </c>
      <c r="B444" s="71" t="s">
        <v>130</v>
      </c>
      <c r="C444" s="34"/>
      <c r="D444" s="39"/>
    </row>
    <row r="445">
      <c r="A445" s="53" t="s">
        <v>10</v>
      </c>
      <c r="B445" s="54" t="s">
        <v>130</v>
      </c>
      <c r="C445" s="5"/>
      <c r="D445" s="6"/>
    </row>
    <row r="446">
      <c r="A446" s="53" t="s">
        <v>234</v>
      </c>
      <c r="B446" s="54" t="s">
        <v>455</v>
      </c>
      <c r="C446" s="5"/>
      <c r="D446" s="6"/>
    </row>
    <row r="447">
      <c r="A447" s="53" t="s">
        <v>236</v>
      </c>
      <c r="B447" s="54" t="s">
        <v>430</v>
      </c>
      <c r="C447" s="5"/>
      <c r="D447" s="6"/>
    </row>
    <row r="448">
      <c r="A448" s="55"/>
      <c r="B448" s="5"/>
      <c r="C448" s="5"/>
      <c r="D448" s="6"/>
    </row>
    <row r="449">
      <c r="A449" s="56" t="s">
        <v>7</v>
      </c>
      <c r="B449" s="57" t="s">
        <v>237</v>
      </c>
      <c r="C449" s="57" t="s">
        <v>238</v>
      </c>
      <c r="D449" s="57" t="s">
        <v>239</v>
      </c>
    </row>
    <row r="450">
      <c r="A450" s="59" t="s">
        <v>131</v>
      </c>
      <c r="B450" s="59" t="s">
        <v>456</v>
      </c>
      <c r="C450" s="96">
        <v>250.0</v>
      </c>
      <c r="D450" s="59" t="s">
        <v>457</v>
      </c>
    </row>
    <row r="451">
      <c r="A451" s="59"/>
      <c r="B451" s="59" t="s">
        <v>375</v>
      </c>
      <c r="C451" s="96">
        <v>100.0</v>
      </c>
      <c r="D451" s="59"/>
    </row>
    <row r="452">
      <c r="A452" s="59" t="s">
        <v>458</v>
      </c>
      <c r="B452" s="59" t="s">
        <v>459</v>
      </c>
      <c r="C452" s="96">
        <v>350.0</v>
      </c>
      <c r="D452" s="65"/>
    </row>
    <row r="453">
      <c r="A453" s="59"/>
      <c r="B453" s="59" t="s">
        <v>431</v>
      </c>
      <c r="C453" s="96">
        <v>4500.0</v>
      </c>
      <c r="D453" s="59" t="s">
        <v>241</v>
      </c>
    </row>
    <row r="454">
      <c r="A454" s="59"/>
      <c r="B454" s="59" t="s">
        <v>460</v>
      </c>
      <c r="C454" s="96">
        <v>85.0</v>
      </c>
      <c r="D454" s="65"/>
    </row>
    <row r="455">
      <c r="A455" s="59" t="s">
        <v>461</v>
      </c>
      <c r="B455" s="59" t="s">
        <v>462</v>
      </c>
      <c r="C455" s="97">
        <f>320+250</f>
        <v>570</v>
      </c>
      <c r="D455" s="65"/>
    </row>
    <row r="456">
      <c r="A456" s="65"/>
      <c r="B456" s="59" t="s">
        <v>463</v>
      </c>
      <c r="C456" s="96">
        <v>360.0</v>
      </c>
      <c r="D456" s="65"/>
    </row>
    <row r="457">
      <c r="A457" s="65"/>
      <c r="B457" s="59" t="s">
        <v>448</v>
      </c>
      <c r="C457" s="96">
        <v>500.0</v>
      </c>
      <c r="D457" s="65"/>
    </row>
    <row r="458">
      <c r="A458" s="59" t="s">
        <v>464</v>
      </c>
      <c r="B458" s="59" t="s">
        <v>459</v>
      </c>
      <c r="C458" s="97">
        <f>240+35</f>
        <v>275</v>
      </c>
      <c r="D458" s="65"/>
    </row>
    <row r="459">
      <c r="A459" s="65"/>
      <c r="B459" s="121" t="s">
        <v>465</v>
      </c>
      <c r="C459" s="96">
        <v>240.0</v>
      </c>
      <c r="D459" s="65"/>
    </row>
    <row r="460">
      <c r="A460" s="65"/>
      <c r="B460" s="59" t="s">
        <v>448</v>
      </c>
      <c r="C460" s="96">
        <v>555.0</v>
      </c>
      <c r="D460" s="65"/>
    </row>
    <row r="461">
      <c r="A461" s="65"/>
      <c r="B461" s="59" t="s">
        <v>463</v>
      </c>
      <c r="C461" s="96">
        <v>540.0</v>
      </c>
      <c r="D461" s="65"/>
    </row>
    <row r="462">
      <c r="A462" s="59" t="s">
        <v>466</v>
      </c>
      <c r="B462" s="59" t="s">
        <v>462</v>
      </c>
      <c r="C462" s="97">
        <f>245+255</f>
        <v>500</v>
      </c>
      <c r="D462" s="65"/>
    </row>
    <row r="463">
      <c r="A463" s="65"/>
      <c r="B463" s="59" t="s">
        <v>463</v>
      </c>
      <c r="C463" s="96">
        <v>440.0</v>
      </c>
      <c r="D463" s="65"/>
    </row>
    <row r="464">
      <c r="A464" s="65"/>
      <c r="B464" s="59" t="s">
        <v>448</v>
      </c>
      <c r="C464" s="96">
        <v>500.0</v>
      </c>
      <c r="D464" s="65"/>
    </row>
    <row r="465">
      <c r="A465" s="65"/>
      <c r="B465" s="121" t="s">
        <v>465</v>
      </c>
      <c r="C465" s="96">
        <v>165.0</v>
      </c>
      <c r="D465" s="65"/>
    </row>
    <row r="466">
      <c r="A466" s="59" t="s">
        <v>467</v>
      </c>
      <c r="B466" s="59" t="s">
        <v>462</v>
      </c>
      <c r="C466" s="97">
        <f>250+360+50</f>
        <v>660</v>
      </c>
      <c r="D466" s="65"/>
    </row>
    <row r="467">
      <c r="A467" s="65"/>
      <c r="B467" s="59" t="s">
        <v>463</v>
      </c>
      <c r="C467" s="96">
        <v>480.0</v>
      </c>
      <c r="D467" s="65"/>
    </row>
    <row r="468">
      <c r="A468" s="65"/>
      <c r="B468" s="59" t="s">
        <v>448</v>
      </c>
      <c r="C468" s="96">
        <v>570.0</v>
      </c>
      <c r="D468" s="65"/>
    </row>
    <row r="469">
      <c r="A469" s="65"/>
      <c r="B469" s="59" t="s">
        <v>468</v>
      </c>
      <c r="C469" s="96">
        <v>500.0</v>
      </c>
      <c r="D469" s="65"/>
    </row>
    <row r="470">
      <c r="A470" s="65"/>
      <c r="B470" s="121" t="s">
        <v>465</v>
      </c>
      <c r="C470" s="96">
        <v>150.0</v>
      </c>
      <c r="D470" s="65"/>
    </row>
    <row r="471">
      <c r="A471" s="59" t="s">
        <v>469</v>
      </c>
      <c r="B471" s="59" t="s">
        <v>462</v>
      </c>
      <c r="C471" s="97">
        <f>250+320</f>
        <v>570</v>
      </c>
      <c r="D471" s="65"/>
    </row>
    <row r="472">
      <c r="A472" s="65"/>
      <c r="B472" s="59" t="s">
        <v>463</v>
      </c>
      <c r="C472" s="96">
        <v>540.0</v>
      </c>
      <c r="D472" s="65"/>
    </row>
    <row r="473">
      <c r="A473" s="65"/>
      <c r="B473" s="59" t="s">
        <v>448</v>
      </c>
      <c r="C473" s="96">
        <v>660.0</v>
      </c>
      <c r="D473" s="65"/>
    </row>
    <row r="474">
      <c r="A474" s="65"/>
      <c r="B474" s="59" t="s">
        <v>468</v>
      </c>
      <c r="C474" s="96">
        <v>500.0</v>
      </c>
      <c r="D474" s="65"/>
    </row>
    <row r="475">
      <c r="A475" s="65"/>
      <c r="B475" s="59" t="s">
        <v>470</v>
      </c>
      <c r="C475" s="96">
        <v>1000.0</v>
      </c>
      <c r="D475" s="65"/>
    </row>
    <row r="476">
      <c r="A476" s="65"/>
      <c r="B476" s="59" t="s">
        <v>471</v>
      </c>
      <c r="C476" s="96">
        <v>1000.0</v>
      </c>
      <c r="D476" s="65"/>
    </row>
    <row r="477">
      <c r="A477" s="65"/>
      <c r="B477" s="59" t="s">
        <v>472</v>
      </c>
      <c r="C477" s="96">
        <v>1000.0</v>
      </c>
      <c r="D477" s="65"/>
    </row>
    <row r="478">
      <c r="A478" s="59" t="s">
        <v>473</v>
      </c>
      <c r="B478" s="59" t="s">
        <v>462</v>
      </c>
      <c r="C478" s="97">
        <f>250+150</f>
        <v>400</v>
      </c>
      <c r="D478" s="65"/>
    </row>
    <row r="479">
      <c r="A479" s="65"/>
      <c r="B479" s="59" t="s">
        <v>463</v>
      </c>
      <c r="C479" s="96">
        <v>480.0</v>
      </c>
      <c r="D479" s="65"/>
    </row>
    <row r="480">
      <c r="A480" s="65"/>
      <c r="B480" s="59" t="s">
        <v>448</v>
      </c>
      <c r="C480" s="96">
        <v>500.0</v>
      </c>
      <c r="D480" s="65"/>
    </row>
    <row r="481">
      <c r="A481" s="59" t="s">
        <v>474</v>
      </c>
      <c r="B481" s="59" t="s">
        <v>462</v>
      </c>
      <c r="C481" s="96">
        <v>350.0</v>
      </c>
      <c r="D481" s="65"/>
    </row>
    <row r="482">
      <c r="A482" s="65"/>
      <c r="B482" s="59" t="s">
        <v>463</v>
      </c>
      <c r="C482" s="96">
        <v>640.0</v>
      </c>
      <c r="D482" s="65"/>
    </row>
    <row r="483">
      <c r="A483" s="65"/>
      <c r="B483" s="59" t="s">
        <v>448</v>
      </c>
      <c r="C483" s="96">
        <v>500.0</v>
      </c>
      <c r="D483" s="65"/>
    </row>
    <row r="484">
      <c r="A484" s="59" t="s">
        <v>134</v>
      </c>
      <c r="B484" s="59" t="s">
        <v>462</v>
      </c>
      <c r="C484" s="96">
        <v>500.0</v>
      </c>
      <c r="D484" s="65"/>
    </row>
    <row r="485">
      <c r="A485" s="65"/>
      <c r="B485" s="59" t="s">
        <v>463</v>
      </c>
      <c r="C485" s="96">
        <v>530.0</v>
      </c>
      <c r="D485" s="65"/>
    </row>
    <row r="486">
      <c r="A486" s="65"/>
      <c r="B486" s="59" t="s">
        <v>448</v>
      </c>
      <c r="C486" s="96">
        <v>600.0</v>
      </c>
      <c r="D486" s="65"/>
    </row>
    <row r="487">
      <c r="A487" s="59" t="s">
        <v>475</v>
      </c>
      <c r="B487" s="59" t="s">
        <v>462</v>
      </c>
      <c r="C487" s="96">
        <v>400.0</v>
      </c>
      <c r="D487" s="65"/>
    </row>
    <row r="488">
      <c r="A488" s="65"/>
      <c r="B488" s="59" t="s">
        <v>463</v>
      </c>
      <c r="C488" s="96">
        <v>480.0</v>
      </c>
      <c r="D488" s="65"/>
    </row>
    <row r="489">
      <c r="A489" s="65"/>
      <c r="B489" s="59" t="s">
        <v>448</v>
      </c>
      <c r="C489" s="96">
        <v>490.0</v>
      </c>
      <c r="D489" s="65"/>
    </row>
    <row r="490">
      <c r="A490" s="65"/>
      <c r="B490" s="59" t="s">
        <v>468</v>
      </c>
      <c r="C490" s="96">
        <v>1000.0</v>
      </c>
      <c r="D490" s="65"/>
    </row>
    <row r="491">
      <c r="A491" s="61" t="s">
        <v>476</v>
      </c>
      <c r="B491" s="59" t="s">
        <v>462</v>
      </c>
      <c r="C491" s="97">
        <f>250+350+50+60</f>
        <v>710</v>
      </c>
      <c r="D491" s="65"/>
    </row>
    <row r="492">
      <c r="A492" s="65"/>
      <c r="B492" s="59" t="s">
        <v>463</v>
      </c>
      <c r="C492" s="97">
        <f>300+760</f>
        <v>1060</v>
      </c>
      <c r="D492" s="65"/>
    </row>
    <row r="493">
      <c r="A493" s="65"/>
      <c r="B493" s="59" t="s">
        <v>448</v>
      </c>
      <c r="C493" s="96">
        <v>730.0</v>
      </c>
      <c r="D493" s="65"/>
    </row>
    <row r="494">
      <c r="A494" s="59" t="s">
        <v>477</v>
      </c>
      <c r="B494" s="59" t="s">
        <v>462</v>
      </c>
      <c r="C494" s="97">
        <f>250+400</f>
        <v>650</v>
      </c>
      <c r="D494" s="65"/>
    </row>
    <row r="495">
      <c r="A495" s="65"/>
      <c r="B495" s="59" t="s">
        <v>463</v>
      </c>
      <c r="C495" s="97">
        <f>350+300+40</f>
        <v>690</v>
      </c>
      <c r="D495" s="65"/>
    </row>
    <row r="496">
      <c r="A496" s="65"/>
      <c r="B496" s="59" t="s">
        <v>448</v>
      </c>
      <c r="C496" s="96">
        <v>625.0</v>
      </c>
      <c r="D496" s="65"/>
    </row>
    <row r="497">
      <c r="A497" s="59" t="s">
        <v>138</v>
      </c>
      <c r="B497" s="59" t="s">
        <v>462</v>
      </c>
      <c r="C497" s="97">
        <f>300+150</f>
        <v>450</v>
      </c>
      <c r="D497" s="65"/>
    </row>
    <row r="498">
      <c r="A498" s="65"/>
      <c r="B498" s="59" t="s">
        <v>463</v>
      </c>
      <c r="C498" s="97">
        <f>350+390</f>
        <v>740</v>
      </c>
      <c r="D498" s="65"/>
    </row>
    <row r="499">
      <c r="A499" s="65"/>
      <c r="B499" s="59" t="s">
        <v>448</v>
      </c>
      <c r="C499" s="96">
        <v>510.0</v>
      </c>
      <c r="D499" s="65"/>
    </row>
    <row r="500">
      <c r="A500" s="59" t="s">
        <v>142</v>
      </c>
      <c r="B500" s="59" t="s">
        <v>462</v>
      </c>
      <c r="C500" s="97">
        <f>250+400</f>
        <v>650</v>
      </c>
      <c r="D500" s="65"/>
    </row>
    <row r="501">
      <c r="A501" s="65"/>
      <c r="B501" s="59" t="s">
        <v>463</v>
      </c>
      <c r="C501" s="96">
        <f>300+390</f>
        <v>690</v>
      </c>
      <c r="D501" s="65"/>
    </row>
    <row r="502">
      <c r="A502" s="65"/>
      <c r="B502" s="59" t="s">
        <v>448</v>
      </c>
      <c r="C502" s="96">
        <v>500.0</v>
      </c>
      <c r="D502" s="65"/>
    </row>
    <row r="503">
      <c r="A503" s="59" t="s">
        <v>478</v>
      </c>
      <c r="B503" s="59" t="s">
        <v>462</v>
      </c>
      <c r="C503" s="97">
        <f>270+250</f>
        <v>520</v>
      </c>
      <c r="D503" s="65"/>
    </row>
    <row r="504">
      <c r="A504" s="65"/>
      <c r="B504" s="59" t="s">
        <v>463</v>
      </c>
      <c r="C504" s="97">
        <f>300+130</f>
        <v>430</v>
      </c>
      <c r="D504" s="65"/>
    </row>
    <row r="505">
      <c r="A505" s="65"/>
      <c r="B505" s="59" t="s">
        <v>448</v>
      </c>
      <c r="C505" s="96">
        <v>590.0</v>
      </c>
      <c r="D505" s="65"/>
    </row>
    <row r="506">
      <c r="A506" s="59" t="s">
        <v>479</v>
      </c>
      <c r="B506" s="59" t="s">
        <v>462</v>
      </c>
      <c r="C506" s="97">
        <f>250+200</f>
        <v>450</v>
      </c>
      <c r="D506" s="65"/>
    </row>
    <row r="507">
      <c r="A507" s="65"/>
      <c r="B507" s="59" t="s">
        <v>463</v>
      </c>
      <c r="C507" s="97">
        <f>300+130</f>
        <v>430</v>
      </c>
      <c r="D507" s="65"/>
    </row>
    <row r="508">
      <c r="A508" s="65"/>
      <c r="B508" s="59" t="s">
        <v>448</v>
      </c>
      <c r="C508" s="96">
        <v>590.0</v>
      </c>
      <c r="D508" s="65"/>
    </row>
    <row r="509">
      <c r="A509" s="59" t="s">
        <v>480</v>
      </c>
      <c r="B509" s="59" t="s">
        <v>462</v>
      </c>
      <c r="C509" s="97">
        <f>250+150</f>
        <v>400</v>
      </c>
      <c r="D509" s="65"/>
    </row>
    <row r="510">
      <c r="A510" s="65"/>
      <c r="B510" s="59" t="s">
        <v>463</v>
      </c>
      <c r="C510" s="97">
        <f>300+130</f>
        <v>430</v>
      </c>
      <c r="D510" s="65"/>
    </row>
    <row r="511">
      <c r="A511" s="65"/>
      <c r="B511" s="59" t="s">
        <v>448</v>
      </c>
      <c r="C511" s="96">
        <v>530.0</v>
      </c>
      <c r="D511" s="65"/>
    </row>
    <row r="512">
      <c r="A512" s="61" t="s">
        <v>145</v>
      </c>
      <c r="B512" s="59" t="s">
        <v>462</v>
      </c>
      <c r="C512" s="97">
        <f>150+250+250+50+320</f>
        <v>1020</v>
      </c>
      <c r="D512" s="65"/>
    </row>
    <row r="513">
      <c r="A513" s="65"/>
      <c r="B513" s="59" t="s">
        <v>463</v>
      </c>
      <c r="C513" s="96">
        <v>410.0</v>
      </c>
      <c r="D513" s="65"/>
    </row>
    <row r="514">
      <c r="A514" s="65"/>
      <c r="B514" s="59" t="s">
        <v>448</v>
      </c>
      <c r="C514" s="96">
        <v>585.0</v>
      </c>
      <c r="D514" s="65"/>
    </row>
    <row r="515">
      <c r="A515" s="59" t="s">
        <v>481</v>
      </c>
      <c r="B515" s="59" t="s">
        <v>462</v>
      </c>
      <c r="C515" s="97">
        <f>250</f>
        <v>250</v>
      </c>
      <c r="D515" s="65"/>
    </row>
    <row r="516">
      <c r="A516" s="65"/>
      <c r="B516" s="59" t="s">
        <v>463</v>
      </c>
      <c r="C516" s="96">
        <v>300.0</v>
      </c>
      <c r="D516" s="65"/>
    </row>
    <row r="517">
      <c r="A517" s="65"/>
      <c r="B517" s="59" t="s">
        <v>448</v>
      </c>
      <c r="C517" s="96">
        <v>635.0</v>
      </c>
      <c r="D517" s="65"/>
    </row>
    <row r="518">
      <c r="A518" s="65"/>
      <c r="B518" s="59" t="s">
        <v>431</v>
      </c>
      <c r="C518" s="96">
        <v>2500.0</v>
      </c>
      <c r="D518" s="59" t="s">
        <v>241</v>
      </c>
    </row>
    <row r="519">
      <c r="A519" s="59" t="s">
        <v>161</v>
      </c>
      <c r="B519" s="59" t="s">
        <v>482</v>
      </c>
      <c r="C519" s="96">
        <v>200.0</v>
      </c>
      <c r="D519" s="65"/>
    </row>
    <row r="520">
      <c r="A520" s="65"/>
      <c r="B520" s="59" t="s">
        <v>468</v>
      </c>
      <c r="C520" s="96">
        <v>200.0</v>
      </c>
      <c r="D520" s="65"/>
    </row>
    <row r="521">
      <c r="A521" s="59" t="s">
        <v>483</v>
      </c>
      <c r="B521" s="59" t="s">
        <v>462</v>
      </c>
      <c r="C521" s="97">
        <f>250+350+200</f>
        <v>800</v>
      </c>
      <c r="D521" s="65"/>
    </row>
    <row r="522">
      <c r="A522" s="65"/>
      <c r="B522" s="59" t="s">
        <v>463</v>
      </c>
      <c r="C522" s="96">
        <v>470.0</v>
      </c>
      <c r="D522" s="65"/>
    </row>
    <row r="523">
      <c r="A523" s="65"/>
      <c r="B523" s="59" t="s">
        <v>448</v>
      </c>
      <c r="C523" s="96">
        <v>665.0</v>
      </c>
      <c r="D523" s="65"/>
    </row>
    <row r="524">
      <c r="A524" s="59" t="s">
        <v>484</v>
      </c>
      <c r="B524" s="59" t="s">
        <v>462</v>
      </c>
      <c r="C524" s="97">
        <f>250+100</f>
        <v>350</v>
      </c>
      <c r="D524" s="65"/>
    </row>
    <row r="525">
      <c r="A525" s="65"/>
      <c r="B525" s="59" t="s">
        <v>463</v>
      </c>
      <c r="C525" s="96">
        <v>470.0</v>
      </c>
      <c r="D525" s="65"/>
    </row>
    <row r="526">
      <c r="A526" s="65"/>
      <c r="B526" s="59" t="s">
        <v>448</v>
      </c>
      <c r="C526" s="96">
        <v>595.0</v>
      </c>
      <c r="D526" s="65"/>
    </row>
    <row r="527">
      <c r="A527" s="59" t="s">
        <v>163</v>
      </c>
      <c r="B527" s="59" t="s">
        <v>462</v>
      </c>
      <c r="C527" s="97">
        <f>100+30+300</f>
        <v>430</v>
      </c>
      <c r="D527" s="65"/>
    </row>
    <row r="528">
      <c r="A528" s="65"/>
      <c r="B528" s="59" t="s">
        <v>463</v>
      </c>
      <c r="C528" s="97">
        <f>300+670</f>
        <v>970</v>
      </c>
      <c r="D528" s="65"/>
    </row>
    <row r="529">
      <c r="A529" s="65"/>
      <c r="B529" s="59" t="s">
        <v>448</v>
      </c>
      <c r="C529" s="96">
        <v>525.0</v>
      </c>
      <c r="D529" s="65"/>
    </row>
    <row r="530">
      <c r="A530" s="59" t="s">
        <v>485</v>
      </c>
      <c r="B530" s="59" t="s">
        <v>462</v>
      </c>
      <c r="C530" s="122">
        <f>270+70+100+80+200+80</f>
        <v>800</v>
      </c>
      <c r="D530" s="98"/>
    </row>
    <row r="531">
      <c r="A531" s="98"/>
      <c r="B531" s="59" t="s">
        <v>463</v>
      </c>
      <c r="C531" s="122">
        <f>600+50+130</f>
        <v>780</v>
      </c>
      <c r="D531" s="98"/>
    </row>
    <row r="532">
      <c r="A532" s="98"/>
      <c r="B532" s="59" t="s">
        <v>448</v>
      </c>
      <c r="C532" s="123">
        <v>645.0</v>
      </c>
      <c r="D532" s="98"/>
    </row>
    <row r="533">
      <c r="A533" s="59" t="s">
        <v>486</v>
      </c>
      <c r="B533" s="59" t="s">
        <v>462</v>
      </c>
      <c r="C533" s="122">
        <f>300+30+300+500</f>
        <v>1130</v>
      </c>
      <c r="D533" s="98"/>
    </row>
    <row r="534">
      <c r="A534" s="98"/>
      <c r="B534" s="59" t="s">
        <v>450</v>
      </c>
      <c r="C534" s="122">
        <f>100+150+500+100</f>
        <v>850</v>
      </c>
      <c r="D534" s="98"/>
    </row>
    <row r="535">
      <c r="A535" s="98"/>
      <c r="B535" s="59" t="s">
        <v>448</v>
      </c>
      <c r="C535" s="123">
        <v>1345.0</v>
      </c>
      <c r="D535" s="98"/>
    </row>
    <row r="536">
      <c r="A536" s="98"/>
      <c r="B536" s="59" t="s">
        <v>431</v>
      </c>
      <c r="C536" s="123">
        <v>4500.0</v>
      </c>
      <c r="D536" s="99" t="s">
        <v>241</v>
      </c>
    </row>
    <row r="537">
      <c r="A537" s="120"/>
      <c r="B537" s="120"/>
      <c r="C537" s="124">
        <f>SUM(C450:C536)</f>
        <v>58230</v>
      </c>
      <c r="D537" s="120"/>
    </row>
    <row r="538">
      <c r="A538" s="120"/>
      <c r="B538" s="120"/>
      <c r="C538" s="124"/>
      <c r="D538" s="120"/>
    </row>
    <row r="539">
      <c r="A539" s="120"/>
      <c r="B539" s="120"/>
      <c r="C539" s="120"/>
      <c r="D539" s="120"/>
    </row>
    <row r="540">
      <c r="A540" s="120"/>
      <c r="B540" s="120"/>
      <c r="C540" s="120"/>
      <c r="D540" s="120"/>
    </row>
    <row r="541">
      <c r="A541" s="120"/>
      <c r="B541" s="120"/>
      <c r="C541" s="120"/>
      <c r="D541" s="120"/>
    </row>
    <row r="542">
      <c r="A542" s="70" t="s">
        <v>232</v>
      </c>
      <c r="B542" s="71" t="s">
        <v>487</v>
      </c>
      <c r="C542" s="34"/>
      <c r="D542" s="39"/>
    </row>
    <row r="543">
      <c r="A543" s="70" t="s">
        <v>9</v>
      </c>
      <c r="B543" s="71" t="s">
        <v>137</v>
      </c>
      <c r="C543" s="34"/>
      <c r="D543" s="39"/>
    </row>
    <row r="544">
      <c r="A544" s="53" t="s">
        <v>10</v>
      </c>
      <c r="B544" s="54" t="s">
        <v>137</v>
      </c>
      <c r="C544" s="5"/>
      <c r="D544" s="6"/>
    </row>
    <row r="545">
      <c r="A545" s="53" t="s">
        <v>234</v>
      </c>
      <c r="B545" s="54" t="s">
        <v>488</v>
      </c>
      <c r="C545" s="5"/>
      <c r="D545" s="6"/>
    </row>
    <row r="546">
      <c r="A546" s="53" t="s">
        <v>236</v>
      </c>
      <c r="B546" s="54" t="s">
        <v>189</v>
      </c>
      <c r="C546" s="5"/>
      <c r="D546" s="6"/>
    </row>
    <row r="547">
      <c r="A547" s="107"/>
      <c r="B547" s="105" t="s">
        <v>489</v>
      </c>
      <c r="C547" s="119">
        <v>800.0</v>
      </c>
      <c r="D547" s="107"/>
    </row>
    <row r="548">
      <c r="A548" s="107"/>
      <c r="B548" s="105" t="s">
        <v>490</v>
      </c>
      <c r="C548" s="119">
        <v>400.0</v>
      </c>
      <c r="D548" s="107"/>
    </row>
    <row r="549">
      <c r="A549" s="107"/>
      <c r="B549" s="105" t="s">
        <v>448</v>
      </c>
      <c r="C549" s="119">
        <v>150.0</v>
      </c>
      <c r="D549" s="107"/>
    </row>
    <row r="550">
      <c r="A550" s="107"/>
      <c r="B550" s="105" t="s">
        <v>491</v>
      </c>
      <c r="C550" s="119">
        <v>450.0</v>
      </c>
      <c r="D550" s="107"/>
    </row>
    <row r="551">
      <c r="A551" s="107"/>
      <c r="B551" s="105" t="s">
        <v>492</v>
      </c>
      <c r="C551" s="119">
        <v>650.0</v>
      </c>
      <c r="D551" s="107"/>
    </row>
    <row r="552">
      <c r="A552" s="107"/>
      <c r="B552" s="105" t="s">
        <v>493</v>
      </c>
      <c r="C552" s="119">
        <v>3000.0</v>
      </c>
      <c r="D552" s="105" t="s">
        <v>398</v>
      </c>
    </row>
    <row r="553">
      <c r="A553" s="107"/>
      <c r="B553" s="105" t="s">
        <v>494</v>
      </c>
      <c r="C553" s="119">
        <v>3000.0</v>
      </c>
      <c r="D553" s="105" t="s">
        <v>241</v>
      </c>
    </row>
    <row r="554">
      <c r="A554" s="107"/>
      <c r="B554" s="105" t="s">
        <v>495</v>
      </c>
      <c r="C554" s="119">
        <v>3000.0</v>
      </c>
      <c r="D554" s="105" t="s">
        <v>241</v>
      </c>
    </row>
    <row r="555">
      <c r="A555" s="107"/>
      <c r="B555" s="105" t="s">
        <v>496</v>
      </c>
      <c r="C555" s="119">
        <v>6000.0</v>
      </c>
      <c r="D555" s="105" t="s">
        <v>241</v>
      </c>
    </row>
    <row r="556">
      <c r="A556" s="107"/>
      <c r="B556" s="105" t="s">
        <v>497</v>
      </c>
      <c r="C556" s="106">
        <f>10500+300</f>
        <v>10800</v>
      </c>
      <c r="D556" s="107"/>
    </row>
    <row r="557">
      <c r="A557" s="107"/>
      <c r="B557" s="105" t="s">
        <v>498</v>
      </c>
      <c r="C557" s="106">
        <f>600+250+50</f>
        <v>900</v>
      </c>
      <c r="D557" s="107"/>
    </row>
    <row r="558">
      <c r="A558" s="107"/>
      <c r="B558" s="105" t="s">
        <v>499</v>
      </c>
      <c r="C558" s="119">
        <v>2000.0</v>
      </c>
      <c r="D558" s="105" t="s">
        <v>500</v>
      </c>
    </row>
    <row r="559">
      <c r="A559" s="66" t="s">
        <v>327</v>
      </c>
      <c r="B559" s="39"/>
      <c r="C559" s="91">
        <f>SUM(C547:C558)</f>
        <v>31150</v>
      </c>
      <c r="D559" s="68"/>
    </row>
    <row r="562">
      <c r="A562" s="70" t="s">
        <v>232</v>
      </c>
      <c r="B562" s="71" t="s">
        <v>501</v>
      </c>
      <c r="C562" s="34"/>
      <c r="D562" s="39"/>
    </row>
    <row r="563">
      <c r="A563" s="70" t="s">
        <v>9</v>
      </c>
      <c r="B563" s="71" t="s">
        <v>140</v>
      </c>
      <c r="C563" s="34"/>
      <c r="D563" s="39"/>
    </row>
    <row r="564">
      <c r="A564" s="53" t="s">
        <v>10</v>
      </c>
      <c r="B564" s="54" t="s">
        <v>140</v>
      </c>
      <c r="C564" s="5"/>
      <c r="D564" s="6"/>
    </row>
    <row r="565">
      <c r="A565" s="53" t="s">
        <v>234</v>
      </c>
      <c r="B565" s="54" t="s">
        <v>502</v>
      </c>
      <c r="C565" s="5"/>
      <c r="D565" s="6"/>
    </row>
    <row r="566">
      <c r="A566" s="53" t="s">
        <v>236</v>
      </c>
      <c r="B566" s="54" t="s">
        <v>503</v>
      </c>
      <c r="C566" s="5"/>
      <c r="D566" s="6"/>
    </row>
    <row r="567">
      <c r="B567" s="41" t="s">
        <v>448</v>
      </c>
      <c r="C567" s="125">
        <v>200.0</v>
      </c>
    </row>
    <row r="568">
      <c r="A568" s="107"/>
      <c r="B568" s="105" t="s">
        <v>491</v>
      </c>
      <c r="C568" s="119">
        <v>450.0</v>
      </c>
      <c r="D568" s="107"/>
    </row>
    <row r="569">
      <c r="A569" s="107"/>
      <c r="B569" s="105" t="s">
        <v>504</v>
      </c>
      <c r="C569" s="119">
        <v>500.0</v>
      </c>
      <c r="D569" s="107"/>
    </row>
    <row r="570">
      <c r="A570" s="107"/>
      <c r="B570" s="105" t="s">
        <v>505</v>
      </c>
      <c r="C570" s="119">
        <f>550+150</f>
        <v>700</v>
      </c>
      <c r="D570" s="107"/>
    </row>
    <row r="571">
      <c r="A571" s="107"/>
      <c r="B571" s="105" t="s">
        <v>506</v>
      </c>
      <c r="C571" s="119">
        <v>3000.0</v>
      </c>
      <c r="D571" s="107"/>
    </row>
    <row r="572">
      <c r="A572" s="107"/>
      <c r="B572" s="105" t="s">
        <v>493</v>
      </c>
      <c r="C572" s="119">
        <v>3000.0</v>
      </c>
      <c r="D572" s="107"/>
    </row>
    <row r="573">
      <c r="A573" s="66" t="s">
        <v>327</v>
      </c>
      <c r="B573" s="39"/>
      <c r="C573" s="91">
        <f>SUM(C567:C572)</f>
        <v>7850</v>
      </c>
      <c r="D573" s="68"/>
    </row>
    <row r="574">
      <c r="C574" s="30"/>
    </row>
    <row r="575">
      <c r="C575" s="30"/>
      <c r="J575" s="41">
        <v>15000.0</v>
      </c>
    </row>
    <row r="576">
      <c r="C576" s="30"/>
      <c r="J576" s="41">
        <v>20000.0</v>
      </c>
    </row>
    <row r="577">
      <c r="A577" s="70" t="s">
        <v>232</v>
      </c>
      <c r="B577" s="71" t="s">
        <v>507</v>
      </c>
      <c r="C577" s="34"/>
      <c r="D577" s="39"/>
    </row>
    <row r="578">
      <c r="A578" s="70" t="s">
        <v>9</v>
      </c>
      <c r="B578" s="71" t="s">
        <v>144</v>
      </c>
      <c r="C578" s="34"/>
      <c r="D578" s="39"/>
    </row>
    <row r="579">
      <c r="A579" s="53" t="s">
        <v>10</v>
      </c>
      <c r="B579" s="54" t="s">
        <v>144</v>
      </c>
      <c r="C579" s="5"/>
      <c r="D579" s="6"/>
    </row>
    <row r="580">
      <c r="A580" s="53" t="s">
        <v>234</v>
      </c>
      <c r="B580" s="54" t="s">
        <v>508</v>
      </c>
      <c r="C580" s="5"/>
      <c r="D580" s="6"/>
    </row>
    <row r="581">
      <c r="A581" s="53" t="s">
        <v>236</v>
      </c>
      <c r="B581" s="54" t="s">
        <v>503</v>
      </c>
      <c r="C581" s="5"/>
      <c r="D581" s="6"/>
    </row>
    <row r="582">
      <c r="A582" s="105" t="s">
        <v>142</v>
      </c>
      <c r="B582" s="105" t="s">
        <v>350</v>
      </c>
      <c r="C582" s="119">
        <v>250.0</v>
      </c>
      <c r="D582" s="107"/>
    </row>
    <row r="583">
      <c r="A583" s="107"/>
      <c r="B583" s="105" t="s">
        <v>448</v>
      </c>
      <c r="C583" s="119">
        <v>230.0</v>
      </c>
      <c r="D583" s="107"/>
    </row>
    <row r="584">
      <c r="A584" s="107"/>
      <c r="B584" s="105" t="s">
        <v>298</v>
      </c>
      <c r="C584" s="119">
        <v>2000.0</v>
      </c>
      <c r="D584" s="107"/>
    </row>
    <row r="585">
      <c r="A585" s="107"/>
      <c r="B585" s="105" t="s">
        <v>509</v>
      </c>
      <c r="C585" s="119">
        <v>2000.0</v>
      </c>
      <c r="D585" s="107"/>
    </row>
    <row r="586">
      <c r="A586" s="107"/>
      <c r="B586" s="105" t="s">
        <v>510</v>
      </c>
      <c r="C586" s="119">
        <v>1500.0</v>
      </c>
      <c r="D586" s="107"/>
    </row>
    <row r="587">
      <c r="A587" s="107"/>
      <c r="B587" s="105" t="s">
        <v>491</v>
      </c>
      <c r="C587" s="119">
        <v>750.0</v>
      </c>
      <c r="D587" s="107"/>
    </row>
    <row r="588">
      <c r="A588" s="107"/>
      <c r="B588" s="105" t="s">
        <v>459</v>
      </c>
      <c r="C588" s="119">
        <v>170.0</v>
      </c>
      <c r="D588" s="107"/>
    </row>
    <row r="589">
      <c r="A589" s="105" t="s">
        <v>478</v>
      </c>
      <c r="B589" s="105" t="s">
        <v>459</v>
      </c>
      <c r="C589" s="119">
        <f>320+200</f>
        <v>520</v>
      </c>
      <c r="D589" s="107"/>
    </row>
    <row r="590">
      <c r="A590" s="107"/>
      <c r="B590" s="105" t="s">
        <v>448</v>
      </c>
      <c r="C590" s="119">
        <v>180.0</v>
      </c>
      <c r="D590" s="107"/>
    </row>
    <row r="591">
      <c r="A591" s="107"/>
      <c r="B591" s="105" t="s">
        <v>491</v>
      </c>
      <c r="C591" s="119">
        <v>750.0</v>
      </c>
      <c r="D591" s="107"/>
    </row>
    <row r="592">
      <c r="A592" s="107"/>
      <c r="B592" s="105" t="s">
        <v>511</v>
      </c>
      <c r="C592" s="119">
        <v>170.0</v>
      </c>
      <c r="D592" s="107"/>
    </row>
    <row r="593">
      <c r="A593" s="107"/>
      <c r="B593" s="105" t="s">
        <v>298</v>
      </c>
      <c r="C593" s="119">
        <v>2000.0</v>
      </c>
      <c r="D593" s="107"/>
    </row>
    <row r="594">
      <c r="A594" s="107"/>
      <c r="B594" s="105" t="s">
        <v>509</v>
      </c>
      <c r="C594" s="119">
        <v>2000.0</v>
      </c>
      <c r="D594" s="107"/>
    </row>
    <row r="595">
      <c r="A595" s="107"/>
      <c r="B595" s="105" t="s">
        <v>510</v>
      </c>
      <c r="C595" s="119">
        <v>1500.0</v>
      </c>
      <c r="D595" s="107"/>
    </row>
    <row r="596">
      <c r="A596" s="105" t="s">
        <v>479</v>
      </c>
      <c r="B596" s="105" t="s">
        <v>459</v>
      </c>
      <c r="C596" s="119">
        <v>200.0</v>
      </c>
      <c r="D596" s="107"/>
    </row>
    <row r="597">
      <c r="A597" s="107"/>
      <c r="B597" s="105" t="s">
        <v>512</v>
      </c>
      <c r="C597" s="106">
        <f>60+750</f>
        <v>810</v>
      </c>
      <c r="D597" s="107"/>
    </row>
    <row r="598">
      <c r="A598" s="107"/>
      <c r="B598" s="105" t="s">
        <v>298</v>
      </c>
      <c r="C598" s="119">
        <v>2000.0</v>
      </c>
      <c r="D598" s="107"/>
    </row>
    <row r="599">
      <c r="A599" s="107"/>
      <c r="B599" s="105" t="s">
        <v>509</v>
      </c>
      <c r="C599" s="119">
        <v>2000.0</v>
      </c>
      <c r="D599" s="107"/>
    </row>
    <row r="600">
      <c r="A600" s="107"/>
      <c r="B600" s="105" t="s">
        <v>510</v>
      </c>
      <c r="C600" s="119">
        <v>1500.0</v>
      </c>
      <c r="D600" s="107"/>
    </row>
    <row r="601">
      <c r="A601" s="105" t="s">
        <v>480</v>
      </c>
      <c r="B601" s="105" t="s">
        <v>350</v>
      </c>
      <c r="C601" s="119">
        <v>100.0</v>
      </c>
      <c r="D601" s="107"/>
      <c r="H601" s="41">
        <v>10000.0</v>
      </c>
    </row>
    <row r="602">
      <c r="A602" s="107"/>
      <c r="B602" s="105" t="s">
        <v>491</v>
      </c>
      <c r="C602" s="119">
        <v>750.0</v>
      </c>
      <c r="D602" s="107"/>
      <c r="H602" s="41">
        <v>8000.0</v>
      </c>
    </row>
    <row r="603">
      <c r="A603" s="107"/>
      <c r="B603" s="105" t="s">
        <v>513</v>
      </c>
      <c r="C603" s="119">
        <v>850.0</v>
      </c>
      <c r="D603" s="107"/>
    </row>
    <row r="604">
      <c r="A604" s="107"/>
      <c r="B604" s="105" t="s">
        <v>298</v>
      </c>
      <c r="C604" s="119">
        <v>2000.0</v>
      </c>
      <c r="D604" s="107"/>
    </row>
    <row r="605">
      <c r="A605" s="107"/>
      <c r="B605" s="105" t="s">
        <v>509</v>
      </c>
      <c r="C605" s="119">
        <v>2000.0</v>
      </c>
      <c r="D605" s="107"/>
    </row>
    <row r="606">
      <c r="A606" s="107"/>
      <c r="B606" s="105" t="s">
        <v>510</v>
      </c>
      <c r="C606" s="119">
        <v>1500.0</v>
      </c>
      <c r="D606" s="107"/>
      <c r="I606" s="41">
        <v>3390.0</v>
      </c>
    </row>
    <row r="607">
      <c r="A607" s="107"/>
      <c r="B607" s="105" t="s">
        <v>514</v>
      </c>
      <c r="C607" s="119">
        <v>4500.0</v>
      </c>
      <c r="D607" s="107"/>
    </row>
    <row r="608">
      <c r="A608" s="107"/>
      <c r="B608" s="105" t="s">
        <v>515</v>
      </c>
      <c r="C608" s="119">
        <v>10000.0</v>
      </c>
      <c r="D608" s="105" t="s">
        <v>516</v>
      </c>
    </row>
    <row r="609">
      <c r="A609" s="66" t="s">
        <v>327</v>
      </c>
      <c r="B609" s="39"/>
      <c r="C609" s="91">
        <f>SUM(C582:C608)</f>
        <v>42230</v>
      </c>
      <c r="D609" s="68"/>
    </row>
    <row r="610">
      <c r="C610" s="30"/>
    </row>
    <row r="612">
      <c r="A612" s="70" t="s">
        <v>232</v>
      </c>
      <c r="B612" s="71" t="s">
        <v>517</v>
      </c>
      <c r="C612" s="34"/>
      <c r="D612" s="39"/>
    </row>
    <row r="613">
      <c r="A613" s="70" t="s">
        <v>9</v>
      </c>
      <c r="B613" s="71" t="s">
        <v>147</v>
      </c>
      <c r="C613" s="34"/>
      <c r="D613" s="39"/>
    </row>
    <row r="614">
      <c r="A614" s="53" t="s">
        <v>10</v>
      </c>
      <c r="B614" s="54" t="s">
        <v>147</v>
      </c>
      <c r="C614" s="5"/>
      <c r="D614" s="6"/>
    </row>
    <row r="615">
      <c r="A615" s="53" t="s">
        <v>234</v>
      </c>
      <c r="B615" s="54" t="s">
        <v>518</v>
      </c>
      <c r="C615" s="5"/>
      <c r="D615" s="6"/>
    </row>
    <row r="616">
      <c r="A616" s="53" t="s">
        <v>236</v>
      </c>
      <c r="B616" s="54" t="s">
        <v>146</v>
      </c>
      <c r="C616" s="5"/>
      <c r="D616" s="6"/>
    </row>
    <row r="617">
      <c r="A617" s="105" t="s">
        <v>519</v>
      </c>
      <c r="B617" s="105" t="s">
        <v>520</v>
      </c>
      <c r="C617" s="119">
        <v>600.0</v>
      </c>
      <c r="D617" s="107"/>
    </row>
    <row r="618">
      <c r="A618" s="105" t="s">
        <v>145</v>
      </c>
      <c r="B618" s="105" t="s">
        <v>506</v>
      </c>
      <c r="C618" s="119">
        <v>9500.0</v>
      </c>
      <c r="D618" s="107"/>
    </row>
    <row r="619">
      <c r="A619" s="107"/>
      <c r="B619" s="105" t="s">
        <v>521</v>
      </c>
      <c r="C619" s="119">
        <v>5500.0</v>
      </c>
      <c r="D619" s="107"/>
    </row>
    <row r="620">
      <c r="A620" s="107"/>
      <c r="B620" s="105" t="s">
        <v>366</v>
      </c>
      <c r="C620" s="119">
        <v>1400.0</v>
      </c>
      <c r="D620" s="107"/>
    </row>
    <row r="621">
      <c r="A621" s="107"/>
      <c r="B621" s="105" t="s">
        <v>448</v>
      </c>
      <c r="C621" s="119">
        <v>600.0</v>
      </c>
      <c r="D621" s="107"/>
    </row>
    <row r="622">
      <c r="A622" s="107"/>
      <c r="B622" s="105" t="s">
        <v>522</v>
      </c>
      <c r="C622" s="119">
        <v>1500.0</v>
      </c>
      <c r="D622" s="107"/>
    </row>
    <row r="623">
      <c r="A623" s="107"/>
      <c r="B623" s="105" t="s">
        <v>192</v>
      </c>
      <c r="C623" s="119">
        <v>3500.0</v>
      </c>
      <c r="D623" s="107"/>
    </row>
    <row r="624">
      <c r="A624" s="107"/>
      <c r="B624" s="105" t="s">
        <v>523</v>
      </c>
      <c r="C624" s="119">
        <v>2500.0</v>
      </c>
      <c r="D624" s="107"/>
    </row>
    <row r="625">
      <c r="A625" s="107"/>
      <c r="B625" s="105" t="s">
        <v>524</v>
      </c>
      <c r="C625" s="119">
        <v>2000.0</v>
      </c>
      <c r="D625" s="107"/>
    </row>
    <row r="626">
      <c r="A626" s="107"/>
      <c r="B626" s="105" t="s">
        <v>525</v>
      </c>
      <c r="C626" s="119">
        <v>250.0</v>
      </c>
      <c r="D626" s="107"/>
    </row>
    <row r="627">
      <c r="A627" s="107"/>
      <c r="B627" s="105" t="s">
        <v>459</v>
      </c>
      <c r="C627" s="119">
        <v>250.0</v>
      </c>
      <c r="D627" s="107"/>
    </row>
    <row r="628">
      <c r="A628" s="107"/>
      <c r="B628" s="105" t="s">
        <v>459</v>
      </c>
      <c r="C628" s="119">
        <v>700.0</v>
      </c>
      <c r="D628" s="107"/>
    </row>
    <row r="629">
      <c r="A629" s="107"/>
      <c r="B629" s="105" t="s">
        <v>526</v>
      </c>
      <c r="C629" s="119">
        <v>500.0</v>
      </c>
      <c r="D629" s="107"/>
    </row>
    <row r="630">
      <c r="A630" s="66" t="s">
        <v>327</v>
      </c>
      <c r="B630" s="39"/>
      <c r="C630" s="91">
        <f>SUM(C617:C629)</f>
        <v>28800</v>
      </c>
      <c r="D630" s="68"/>
    </row>
    <row r="633">
      <c r="A633" s="70" t="s">
        <v>232</v>
      </c>
      <c r="B633" s="71" t="s">
        <v>527</v>
      </c>
      <c r="C633" s="34"/>
      <c r="D633" s="39"/>
    </row>
    <row r="634">
      <c r="A634" s="70" t="s">
        <v>9</v>
      </c>
      <c r="B634" s="71" t="s">
        <v>150</v>
      </c>
      <c r="C634" s="34"/>
      <c r="D634" s="39"/>
    </row>
    <row r="635">
      <c r="A635" s="53" t="s">
        <v>10</v>
      </c>
      <c r="B635" s="54" t="s">
        <v>150</v>
      </c>
      <c r="C635" s="5"/>
      <c r="D635" s="6"/>
    </row>
    <row r="636">
      <c r="A636" s="53" t="s">
        <v>234</v>
      </c>
      <c r="B636" s="54" t="s">
        <v>528</v>
      </c>
      <c r="C636" s="5"/>
      <c r="D636" s="6"/>
    </row>
    <row r="637">
      <c r="A637" s="53" t="s">
        <v>236</v>
      </c>
      <c r="B637" s="54" t="s">
        <v>149</v>
      </c>
      <c r="C637" s="5"/>
      <c r="D637" s="6"/>
    </row>
    <row r="638">
      <c r="A638" s="105" t="s">
        <v>148</v>
      </c>
      <c r="B638" s="105" t="s">
        <v>529</v>
      </c>
      <c r="C638" s="119">
        <v>4500.0</v>
      </c>
      <c r="D638" s="107"/>
    </row>
    <row r="639">
      <c r="A639" s="107"/>
      <c r="B639" s="105" t="s">
        <v>448</v>
      </c>
      <c r="C639" s="119">
        <v>500.0</v>
      </c>
      <c r="D639" s="107"/>
    </row>
    <row r="640">
      <c r="A640" s="107"/>
      <c r="B640" s="105" t="s">
        <v>491</v>
      </c>
      <c r="C640" s="119">
        <v>670.0</v>
      </c>
      <c r="D640" s="107"/>
    </row>
    <row r="641">
      <c r="A641" s="107"/>
      <c r="B641" s="105" t="s">
        <v>530</v>
      </c>
      <c r="C641" s="106">
        <f>365+40</f>
        <v>405</v>
      </c>
      <c r="D641" s="107"/>
    </row>
    <row r="642">
      <c r="A642" s="66" t="s">
        <v>327</v>
      </c>
      <c r="B642" s="39"/>
      <c r="C642" s="91">
        <f>SUM(C638:C641)</f>
        <v>6075</v>
      </c>
      <c r="D642" s="68"/>
    </row>
    <row r="643">
      <c r="C643" s="30"/>
    </row>
    <row r="645">
      <c r="A645" s="70" t="s">
        <v>232</v>
      </c>
      <c r="B645" s="71" t="s">
        <v>531</v>
      </c>
      <c r="C645" s="34"/>
      <c r="D645" s="39"/>
    </row>
    <row r="646">
      <c r="A646" s="70" t="s">
        <v>9</v>
      </c>
      <c r="B646" s="71" t="s">
        <v>153</v>
      </c>
      <c r="C646" s="34"/>
      <c r="D646" s="39"/>
    </row>
    <row r="647">
      <c r="A647" s="53" t="s">
        <v>10</v>
      </c>
      <c r="B647" s="54" t="s">
        <v>153</v>
      </c>
      <c r="C647" s="5"/>
      <c r="D647" s="6"/>
    </row>
    <row r="648">
      <c r="A648" s="53" t="s">
        <v>234</v>
      </c>
      <c r="B648" s="54" t="s">
        <v>532</v>
      </c>
      <c r="C648" s="5"/>
      <c r="D648" s="6"/>
    </row>
    <row r="649">
      <c r="A649" s="53" t="s">
        <v>236</v>
      </c>
      <c r="B649" s="54" t="s">
        <v>152</v>
      </c>
      <c r="C649" s="5"/>
      <c r="D649" s="6"/>
    </row>
    <row r="650">
      <c r="A650" s="105" t="s">
        <v>151</v>
      </c>
      <c r="B650" s="105" t="s">
        <v>448</v>
      </c>
      <c r="C650" s="119">
        <v>400.0</v>
      </c>
      <c r="D650" s="107"/>
    </row>
    <row r="651">
      <c r="A651" s="107"/>
      <c r="B651" s="105" t="s">
        <v>533</v>
      </c>
      <c r="C651" s="119">
        <v>250.0</v>
      </c>
      <c r="D651" s="107"/>
    </row>
    <row r="652">
      <c r="A652" s="107"/>
      <c r="B652" s="105" t="s">
        <v>533</v>
      </c>
      <c r="C652" s="119">
        <v>280.0</v>
      </c>
      <c r="D652" s="107"/>
    </row>
    <row r="653">
      <c r="A653" s="107"/>
      <c r="B653" s="105" t="s">
        <v>534</v>
      </c>
      <c r="C653" s="119">
        <v>660.0</v>
      </c>
      <c r="D653" s="107"/>
    </row>
    <row r="654">
      <c r="A654" s="107"/>
      <c r="B654" s="105" t="s">
        <v>535</v>
      </c>
      <c r="C654" s="119">
        <v>2500.0</v>
      </c>
      <c r="D654" s="107"/>
    </row>
    <row r="655">
      <c r="A655" s="66" t="s">
        <v>327</v>
      </c>
      <c r="B655" s="39"/>
      <c r="C655" s="91">
        <f>SUM(C650:C654)</f>
        <v>4090</v>
      </c>
      <c r="D655" s="68"/>
    </row>
    <row r="658">
      <c r="A658" s="70" t="s">
        <v>232</v>
      </c>
      <c r="B658" s="71" t="s">
        <v>531</v>
      </c>
      <c r="C658" s="34"/>
      <c r="D658" s="39"/>
    </row>
    <row r="659">
      <c r="A659" s="70" t="s">
        <v>9</v>
      </c>
      <c r="B659" s="71" t="s">
        <v>155</v>
      </c>
      <c r="C659" s="34"/>
      <c r="D659" s="39"/>
    </row>
    <row r="660">
      <c r="A660" s="53" t="s">
        <v>10</v>
      </c>
      <c r="B660" s="54" t="s">
        <v>155</v>
      </c>
      <c r="C660" s="5"/>
      <c r="D660" s="6"/>
    </row>
    <row r="661">
      <c r="A661" s="53" t="s">
        <v>234</v>
      </c>
      <c r="B661" s="54" t="s">
        <v>536</v>
      </c>
      <c r="C661" s="5"/>
      <c r="D661" s="6"/>
    </row>
    <row r="662">
      <c r="A662" s="53" t="s">
        <v>236</v>
      </c>
      <c r="B662" s="54" t="s">
        <v>154</v>
      </c>
      <c r="C662" s="5"/>
      <c r="D662" s="6"/>
    </row>
    <row r="663">
      <c r="A663" s="105" t="s">
        <v>151</v>
      </c>
      <c r="B663" s="105" t="s">
        <v>526</v>
      </c>
      <c r="C663" s="119">
        <v>300.0</v>
      </c>
      <c r="D663" s="107"/>
    </row>
    <row r="664">
      <c r="A664" s="107"/>
      <c r="B664" s="105" t="s">
        <v>534</v>
      </c>
      <c r="C664" s="119">
        <v>410.0</v>
      </c>
      <c r="D664" s="107"/>
    </row>
    <row r="665">
      <c r="A665" s="107"/>
      <c r="B665" s="105" t="s">
        <v>491</v>
      </c>
      <c r="C665" s="106">
        <f>565+115+40</f>
        <v>720</v>
      </c>
      <c r="D665" s="107"/>
    </row>
    <row r="666">
      <c r="A666" s="107"/>
      <c r="B666" s="105" t="s">
        <v>506</v>
      </c>
      <c r="C666" s="119">
        <v>2000.0</v>
      </c>
      <c r="D666" s="105" t="s">
        <v>500</v>
      </c>
    </row>
    <row r="667">
      <c r="A667" s="107"/>
      <c r="B667" s="105" t="s">
        <v>459</v>
      </c>
      <c r="C667" s="106">
        <f>130+100+100</f>
        <v>330</v>
      </c>
      <c r="D667" s="107"/>
    </row>
    <row r="668">
      <c r="A668" s="66" t="s">
        <v>327</v>
      </c>
      <c r="B668" s="39"/>
      <c r="C668" s="91">
        <f>SUM(C663:C667)</f>
        <v>3760</v>
      </c>
      <c r="D668" s="68"/>
    </row>
    <row r="671">
      <c r="A671" s="70" t="s">
        <v>232</v>
      </c>
      <c r="B671" s="71" t="s">
        <v>537</v>
      </c>
      <c r="C671" s="34"/>
      <c r="D671" s="39"/>
    </row>
    <row r="672">
      <c r="A672" s="70" t="s">
        <v>9</v>
      </c>
      <c r="B672" s="71" t="s">
        <v>158</v>
      </c>
      <c r="C672" s="34"/>
      <c r="D672" s="39"/>
    </row>
    <row r="673">
      <c r="A673" s="53" t="s">
        <v>10</v>
      </c>
      <c r="B673" s="54" t="s">
        <v>158</v>
      </c>
      <c r="C673" s="5"/>
      <c r="D673" s="6"/>
    </row>
    <row r="674">
      <c r="A674" s="53" t="s">
        <v>234</v>
      </c>
      <c r="B674" s="54" t="s">
        <v>538</v>
      </c>
      <c r="C674" s="5"/>
      <c r="D674" s="6"/>
    </row>
    <row r="675">
      <c r="A675" s="53" t="s">
        <v>236</v>
      </c>
      <c r="B675" s="54" t="s">
        <v>539</v>
      </c>
      <c r="C675" s="5"/>
      <c r="D675" s="6"/>
    </row>
    <row r="676">
      <c r="A676" s="105" t="s">
        <v>156</v>
      </c>
      <c r="B676" s="105" t="s">
        <v>459</v>
      </c>
      <c r="C676" s="119">
        <v>400.0</v>
      </c>
      <c r="D676" s="107"/>
    </row>
    <row r="677">
      <c r="A677" s="107"/>
      <c r="B677" s="105" t="s">
        <v>335</v>
      </c>
      <c r="C677" s="106">
        <f>4*1*3000</f>
        <v>12000</v>
      </c>
      <c r="D677" s="105" t="s">
        <v>241</v>
      </c>
    </row>
    <row r="678">
      <c r="A678" s="66" t="s">
        <v>327</v>
      </c>
      <c r="B678" s="39"/>
      <c r="C678" s="91">
        <f>SUM(C673:C677)</f>
        <v>12400</v>
      </c>
      <c r="D678" s="68"/>
    </row>
    <row r="681">
      <c r="A681" s="70" t="s">
        <v>232</v>
      </c>
      <c r="B681" s="71" t="s">
        <v>537</v>
      </c>
      <c r="C681" s="34"/>
      <c r="D681" s="39"/>
    </row>
    <row r="682">
      <c r="A682" s="70" t="s">
        <v>9</v>
      </c>
      <c r="B682" s="71" t="s">
        <v>160</v>
      </c>
      <c r="C682" s="34"/>
      <c r="D682" s="39"/>
    </row>
    <row r="683">
      <c r="A683" s="53" t="s">
        <v>10</v>
      </c>
      <c r="B683" s="54" t="s">
        <v>160</v>
      </c>
      <c r="C683" s="5"/>
      <c r="D683" s="6"/>
    </row>
    <row r="684">
      <c r="A684" s="53" t="s">
        <v>234</v>
      </c>
      <c r="B684" s="54" t="s">
        <v>540</v>
      </c>
      <c r="C684" s="5"/>
      <c r="D684" s="6"/>
    </row>
    <row r="685">
      <c r="A685" s="53" t="s">
        <v>236</v>
      </c>
      <c r="B685" s="126" t="s">
        <v>159</v>
      </c>
      <c r="C685" s="34"/>
      <c r="D685" s="39"/>
    </row>
    <row r="686">
      <c r="A686" s="105" t="s">
        <v>156</v>
      </c>
      <c r="B686" s="105" t="s">
        <v>350</v>
      </c>
      <c r="C686" s="106">
        <f>500+150+500+180</f>
        <v>1330</v>
      </c>
      <c r="D686" s="107"/>
    </row>
    <row r="687">
      <c r="A687" s="107"/>
      <c r="B687" s="105" t="s">
        <v>335</v>
      </c>
      <c r="C687" s="106">
        <f>2*1*3000</f>
        <v>6000</v>
      </c>
      <c r="D687" s="105" t="s">
        <v>541</v>
      </c>
    </row>
    <row r="688">
      <c r="A688" s="66" t="s">
        <v>327</v>
      </c>
      <c r="B688" s="39"/>
      <c r="C688" s="91">
        <f>SUM(C683:C687)</f>
        <v>7330</v>
      </c>
      <c r="D688" s="68"/>
    </row>
    <row r="691">
      <c r="A691" s="70" t="s">
        <v>232</v>
      </c>
      <c r="B691" s="71" t="s">
        <v>542</v>
      </c>
      <c r="C691" s="34"/>
      <c r="D691" s="39"/>
    </row>
    <row r="692">
      <c r="A692" s="70" t="s">
        <v>9</v>
      </c>
      <c r="B692" s="71" t="s">
        <v>165</v>
      </c>
      <c r="C692" s="34"/>
      <c r="D692" s="39"/>
    </row>
    <row r="693">
      <c r="A693" s="53" t="s">
        <v>10</v>
      </c>
      <c r="B693" s="54" t="s">
        <v>165</v>
      </c>
      <c r="C693" s="5"/>
      <c r="D693" s="6"/>
    </row>
    <row r="694">
      <c r="A694" s="53" t="s">
        <v>234</v>
      </c>
      <c r="B694" s="54" t="s">
        <v>543</v>
      </c>
      <c r="C694" s="5"/>
      <c r="D694" s="6"/>
    </row>
    <row r="695">
      <c r="A695" s="53" t="s">
        <v>236</v>
      </c>
      <c r="B695" s="54" t="s">
        <v>539</v>
      </c>
      <c r="C695" s="5"/>
      <c r="D695" s="6"/>
    </row>
    <row r="696">
      <c r="A696" s="105" t="s">
        <v>163</v>
      </c>
      <c r="B696" s="105" t="s">
        <v>459</v>
      </c>
      <c r="C696" s="119">
        <f>1020</f>
        <v>1020</v>
      </c>
      <c r="D696" s="107"/>
    </row>
    <row r="697">
      <c r="A697" s="107"/>
      <c r="B697" s="105" t="s">
        <v>506</v>
      </c>
      <c r="C697" s="106">
        <f>4500+2000</f>
        <v>6500</v>
      </c>
      <c r="D697" s="107"/>
    </row>
    <row r="698">
      <c r="A698" s="107"/>
      <c r="B698" s="105" t="s">
        <v>544</v>
      </c>
      <c r="C698" s="119">
        <v>4500.0</v>
      </c>
      <c r="D698" s="107"/>
    </row>
    <row r="699">
      <c r="A699" s="66" t="s">
        <v>327</v>
      </c>
      <c r="B699" s="39"/>
      <c r="C699" s="91">
        <f>SUM(C696:C698)</f>
        <v>12020</v>
      </c>
      <c r="D699" s="68"/>
    </row>
    <row r="702">
      <c r="A702" s="70" t="s">
        <v>232</v>
      </c>
      <c r="B702" s="71" t="s">
        <v>545</v>
      </c>
      <c r="C702" s="34"/>
      <c r="D702" s="39"/>
    </row>
    <row r="703">
      <c r="A703" s="70" t="s">
        <v>9</v>
      </c>
      <c r="B703" s="71" t="s">
        <v>171</v>
      </c>
      <c r="C703" s="34"/>
      <c r="D703" s="39"/>
    </row>
    <row r="704">
      <c r="A704" s="53" t="s">
        <v>10</v>
      </c>
      <c r="B704" s="54" t="s">
        <v>171</v>
      </c>
      <c r="C704" s="5"/>
      <c r="D704" s="6"/>
    </row>
    <row r="705">
      <c r="A705" s="53" t="s">
        <v>234</v>
      </c>
      <c r="B705" s="54" t="s">
        <v>532</v>
      </c>
      <c r="C705" s="5"/>
      <c r="D705" s="6"/>
    </row>
    <row r="706">
      <c r="A706" s="53" t="s">
        <v>236</v>
      </c>
      <c r="B706" s="54" t="s">
        <v>170</v>
      </c>
      <c r="C706" s="5"/>
      <c r="D706" s="6"/>
    </row>
    <row r="707">
      <c r="A707" s="107"/>
      <c r="B707" s="105" t="s">
        <v>24</v>
      </c>
      <c r="C707" s="106">
        <f t="shared" ref="C707:C708" si="6">2*3000</f>
        <v>6000</v>
      </c>
      <c r="D707" s="107"/>
      <c r="F707" s="41" t="s">
        <v>546</v>
      </c>
    </row>
    <row r="708">
      <c r="A708" s="107"/>
      <c r="B708" s="105" t="s">
        <v>267</v>
      </c>
      <c r="C708" s="106">
        <f t="shared" si="6"/>
        <v>6000</v>
      </c>
      <c r="D708" s="107"/>
      <c r="F708" s="41" t="s">
        <v>547</v>
      </c>
      <c r="G708" s="41">
        <v>1000.0</v>
      </c>
    </row>
    <row r="709">
      <c r="A709" s="107"/>
      <c r="B709" s="105" t="s">
        <v>298</v>
      </c>
      <c r="C709" s="106">
        <f>2*4*3000</f>
        <v>24000</v>
      </c>
      <c r="D709" s="107"/>
      <c r="F709" s="41" t="s">
        <v>548</v>
      </c>
      <c r="G709" s="41">
        <v>1000.0</v>
      </c>
    </row>
    <row r="710">
      <c r="A710" s="107"/>
      <c r="B710" s="105" t="s">
        <v>549</v>
      </c>
      <c r="C710" s="106">
        <f>2*1*2000</f>
        <v>4000</v>
      </c>
      <c r="D710" s="107"/>
      <c r="F710" s="41" t="s">
        <v>550</v>
      </c>
      <c r="G710" s="41">
        <v>1000.0</v>
      </c>
    </row>
    <row r="711">
      <c r="A711" s="107"/>
      <c r="B711" s="105" t="s">
        <v>551</v>
      </c>
      <c r="C711" s="106">
        <f>1*2*1500</f>
        <v>3000</v>
      </c>
      <c r="D711" s="107"/>
      <c r="F711" s="41" t="s">
        <v>552</v>
      </c>
      <c r="G711" s="41">
        <f>5000+2000</f>
        <v>7000</v>
      </c>
    </row>
    <row r="712">
      <c r="A712" s="107"/>
      <c r="B712" s="105" t="s">
        <v>553</v>
      </c>
      <c r="C712" s="119">
        <v>1000.0</v>
      </c>
      <c r="D712" s="105"/>
      <c r="F712" s="41" t="s">
        <v>554</v>
      </c>
      <c r="G712" s="41">
        <v>3100.0</v>
      </c>
    </row>
    <row r="713">
      <c r="A713" s="107"/>
      <c r="B713" s="105" t="s">
        <v>555</v>
      </c>
      <c r="C713" s="119">
        <f>3000+18000+500</f>
        <v>21500</v>
      </c>
      <c r="D713" s="105" t="s">
        <v>556</v>
      </c>
      <c r="G713" s="41">
        <v>34000.0</v>
      </c>
    </row>
    <row r="714">
      <c r="A714" s="107"/>
      <c r="B714" s="105" t="s">
        <v>557</v>
      </c>
      <c r="C714" s="119">
        <f>2*4500</f>
        <v>9000</v>
      </c>
      <c r="D714" s="107"/>
      <c r="G714" s="41">
        <v>1200.0</v>
      </c>
    </row>
    <row r="715">
      <c r="A715" s="107"/>
      <c r="B715" s="105" t="s">
        <v>558</v>
      </c>
      <c r="C715" s="119">
        <v>100.0</v>
      </c>
      <c r="D715" s="107"/>
      <c r="G715" s="41">
        <v>2080.0</v>
      </c>
    </row>
    <row r="716">
      <c r="A716" s="107"/>
      <c r="B716" s="105" t="s">
        <v>559</v>
      </c>
      <c r="C716" s="119">
        <v>500.0</v>
      </c>
      <c r="D716" s="107"/>
    </row>
    <row r="717">
      <c r="A717" s="107"/>
      <c r="B717" s="105" t="s">
        <v>560</v>
      </c>
      <c r="C717" s="119">
        <f>600+150</f>
        <v>750</v>
      </c>
      <c r="D717" s="107"/>
    </row>
    <row r="718">
      <c r="A718" s="107"/>
      <c r="B718" s="105" t="s">
        <v>561</v>
      </c>
      <c r="C718" s="119">
        <v>200.0</v>
      </c>
      <c r="D718" s="107"/>
    </row>
    <row r="719">
      <c r="A719" s="107"/>
      <c r="B719" s="105" t="s">
        <v>562</v>
      </c>
      <c r="C719" s="106">
        <f>950+1205+1000+2250+240+750+2080+300</f>
        <v>8775</v>
      </c>
      <c r="D719" s="107"/>
    </row>
    <row r="720">
      <c r="A720" s="66" t="s">
        <v>327</v>
      </c>
      <c r="B720" s="39"/>
      <c r="C720" s="91">
        <f>SUM(C707:C719)</f>
        <v>84825</v>
      </c>
      <c r="D720" s="68"/>
    </row>
    <row r="721">
      <c r="C721" s="30"/>
    </row>
    <row r="722">
      <c r="C722" s="30"/>
    </row>
    <row r="723">
      <c r="A723" s="70" t="s">
        <v>232</v>
      </c>
      <c r="B723" s="71" t="s">
        <v>563</v>
      </c>
      <c r="C723" s="34"/>
      <c r="D723" s="39"/>
    </row>
    <row r="724">
      <c r="A724" s="70" t="s">
        <v>9</v>
      </c>
      <c r="B724" s="71" t="s">
        <v>174</v>
      </c>
      <c r="C724" s="34"/>
      <c r="D724" s="39"/>
    </row>
    <row r="725">
      <c r="A725" s="53" t="s">
        <v>10</v>
      </c>
      <c r="B725" s="54" t="s">
        <v>174</v>
      </c>
      <c r="C725" s="5"/>
      <c r="D725" s="6"/>
    </row>
    <row r="726">
      <c r="A726" s="53" t="s">
        <v>234</v>
      </c>
      <c r="B726" s="54" t="s">
        <v>564</v>
      </c>
      <c r="C726" s="5"/>
      <c r="D726" s="6"/>
    </row>
    <row r="727">
      <c r="A727" s="53" t="s">
        <v>236</v>
      </c>
      <c r="B727" s="54" t="s">
        <v>565</v>
      </c>
      <c r="C727" s="5"/>
      <c r="D727" s="6"/>
    </row>
    <row r="728">
      <c r="A728" s="105" t="s">
        <v>566</v>
      </c>
      <c r="B728" s="105" t="s">
        <v>567</v>
      </c>
      <c r="C728" s="106">
        <f>450+60</f>
        <v>510</v>
      </c>
      <c r="D728" s="107"/>
    </row>
    <row r="729">
      <c r="A729" s="107"/>
      <c r="B729" s="105" t="s">
        <v>525</v>
      </c>
      <c r="C729" s="106">
        <f>2*150</f>
        <v>300</v>
      </c>
      <c r="D729" s="107"/>
    </row>
    <row r="730">
      <c r="A730" s="105" t="s">
        <v>172</v>
      </c>
      <c r="B730" s="105" t="s">
        <v>567</v>
      </c>
      <c r="C730" s="106">
        <f>690+200</f>
        <v>890</v>
      </c>
      <c r="D730" s="107"/>
    </row>
    <row r="731">
      <c r="A731" s="107"/>
      <c r="B731" s="105" t="s">
        <v>568</v>
      </c>
      <c r="C731" s="106">
        <f>360+450+100</f>
        <v>910</v>
      </c>
      <c r="D731" s="107"/>
    </row>
    <row r="732">
      <c r="A732" s="107"/>
      <c r="B732" s="105" t="s">
        <v>569</v>
      </c>
      <c r="C732" s="106">
        <f>120+50+10+100+200</f>
        <v>480</v>
      </c>
      <c r="D732" s="107"/>
    </row>
    <row r="733">
      <c r="A733" s="107"/>
      <c r="B733" s="105" t="s">
        <v>298</v>
      </c>
      <c r="C733" s="119">
        <v>2500.0</v>
      </c>
      <c r="D733" s="105" t="s">
        <v>570</v>
      </c>
    </row>
    <row r="734">
      <c r="A734" s="107"/>
      <c r="B734" s="105" t="s">
        <v>549</v>
      </c>
      <c r="C734" s="119">
        <v>2000.0</v>
      </c>
      <c r="D734" s="105" t="s">
        <v>241</v>
      </c>
    </row>
    <row r="735">
      <c r="A735" s="66" t="s">
        <v>327</v>
      </c>
      <c r="B735" s="39"/>
      <c r="C735" s="91">
        <f>SUM(C728:C734)</f>
        <v>7590</v>
      </c>
      <c r="D735" s="68"/>
    </row>
    <row r="736">
      <c r="C736" s="30"/>
    </row>
    <row r="738">
      <c r="A738" s="70" t="s">
        <v>232</v>
      </c>
      <c r="B738" s="71" t="s">
        <v>571</v>
      </c>
      <c r="C738" s="34"/>
      <c r="D738" s="39"/>
    </row>
    <row r="739">
      <c r="A739" s="70" t="s">
        <v>9</v>
      </c>
      <c r="B739" s="71" t="s">
        <v>177</v>
      </c>
      <c r="C739" s="34"/>
      <c r="D739" s="39"/>
    </row>
    <row r="740">
      <c r="A740" s="53" t="s">
        <v>10</v>
      </c>
      <c r="B740" s="54" t="s">
        <v>177</v>
      </c>
      <c r="C740" s="5"/>
      <c r="D740" s="6"/>
    </row>
    <row r="741">
      <c r="A741" s="53" t="s">
        <v>234</v>
      </c>
      <c r="B741" s="54" t="s">
        <v>572</v>
      </c>
      <c r="C741" s="5"/>
      <c r="D741" s="6"/>
    </row>
    <row r="742">
      <c r="A742" s="53" t="s">
        <v>236</v>
      </c>
      <c r="B742" s="54" t="s">
        <v>176</v>
      </c>
      <c r="C742" s="5"/>
      <c r="D742" s="6"/>
    </row>
    <row r="743">
      <c r="A743" s="105" t="s">
        <v>573</v>
      </c>
      <c r="B743" s="105" t="s">
        <v>574</v>
      </c>
      <c r="C743" s="106">
        <f>40+40</f>
        <v>80</v>
      </c>
      <c r="D743" s="107"/>
    </row>
    <row r="744">
      <c r="A744" s="107"/>
      <c r="B744" s="105" t="s">
        <v>575</v>
      </c>
      <c r="C744" s="106">
        <f>250+400+60</f>
        <v>710</v>
      </c>
      <c r="D744" s="107"/>
    </row>
    <row r="745">
      <c r="A745" s="107"/>
      <c r="B745" s="105" t="s">
        <v>576</v>
      </c>
      <c r="C745" s="106">
        <f>150+200+50+40+60+150</f>
        <v>650</v>
      </c>
      <c r="D745" s="107"/>
    </row>
    <row r="746">
      <c r="A746" s="107"/>
      <c r="B746" s="105" t="s">
        <v>577</v>
      </c>
      <c r="C746" s="119">
        <v>500.0</v>
      </c>
      <c r="D746" s="107"/>
    </row>
    <row r="747">
      <c r="A747" s="107"/>
      <c r="B747" s="105" t="s">
        <v>578</v>
      </c>
      <c r="C747" s="119">
        <v>900.0</v>
      </c>
      <c r="D747" s="107"/>
    </row>
    <row r="748">
      <c r="A748" s="105" t="s">
        <v>579</v>
      </c>
      <c r="B748" s="105" t="s">
        <v>574</v>
      </c>
      <c r="C748" s="106">
        <f>140</f>
        <v>140</v>
      </c>
      <c r="D748" s="107"/>
    </row>
    <row r="749">
      <c r="A749" s="107"/>
      <c r="B749" s="105" t="s">
        <v>575</v>
      </c>
      <c r="C749" s="106">
        <f>250+350</f>
        <v>600</v>
      </c>
      <c r="D749" s="107"/>
    </row>
    <row r="750">
      <c r="A750" s="107"/>
      <c r="B750" s="105" t="s">
        <v>576</v>
      </c>
      <c r="C750" s="106">
        <f>275+100+20+50+1180</f>
        <v>1625</v>
      </c>
      <c r="D750" s="107"/>
    </row>
    <row r="751">
      <c r="A751" s="107"/>
      <c r="B751" s="105" t="s">
        <v>580</v>
      </c>
      <c r="C751" s="119">
        <f>500+100+100</f>
        <v>700</v>
      </c>
      <c r="D751" s="107"/>
    </row>
    <row r="752">
      <c r="A752" s="105" t="s">
        <v>581</v>
      </c>
      <c r="B752" s="105" t="s">
        <v>574</v>
      </c>
      <c r="C752" s="119">
        <v>40.0</v>
      </c>
      <c r="D752" s="107"/>
    </row>
    <row r="753">
      <c r="A753" s="107"/>
      <c r="B753" s="105" t="s">
        <v>575</v>
      </c>
      <c r="C753" s="106">
        <f>250+560+50</f>
        <v>860</v>
      </c>
      <c r="D753" s="107"/>
    </row>
    <row r="754">
      <c r="A754" s="107"/>
      <c r="B754" s="105" t="s">
        <v>576</v>
      </c>
      <c r="C754" s="106">
        <f>320+330+160+150</f>
        <v>960</v>
      </c>
      <c r="D754" s="107"/>
    </row>
    <row r="755">
      <c r="A755" s="107"/>
      <c r="B755" s="105" t="s">
        <v>582</v>
      </c>
      <c r="C755" s="119">
        <v>80.0</v>
      </c>
      <c r="D755" s="107"/>
    </row>
    <row r="756">
      <c r="A756" s="105" t="s">
        <v>175</v>
      </c>
      <c r="B756" s="105" t="s">
        <v>574</v>
      </c>
      <c r="C756" s="106">
        <f>40+200+100</f>
        <v>340</v>
      </c>
      <c r="D756" s="107"/>
    </row>
    <row r="757">
      <c r="A757" s="107"/>
      <c r="B757" s="105" t="s">
        <v>468</v>
      </c>
      <c r="C757" s="106">
        <f>180*4</f>
        <v>720</v>
      </c>
      <c r="D757" s="107"/>
    </row>
    <row r="758">
      <c r="A758" s="107"/>
      <c r="B758" s="105" t="s">
        <v>575</v>
      </c>
      <c r="C758" s="106">
        <f>250+500</f>
        <v>750</v>
      </c>
      <c r="D758" s="107"/>
    </row>
    <row r="759">
      <c r="A759" s="107"/>
      <c r="B759" s="105" t="s">
        <v>576</v>
      </c>
      <c r="C759" s="106">
        <f>280+600+100+150</f>
        <v>1130</v>
      </c>
      <c r="D759" s="107"/>
    </row>
    <row r="760">
      <c r="A760" s="107"/>
      <c r="B760" s="105" t="s">
        <v>583</v>
      </c>
      <c r="C760" s="119">
        <v>2500.0</v>
      </c>
      <c r="D760" s="107"/>
    </row>
    <row r="761">
      <c r="A761" s="107"/>
      <c r="B761" s="105" t="s">
        <v>584</v>
      </c>
      <c r="C761" s="119">
        <v>600.0</v>
      </c>
      <c r="D761" s="107"/>
    </row>
    <row r="762">
      <c r="A762" s="107"/>
      <c r="B762" s="105" t="s">
        <v>585</v>
      </c>
      <c r="C762" s="119">
        <v>1000.0</v>
      </c>
      <c r="D762" s="107"/>
    </row>
    <row r="763">
      <c r="A763" s="66" t="s">
        <v>327</v>
      </c>
      <c r="B763" s="39"/>
      <c r="C763" s="91">
        <f>SUM(C743:C762)</f>
        <v>14885</v>
      </c>
      <c r="D763" s="68"/>
    </row>
    <row r="766">
      <c r="A766" s="70" t="s">
        <v>232</v>
      </c>
      <c r="B766" s="71" t="s">
        <v>586</v>
      </c>
      <c r="C766" s="34"/>
      <c r="D766" s="39"/>
    </row>
    <row r="767">
      <c r="A767" s="70" t="s">
        <v>9</v>
      </c>
      <c r="B767" s="71" t="s">
        <v>180</v>
      </c>
      <c r="C767" s="34"/>
      <c r="D767" s="39"/>
    </row>
    <row r="768">
      <c r="A768" s="53" t="s">
        <v>10</v>
      </c>
      <c r="B768" s="54" t="s">
        <v>180</v>
      </c>
      <c r="C768" s="5"/>
      <c r="D768" s="6"/>
    </row>
    <row r="769">
      <c r="A769" s="53" t="s">
        <v>234</v>
      </c>
      <c r="B769" s="54" t="s">
        <v>532</v>
      </c>
      <c r="C769" s="5"/>
      <c r="D769" s="6"/>
    </row>
    <row r="770">
      <c r="A770" s="53" t="s">
        <v>236</v>
      </c>
      <c r="B770" s="54" t="s">
        <v>179</v>
      </c>
      <c r="C770" s="5"/>
      <c r="D770" s="6"/>
    </row>
    <row r="771">
      <c r="A771" s="107"/>
      <c r="B771" s="105" t="s">
        <v>587</v>
      </c>
      <c r="C771" s="106">
        <f>250+250</f>
        <v>500</v>
      </c>
      <c r="D771" s="107"/>
    </row>
    <row r="772">
      <c r="A772" s="107"/>
      <c r="B772" s="105" t="s">
        <v>468</v>
      </c>
      <c r="C772" s="119">
        <v>200.0</v>
      </c>
      <c r="D772" s="107"/>
    </row>
    <row r="773">
      <c r="A773" s="107"/>
      <c r="B773" s="105" t="s">
        <v>575</v>
      </c>
      <c r="C773" s="119">
        <v>1080.0</v>
      </c>
      <c r="D773" s="107"/>
    </row>
    <row r="774">
      <c r="A774" s="107"/>
      <c r="B774" s="105" t="s">
        <v>588</v>
      </c>
      <c r="C774" s="106">
        <f>100+530+200+300+300+80+200</f>
        <v>1710</v>
      </c>
      <c r="D774" s="107"/>
    </row>
    <row r="775">
      <c r="A775" s="107"/>
      <c r="B775" s="105" t="s">
        <v>298</v>
      </c>
      <c r="C775" s="106">
        <f>2*2000</f>
        <v>4000</v>
      </c>
      <c r="D775" s="105" t="s">
        <v>241</v>
      </c>
    </row>
    <row r="776">
      <c r="A776" s="107"/>
      <c r="B776" s="105" t="s">
        <v>549</v>
      </c>
      <c r="C776" s="119">
        <v>2000.0</v>
      </c>
      <c r="D776" s="105" t="s">
        <v>241</v>
      </c>
    </row>
    <row r="777">
      <c r="A777" s="66" t="s">
        <v>327</v>
      </c>
      <c r="B777" s="39"/>
      <c r="C777" s="91">
        <f>SUM(C771:C776)</f>
        <v>9490</v>
      </c>
      <c r="D777" s="68"/>
    </row>
    <row r="778">
      <c r="C778" s="30"/>
    </row>
    <row r="779">
      <c r="C779" s="30"/>
    </row>
    <row r="780">
      <c r="A780" s="70" t="s">
        <v>232</v>
      </c>
      <c r="B780" s="71" t="s">
        <v>589</v>
      </c>
      <c r="C780" s="34"/>
      <c r="D780" s="39"/>
    </row>
    <row r="781">
      <c r="A781" s="70" t="s">
        <v>9</v>
      </c>
      <c r="B781" s="71" t="s">
        <v>183</v>
      </c>
      <c r="C781" s="34"/>
      <c r="D781" s="39"/>
    </row>
    <row r="782">
      <c r="A782" s="53" t="s">
        <v>10</v>
      </c>
      <c r="B782" s="54" t="s">
        <v>183</v>
      </c>
      <c r="C782" s="5"/>
      <c r="D782" s="6"/>
    </row>
    <row r="783">
      <c r="A783" s="53" t="s">
        <v>234</v>
      </c>
      <c r="B783" s="54" t="s">
        <v>590</v>
      </c>
      <c r="C783" s="5"/>
      <c r="D783" s="6"/>
    </row>
    <row r="784">
      <c r="A784" s="53" t="s">
        <v>236</v>
      </c>
      <c r="B784" s="54" t="s">
        <v>182</v>
      </c>
      <c r="C784" s="5"/>
      <c r="D784" s="6"/>
    </row>
    <row r="785">
      <c r="A785" s="127" t="s">
        <v>591</v>
      </c>
      <c r="B785" s="99" t="s">
        <v>592</v>
      </c>
      <c r="C785" s="128">
        <f>100+170+100+640+480+1050+220</f>
        <v>2760</v>
      </c>
      <c r="D785" s="98"/>
    </row>
    <row r="786">
      <c r="A786" s="127" t="s">
        <v>181</v>
      </c>
      <c r="B786" s="99" t="s">
        <v>593</v>
      </c>
      <c r="C786" s="128">
        <f>200</f>
        <v>200</v>
      </c>
      <c r="D786" s="98"/>
    </row>
    <row r="787">
      <c r="A787" s="127" t="s">
        <v>594</v>
      </c>
      <c r="B787" s="99" t="s">
        <v>593</v>
      </c>
      <c r="C787" s="129">
        <v>400.0</v>
      </c>
      <c r="D787" s="98"/>
    </row>
    <row r="788">
      <c r="A788" s="130"/>
      <c r="B788" s="99" t="s">
        <v>298</v>
      </c>
      <c r="C788" s="128">
        <f>4*2*3000</f>
        <v>24000</v>
      </c>
      <c r="D788" s="98"/>
    </row>
    <row r="789">
      <c r="A789" s="130"/>
      <c r="B789" s="99" t="s">
        <v>549</v>
      </c>
      <c r="C789" s="128">
        <f>2*2000*1+2000</f>
        <v>6000</v>
      </c>
      <c r="D789" s="98"/>
    </row>
    <row r="790">
      <c r="A790" s="130"/>
      <c r="B790" s="99" t="s">
        <v>289</v>
      </c>
      <c r="C790" s="128">
        <f>2*1500</f>
        <v>3000</v>
      </c>
      <c r="D790" s="98"/>
    </row>
    <row r="791">
      <c r="A791" s="130"/>
      <c r="B791" s="99" t="s">
        <v>411</v>
      </c>
      <c r="C791" s="129">
        <v>6000.0</v>
      </c>
      <c r="D791" s="98"/>
    </row>
    <row r="792">
      <c r="A792" s="130"/>
      <c r="B792" s="99" t="s">
        <v>557</v>
      </c>
      <c r="C792" s="129">
        <v>14000.0</v>
      </c>
      <c r="D792" s="99" t="s">
        <v>595</v>
      </c>
    </row>
    <row r="793">
      <c r="A793" s="130"/>
      <c r="B793" s="99" t="s">
        <v>596</v>
      </c>
      <c r="C793" s="129">
        <v>7500.0</v>
      </c>
      <c r="D793" s="99" t="s">
        <v>597</v>
      </c>
    </row>
    <row r="794">
      <c r="A794" s="131"/>
      <c r="B794" s="132" t="s">
        <v>598</v>
      </c>
      <c r="C794" s="133">
        <f>1000+300</f>
        <v>1300</v>
      </c>
      <c r="D794" s="134"/>
    </row>
    <row r="795">
      <c r="A795" s="66" t="s">
        <v>327</v>
      </c>
      <c r="B795" s="39"/>
      <c r="C795" s="91">
        <f>SUM(C785:C794)</f>
        <v>65160</v>
      </c>
      <c r="D795" s="68"/>
    </row>
    <row r="796">
      <c r="A796" s="135"/>
      <c r="B796" s="120"/>
      <c r="C796" s="136"/>
      <c r="D796" s="120"/>
    </row>
    <row r="797">
      <c r="A797" s="135"/>
      <c r="B797" s="120"/>
      <c r="C797" s="136"/>
      <c r="D797" s="120"/>
    </row>
    <row r="798">
      <c r="A798" s="70" t="s">
        <v>232</v>
      </c>
      <c r="B798" s="137" t="s">
        <v>599</v>
      </c>
      <c r="C798" s="34"/>
      <c r="D798" s="39"/>
    </row>
    <row r="799">
      <c r="A799" s="53" t="s">
        <v>9</v>
      </c>
      <c r="B799" s="54" t="s">
        <v>185</v>
      </c>
      <c r="C799" s="5"/>
      <c r="D799" s="6"/>
    </row>
    <row r="800">
      <c r="A800" s="53" t="s">
        <v>10</v>
      </c>
      <c r="B800" s="54" t="s">
        <v>185</v>
      </c>
      <c r="C800" s="5"/>
      <c r="D800" s="6"/>
    </row>
    <row r="801">
      <c r="A801" s="53" t="s">
        <v>234</v>
      </c>
      <c r="B801" s="54" t="s">
        <v>600</v>
      </c>
      <c r="C801" s="5"/>
      <c r="D801" s="6"/>
    </row>
    <row r="802">
      <c r="A802" s="53" t="s">
        <v>236</v>
      </c>
      <c r="B802" s="54" t="s">
        <v>184</v>
      </c>
      <c r="C802" s="5"/>
      <c r="D802" s="6"/>
    </row>
    <row r="803">
      <c r="A803" s="99" t="s">
        <v>181</v>
      </c>
      <c r="B803" s="99" t="s">
        <v>601</v>
      </c>
      <c r="C803" s="128">
        <f>3*2000</f>
        <v>6000</v>
      </c>
      <c r="D803" s="98"/>
    </row>
    <row r="804">
      <c r="A804" s="98"/>
      <c r="B804" s="99" t="s">
        <v>403</v>
      </c>
      <c r="C804" s="129">
        <v>2500.0</v>
      </c>
      <c r="D804" s="98"/>
    </row>
    <row r="805">
      <c r="A805" s="98"/>
      <c r="B805" s="99" t="s">
        <v>522</v>
      </c>
      <c r="C805" s="129">
        <v>1800.0</v>
      </c>
      <c r="D805" s="98"/>
    </row>
    <row r="806">
      <c r="A806" s="98"/>
      <c r="B806" s="99" t="s">
        <v>575</v>
      </c>
      <c r="C806" s="128">
        <f>700+180+500</f>
        <v>1380</v>
      </c>
      <c r="D806" s="98"/>
    </row>
    <row r="807">
      <c r="A807" s="66" t="s">
        <v>327</v>
      </c>
      <c r="B807" s="39"/>
      <c r="C807" s="91">
        <f>SUM(C798:C806)</f>
        <v>11680</v>
      </c>
      <c r="D807" s="68"/>
    </row>
    <row r="808">
      <c r="A808" s="120"/>
      <c r="B808" s="120"/>
      <c r="C808" s="136"/>
      <c r="D808" s="120"/>
    </row>
    <row r="809">
      <c r="A809" s="120"/>
      <c r="B809" s="120"/>
      <c r="C809" s="136"/>
      <c r="D809" s="120"/>
    </row>
    <row r="810">
      <c r="A810" s="70" t="s">
        <v>232</v>
      </c>
      <c r="B810" s="137" t="s">
        <v>599</v>
      </c>
      <c r="C810" s="34"/>
      <c r="D810" s="39"/>
    </row>
    <row r="811">
      <c r="A811" s="53" t="s">
        <v>9</v>
      </c>
      <c r="B811" s="54" t="s">
        <v>185</v>
      </c>
      <c r="C811" s="5"/>
      <c r="D811" s="6"/>
    </row>
    <row r="812">
      <c r="A812" s="53" t="s">
        <v>10</v>
      </c>
      <c r="B812" s="54" t="s">
        <v>185</v>
      </c>
      <c r="C812" s="5"/>
      <c r="D812" s="6"/>
    </row>
    <row r="813">
      <c r="A813" s="53" t="s">
        <v>234</v>
      </c>
      <c r="B813" s="54" t="s">
        <v>602</v>
      </c>
      <c r="C813" s="5"/>
      <c r="D813" s="6"/>
    </row>
    <row r="814">
      <c r="A814" s="53" t="s">
        <v>236</v>
      </c>
      <c r="B814" s="54" t="s">
        <v>184</v>
      </c>
      <c r="C814" s="5"/>
      <c r="D814" s="6"/>
    </row>
    <row r="815">
      <c r="A815" s="99"/>
      <c r="B815" s="99" t="s">
        <v>290</v>
      </c>
      <c r="C815" s="128">
        <f>2*4*3000</f>
        <v>24000</v>
      </c>
      <c r="D815" s="98"/>
    </row>
    <row r="816">
      <c r="A816" s="98"/>
      <c r="B816" s="99" t="s">
        <v>549</v>
      </c>
      <c r="C816" s="128">
        <f>2*2*2000</f>
        <v>8000</v>
      </c>
      <c r="D816" s="98"/>
    </row>
    <row r="817">
      <c r="A817" s="98"/>
      <c r="B817" s="99" t="s">
        <v>603</v>
      </c>
      <c r="C817" s="128">
        <f>150+40+60+400+80+80+40+300</f>
        <v>1150</v>
      </c>
      <c r="D817" s="98"/>
    </row>
    <row r="818">
      <c r="A818" s="98"/>
      <c r="B818" s="99" t="s">
        <v>366</v>
      </c>
      <c r="C818" s="128">
        <f>1680+570+50+200</f>
        <v>2500</v>
      </c>
      <c r="D818" s="98"/>
    </row>
    <row r="819">
      <c r="A819" s="66" t="s">
        <v>327</v>
      </c>
      <c r="B819" s="39"/>
      <c r="C819" s="91">
        <f>SUM(C815:C818)</f>
        <v>35650</v>
      </c>
      <c r="D819" s="68"/>
    </row>
    <row r="820">
      <c r="A820" s="120"/>
      <c r="B820" s="120"/>
      <c r="C820" s="120"/>
      <c r="D820" s="120"/>
    </row>
    <row r="821">
      <c r="A821" s="120"/>
      <c r="B821" s="120"/>
      <c r="C821" s="120"/>
      <c r="D821" s="120"/>
    </row>
    <row r="822">
      <c r="A822" s="120"/>
      <c r="B822" s="120"/>
      <c r="C822" s="120"/>
      <c r="D822" s="120"/>
    </row>
    <row r="823">
      <c r="A823" s="120"/>
      <c r="B823" s="120"/>
      <c r="C823" s="120"/>
      <c r="D823" s="120"/>
    </row>
    <row r="824">
      <c r="A824" s="120"/>
      <c r="B824" s="120"/>
      <c r="C824" s="120"/>
      <c r="D824" s="120"/>
    </row>
    <row r="825">
      <c r="A825" s="120"/>
      <c r="B825" s="120"/>
      <c r="C825" s="120"/>
      <c r="D825" s="120"/>
    </row>
    <row r="826">
      <c r="A826" s="120"/>
      <c r="B826" s="120"/>
      <c r="C826" s="120"/>
      <c r="D826" s="120"/>
    </row>
    <row r="827">
      <c r="A827" s="120"/>
      <c r="B827" s="120"/>
      <c r="C827" s="120"/>
      <c r="D827" s="120"/>
    </row>
    <row r="828">
      <c r="A828" s="120"/>
      <c r="B828" s="120"/>
      <c r="C828" s="120"/>
      <c r="D828" s="120"/>
    </row>
    <row r="829">
      <c r="A829" s="120"/>
      <c r="B829" s="120"/>
      <c r="C829" s="120"/>
      <c r="D829" s="120"/>
      <c r="I829" s="41" t="s">
        <v>604</v>
      </c>
      <c r="J829" s="41">
        <v>5000.0</v>
      </c>
    </row>
    <row r="830">
      <c r="A830" s="120"/>
      <c r="B830" s="120"/>
      <c r="C830" s="120"/>
      <c r="D830" s="120"/>
      <c r="I830" s="41" t="s">
        <v>605</v>
      </c>
      <c r="J830" s="41">
        <v>1000.0</v>
      </c>
    </row>
    <row r="831">
      <c r="A831" s="120"/>
      <c r="B831" s="120"/>
      <c r="C831" s="120"/>
      <c r="D831" s="120"/>
      <c r="I831" s="41" t="s">
        <v>606</v>
      </c>
      <c r="J831" s="41">
        <v>1000.0</v>
      </c>
    </row>
    <row r="832">
      <c r="A832" s="120"/>
      <c r="B832" s="120"/>
      <c r="C832" s="120"/>
      <c r="D832" s="120"/>
      <c r="I832" s="41" t="s">
        <v>607</v>
      </c>
      <c r="J832" s="41">
        <v>1000.0</v>
      </c>
    </row>
    <row r="833">
      <c r="A833" s="120"/>
      <c r="B833" s="120"/>
      <c r="C833" s="120"/>
      <c r="D833" s="120"/>
      <c r="I833" s="41" t="s">
        <v>608</v>
      </c>
      <c r="J833" s="41">
        <v>120.0</v>
      </c>
    </row>
    <row r="834">
      <c r="A834" s="120"/>
      <c r="B834" s="120"/>
      <c r="C834" s="120"/>
      <c r="D834" s="120"/>
      <c r="I834" s="41" t="s">
        <v>609</v>
      </c>
      <c r="J834" s="41">
        <v>2550.0</v>
      </c>
    </row>
    <row r="835">
      <c r="A835" s="120"/>
      <c r="B835" s="120"/>
      <c r="C835" s="120"/>
      <c r="D835" s="120"/>
      <c r="I835" s="41" t="s">
        <v>610</v>
      </c>
      <c r="J835" s="41">
        <v>500.0</v>
      </c>
    </row>
    <row r="836">
      <c r="A836" s="120"/>
      <c r="B836" s="120"/>
      <c r="C836" s="120"/>
      <c r="D836" s="120"/>
      <c r="I836" s="41" t="s">
        <v>611</v>
      </c>
      <c r="J836" s="41">
        <v>1000.0</v>
      </c>
    </row>
    <row r="837">
      <c r="A837" s="120"/>
      <c r="B837" s="120"/>
      <c r="C837" s="120"/>
      <c r="D837" s="120"/>
      <c r="J837" s="138">
        <f>SUM(J829:J836)</f>
        <v>12170</v>
      </c>
    </row>
    <row r="838">
      <c r="A838" s="120"/>
      <c r="B838" s="120"/>
      <c r="C838" s="120"/>
      <c r="D838" s="120"/>
      <c r="I838" s="41" t="s">
        <v>612</v>
      </c>
      <c r="J838" s="41">
        <v>9500.0</v>
      </c>
    </row>
    <row r="839">
      <c r="A839" s="120"/>
      <c r="B839" s="120"/>
      <c r="C839" s="120"/>
      <c r="D839" s="120"/>
      <c r="J839" s="138">
        <f>SUM(J837:J838)</f>
        <v>21670</v>
      </c>
    </row>
    <row r="840">
      <c r="A840" s="120"/>
      <c r="B840" s="120"/>
      <c r="C840" s="120"/>
      <c r="D840" s="120"/>
    </row>
    <row r="841">
      <c r="A841" s="120"/>
      <c r="B841" s="120"/>
      <c r="C841" s="120"/>
      <c r="D841" s="120"/>
      <c r="J841" s="138">
        <f>25000-J839</f>
        <v>3330</v>
      </c>
    </row>
    <row r="842">
      <c r="A842" s="120"/>
      <c r="B842" s="120"/>
      <c r="C842" s="120"/>
      <c r="D842" s="120"/>
    </row>
    <row r="843">
      <c r="A843" s="120"/>
      <c r="B843" s="120"/>
      <c r="C843" s="120"/>
      <c r="D843" s="120"/>
    </row>
    <row r="844">
      <c r="A844" s="120"/>
      <c r="B844" s="120"/>
      <c r="C844" s="120"/>
      <c r="D844" s="120"/>
    </row>
    <row r="845">
      <c r="A845" s="120"/>
      <c r="B845" s="120"/>
      <c r="C845" s="120"/>
      <c r="D845" s="120"/>
      <c r="K845" s="41">
        <v>165000.0</v>
      </c>
    </row>
    <row r="846">
      <c r="A846" s="120"/>
      <c r="B846" s="120"/>
      <c r="C846" s="120"/>
      <c r="D846" s="120"/>
      <c r="K846" s="41">
        <v>160535.0</v>
      </c>
    </row>
    <row r="847">
      <c r="A847" s="120"/>
      <c r="B847" s="120"/>
      <c r="C847" s="120"/>
      <c r="D847" s="120"/>
      <c r="K847" s="138">
        <f>K845-K846</f>
        <v>4465</v>
      </c>
    </row>
    <row r="848">
      <c r="A848" s="120"/>
      <c r="B848" s="120"/>
      <c r="C848" s="120"/>
      <c r="D848" s="120"/>
      <c r="K848" s="41">
        <v>3330.0</v>
      </c>
    </row>
    <row r="849">
      <c r="A849" s="120"/>
      <c r="B849" s="120"/>
      <c r="C849" s="120"/>
      <c r="D849" s="120"/>
      <c r="K849" s="138">
        <f>K847-K848</f>
        <v>1135</v>
      </c>
    </row>
    <row r="850">
      <c r="A850" s="120"/>
      <c r="B850" s="120"/>
      <c r="C850" s="120"/>
      <c r="D850" s="120"/>
    </row>
    <row r="851">
      <c r="A851" s="120"/>
      <c r="B851" s="120"/>
      <c r="C851" s="120"/>
      <c r="D851" s="120"/>
    </row>
  </sheetData>
  <mergeCells count="261">
    <mergeCell ref="B405:D405"/>
    <mergeCell ref="B406:D406"/>
    <mergeCell ref="B407:D407"/>
    <mergeCell ref="B408:D408"/>
    <mergeCell ref="B409:D409"/>
    <mergeCell ref="A410:D410"/>
    <mergeCell ref="B443:D443"/>
    <mergeCell ref="B444:D444"/>
    <mergeCell ref="B445:D445"/>
    <mergeCell ref="B446:D446"/>
    <mergeCell ref="B447:D447"/>
    <mergeCell ref="A448:D448"/>
    <mergeCell ref="B542:D542"/>
    <mergeCell ref="B543:D543"/>
    <mergeCell ref="B150:D150"/>
    <mergeCell ref="B151:D151"/>
    <mergeCell ref="B152:D152"/>
    <mergeCell ref="B153:D153"/>
    <mergeCell ref="B154:D154"/>
    <mergeCell ref="A155:D155"/>
    <mergeCell ref="A163:B163"/>
    <mergeCell ref="B166:D166"/>
    <mergeCell ref="B167:D167"/>
    <mergeCell ref="B168:D168"/>
    <mergeCell ref="B169:D169"/>
    <mergeCell ref="B170:D170"/>
    <mergeCell ref="A171:D171"/>
    <mergeCell ref="A178:B178"/>
    <mergeCell ref="B181:D181"/>
    <mergeCell ref="B182:D182"/>
    <mergeCell ref="B183:D183"/>
    <mergeCell ref="B184:D184"/>
    <mergeCell ref="B185:D185"/>
    <mergeCell ref="A186:D186"/>
    <mergeCell ref="A198:B198"/>
    <mergeCell ref="B201:D201"/>
    <mergeCell ref="B202:D202"/>
    <mergeCell ref="B203:D203"/>
    <mergeCell ref="B204:D204"/>
    <mergeCell ref="B205:D205"/>
    <mergeCell ref="A206:D206"/>
    <mergeCell ref="A218:B218"/>
    <mergeCell ref="B221:D221"/>
    <mergeCell ref="B222:D222"/>
    <mergeCell ref="B223:D223"/>
    <mergeCell ref="B224:D224"/>
    <mergeCell ref="B225:D225"/>
    <mergeCell ref="A226:D226"/>
    <mergeCell ref="A231:B231"/>
    <mergeCell ref="B234:D234"/>
    <mergeCell ref="B235:D235"/>
    <mergeCell ref="B236:D236"/>
    <mergeCell ref="B237:D237"/>
    <mergeCell ref="B238:D238"/>
    <mergeCell ref="A239:D239"/>
    <mergeCell ref="A244:B244"/>
    <mergeCell ref="A573:B573"/>
    <mergeCell ref="A609:B609"/>
    <mergeCell ref="B612:D612"/>
    <mergeCell ref="B613:D613"/>
    <mergeCell ref="B614:D614"/>
    <mergeCell ref="B615:D615"/>
    <mergeCell ref="B616:D616"/>
    <mergeCell ref="A5:D5"/>
    <mergeCell ref="A6:D6"/>
    <mergeCell ref="A7:D7"/>
    <mergeCell ref="A8:D8"/>
    <mergeCell ref="A9:D9"/>
    <mergeCell ref="A10:D10"/>
    <mergeCell ref="A11:D11"/>
    <mergeCell ref="B12:D12"/>
    <mergeCell ref="B13:D13"/>
    <mergeCell ref="B14:D14"/>
    <mergeCell ref="B15:D15"/>
    <mergeCell ref="B16:D16"/>
    <mergeCell ref="A17:D17"/>
    <mergeCell ref="A23:B23"/>
    <mergeCell ref="B26:D26"/>
    <mergeCell ref="B27:D27"/>
    <mergeCell ref="B28:D28"/>
    <mergeCell ref="B29:D29"/>
    <mergeCell ref="B30:D30"/>
    <mergeCell ref="A31:D31"/>
    <mergeCell ref="A56:B56"/>
    <mergeCell ref="B59:D59"/>
    <mergeCell ref="B60:D60"/>
    <mergeCell ref="B61:D61"/>
    <mergeCell ref="B62:D62"/>
    <mergeCell ref="B63:D63"/>
    <mergeCell ref="A64:D64"/>
    <mergeCell ref="A82:B82"/>
    <mergeCell ref="B85:D85"/>
    <mergeCell ref="B86:D86"/>
    <mergeCell ref="B87:D87"/>
    <mergeCell ref="B88:D88"/>
    <mergeCell ref="B89:D89"/>
    <mergeCell ref="A90:D90"/>
    <mergeCell ref="A96:B96"/>
    <mergeCell ref="B99:D99"/>
    <mergeCell ref="B100:D100"/>
    <mergeCell ref="B101:D101"/>
    <mergeCell ref="B102:D102"/>
    <mergeCell ref="B103:D103"/>
    <mergeCell ref="A104:D104"/>
    <mergeCell ref="A109:B109"/>
    <mergeCell ref="B112:D112"/>
    <mergeCell ref="B113:D113"/>
    <mergeCell ref="B114:D114"/>
    <mergeCell ref="B115:D115"/>
    <mergeCell ref="B116:D116"/>
    <mergeCell ref="A117:D117"/>
    <mergeCell ref="A141:B141"/>
    <mergeCell ref="B247:D247"/>
    <mergeCell ref="B248:D248"/>
    <mergeCell ref="B249:D249"/>
    <mergeCell ref="B250:D250"/>
    <mergeCell ref="B251:D251"/>
    <mergeCell ref="A252:D252"/>
    <mergeCell ref="A257:B257"/>
    <mergeCell ref="B260:D260"/>
    <mergeCell ref="B261:D261"/>
    <mergeCell ref="B262:D262"/>
    <mergeCell ref="B263:D263"/>
    <mergeCell ref="B264:D264"/>
    <mergeCell ref="A265:D265"/>
    <mergeCell ref="A270:B270"/>
    <mergeCell ref="B273:D273"/>
    <mergeCell ref="B274:D274"/>
    <mergeCell ref="B275:D275"/>
    <mergeCell ref="B276:D276"/>
    <mergeCell ref="B277:D277"/>
    <mergeCell ref="A278:D278"/>
    <mergeCell ref="A290:B290"/>
    <mergeCell ref="B293:D293"/>
    <mergeCell ref="B294:D294"/>
    <mergeCell ref="B295:D295"/>
    <mergeCell ref="B296:D296"/>
    <mergeCell ref="B297:D297"/>
    <mergeCell ref="A298:D298"/>
    <mergeCell ref="A304:B304"/>
    <mergeCell ref="B307:D307"/>
    <mergeCell ref="B308:D308"/>
    <mergeCell ref="B309:D309"/>
    <mergeCell ref="B310:D310"/>
    <mergeCell ref="B311:D311"/>
    <mergeCell ref="A312:D312"/>
    <mergeCell ref="A317:B317"/>
    <mergeCell ref="B320:D320"/>
    <mergeCell ref="B321:D321"/>
    <mergeCell ref="B322:D322"/>
    <mergeCell ref="B323:D323"/>
    <mergeCell ref="B324:D324"/>
    <mergeCell ref="A325:D325"/>
    <mergeCell ref="A335:B335"/>
    <mergeCell ref="B338:D338"/>
    <mergeCell ref="B339:D339"/>
    <mergeCell ref="B340:D340"/>
    <mergeCell ref="B341:D341"/>
    <mergeCell ref="B342:D342"/>
    <mergeCell ref="A343:D343"/>
    <mergeCell ref="A389:B389"/>
    <mergeCell ref="B392:D392"/>
    <mergeCell ref="B393:D393"/>
    <mergeCell ref="B394:D394"/>
    <mergeCell ref="B395:D395"/>
    <mergeCell ref="B396:D396"/>
    <mergeCell ref="A397:D397"/>
    <mergeCell ref="A402:B402"/>
    <mergeCell ref="B544:D544"/>
    <mergeCell ref="B545:D545"/>
    <mergeCell ref="B546:D546"/>
    <mergeCell ref="A559:B559"/>
    <mergeCell ref="B562:D562"/>
    <mergeCell ref="B563:D563"/>
    <mergeCell ref="B564:D564"/>
    <mergeCell ref="B565:D565"/>
    <mergeCell ref="B566:D566"/>
    <mergeCell ref="B577:D577"/>
    <mergeCell ref="B578:D578"/>
    <mergeCell ref="B579:D579"/>
    <mergeCell ref="B580:D580"/>
    <mergeCell ref="B581:D581"/>
    <mergeCell ref="B738:D738"/>
    <mergeCell ref="B739:D739"/>
    <mergeCell ref="B740:D740"/>
    <mergeCell ref="B741:D741"/>
    <mergeCell ref="B742:D742"/>
    <mergeCell ref="A763:B763"/>
    <mergeCell ref="B766:D766"/>
    <mergeCell ref="B767:D767"/>
    <mergeCell ref="B768:D768"/>
    <mergeCell ref="B769:D769"/>
    <mergeCell ref="B770:D770"/>
    <mergeCell ref="A777:B777"/>
    <mergeCell ref="B780:D780"/>
    <mergeCell ref="B781:D781"/>
    <mergeCell ref="B782:D782"/>
    <mergeCell ref="B783:D783"/>
    <mergeCell ref="B784:D784"/>
    <mergeCell ref="A795:B795"/>
    <mergeCell ref="B798:D798"/>
    <mergeCell ref="B799:D799"/>
    <mergeCell ref="B800:D800"/>
    <mergeCell ref="B814:D814"/>
    <mergeCell ref="A819:B819"/>
    <mergeCell ref="B801:D801"/>
    <mergeCell ref="B802:D802"/>
    <mergeCell ref="A807:B807"/>
    <mergeCell ref="B810:D810"/>
    <mergeCell ref="B811:D811"/>
    <mergeCell ref="B812:D812"/>
    <mergeCell ref="B813:D813"/>
    <mergeCell ref="A630:B630"/>
    <mergeCell ref="B633:D633"/>
    <mergeCell ref="B634:D634"/>
    <mergeCell ref="B635:D635"/>
    <mergeCell ref="B636:D636"/>
    <mergeCell ref="B637:D637"/>
    <mergeCell ref="A642:B642"/>
    <mergeCell ref="B645:D645"/>
    <mergeCell ref="B646:D646"/>
    <mergeCell ref="B647:D647"/>
    <mergeCell ref="B648:D648"/>
    <mergeCell ref="B649:D649"/>
    <mergeCell ref="A655:B655"/>
    <mergeCell ref="B658:D658"/>
    <mergeCell ref="B659:D659"/>
    <mergeCell ref="B660:D660"/>
    <mergeCell ref="B661:D661"/>
    <mergeCell ref="B662:D662"/>
    <mergeCell ref="A668:B668"/>
    <mergeCell ref="B671:D671"/>
    <mergeCell ref="B672:D672"/>
    <mergeCell ref="B673:D673"/>
    <mergeCell ref="B674:D674"/>
    <mergeCell ref="B675:D675"/>
    <mergeCell ref="A678:B678"/>
    <mergeCell ref="B681:D681"/>
    <mergeCell ref="B682:D682"/>
    <mergeCell ref="B683:D683"/>
    <mergeCell ref="B684:D684"/>
    <mergeCell ref="B685:D685"/>
    <mergeCell ref="A688:B688"/>
    <mergeCell ref="B691:D691"/>
    <mergeCell ref="B692:D692"/>
    <mergeCell ref="B693:D693"/>
    <mergeCell ref="B694:D694"/>
    <mergeCell ref="B695:D695"/>
    <mergeCell ref="A699:B699"/>
    <mergeCell ref="B702:D702"/>
    <mergeCell ref="B703:D703"/>
    <mergeCell ref="B704:D704"/>
    <mergeCell ref="B705:D705"/>
    <mergeCell ref="B706:D706"/>
    <mergeCell ref="A720:B720"/>
    <mergeCell ref="B723:D723"/>
    <mergeCell ref="B724:D724"/>
    <mergeCell ref="B725:D725"/>
    <mergeCell ref="B726:D726"/>
    <mergeCell ref="B727:D727"/>
    <mergeCell ref="A735:B7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75"/>
    <col customWidth="1" min="3" max="3" width="13.25"/>
    <col customWidth="1" min="4" max="4" width="14.0"/>
    <col customWidth="1" min="7" max="7" width="67.25"/>
    <col customWidth="1" min="8" max="8" width="13.25"/>
    <col customWidth="1" min="9" max="9" width="17.75"/>
    <col customWidth="1" min="12" max="12" width="67.25"/>
    <col customWidth="1" min="13" max="13" width="14.38"/>
    <col customWidth="1" min="14" max="14" width="26.75"/>
    <col customWidth="1" min="16" max="16" width="15.5"/>
  </cols>
  <sheetData>
    <row r="5">
      <c r="A5" s="139">
        <v>44927.0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9"/>
    </row>
    <row r="6">
      <c r="A6" s="3"/>
      <c r="B6" s="3"/>
      <c r="C6" s="3"/>
      <c r="D6" s="3"/>
      <c r="E6" s="2"/>
      <c r="F6" s="3"/>
      <c r="G6" s="3"/>
      <c r="H6" s="3"/>
      <c r="I6" s="3"/>
      <c r="J6" s="2"/>
      <c r="K6" s="3"/>
      <c r="L6" s="3"/>
      <c r="M6" s="3"/>
      <c r="N6" s="3"/>
    </row>
    <row r="7" hidden="1">
      <c r="A7" s="140" t="s">
        <v>613</v>
      </c>
      <c r="B7" s="5"/>
      <c r="C7" s="5"/>
      <c r="D7" s="6"/>
      <c r="E7" s="46"/>
      <c r="F7" s="141" t="s">
        <v>614</v>
      </c>
      <c r="G7" s="5"/>
      <c r="H7" s="5"/>
      <c r="I7" s="6"/>
      <c r="J7" s="46"/>
      <c r="K7" s="142" t="s">
        <v>615</v>
      </c>
      <c r="L7" s="5"/>
      <c r="M7" s="5"/>
      <c r="N7" s="6"/>
    </row>
    <row r="8" hidden="1">
      <c r="A8" s="143" t="s">
        <v>7</v>
      </c>
      <c r="B8" s="144" t="s">
        <v>616</v>
      </c>
      <c r="C8" s="144" t="s">
        <v>617</v>
      </c>
      <c r="D8" s="144" t="s">
        <v>618</v>
      </c>
      <c r="E8" s="145"/>
      <c r="F8" s="144" t="s">
        <v>7</v>
      </c>
      <c r="G8" s="144" t="s">
        <v>616</v>
      </c>
      <c r="H8" s="144" t="s">
        <v>617</v>
      </c>
      <c r="I8" s="146" t="s">
        <v>618</v>
      </c>
      <c r="J8" s="147"/>
      <c r="K8" s="144" t="s">
        <v>7</v>
      </c>
      <c r="L8" s="144" t="s">
        <v>616</v>
      </c>
      <c r="M8" s="144" t="s">
        <v>617</v>
      </c>
      <c r="N8" s="144" t="s">
        <v>618</v>
      </c>
      <c r="O8" s="120"/>
    </row>
    <row r="9" hidden="1">
      <c r="A9" s="59" t="s">
        <v>619</v>
      </c>
      <c r="B9" s="59" t="s">
        <v>620</v>
      </c>
      <c r="C9" s="96">
        <v>60000.0</v>
      </c>
      <c r="D9" s="65"/>
      <c r="E9" s="69"/>
      <c r="F9" s="58" t="s">
        <v>621</v>
      </c>
      <c r="G9" s="148" t="s">
        <v>622</v>
      </c>
      <c r="H9" s="149">
        <v>12400.0</v>
      </c>
      <c r="I9" s="148" t="s">
        <v>623</v>
      </c>
      <c r="J9" s="69"/>
      <c r="K9" s="58" t="s">
        <v>624</v>
      </c>
      <c r="L9" s="59" t="s">
        <v>625</v>
      </c>
      <c r="M9" s="150">
        <f>64000-60000</f>
        <v>4000</v>
      </c>
      <c r="N9" s="65"/>
      <c r="O9" s="120"/>
    </row>
    <row r="10" hidden="1">
      <c r="A10" s="59" t="s">
        <v>23</v>
      </c>
      <c r="B10" s="59" t="s">
        <v>27</v>
      </c>
      <c r="C10" s="96">
        <f>90000+30000</f>
        <v>120000</v>
      </c>
      <c r="D10" s="59" t="s">
        <v>28</v>
      </c>
      <c r="E10" s="69"/>
      <c r="F10" s="62"/>
      <c r="G10" s="59" t="s">
        <v>626</v>
      </c>
      <c r="H10" s="97">
        <f>300+300+300+200+200</f>
        <v>1300</v>
      </c>
      <c r="I10" s="65"/>
      <c r="J10" s="69"/>
      <c r="K10" s="58" t="s">
        <v>627</v>
      </c>
      <c r="L10" s="59" t="s">
        <v>628</v>
      </c>
      <c r="M10" s="150">
        <v>22244.0</v>
      </c>
      <c r="N10" s="59">
        <v>21585.0</v>
      </c>
      <c r="O10" s="120"/>
    </row>
    <row r="11" hidden="1">
      <c r="A11" s="59" t="s">
        <v>624</v>
      </c>
      <c r="B11" s="59" t="s">
        <v>24</v>
      </c>
      <c r="C11" s="96">
        <v>48000.0</v>
      </c>
      <c r="D11" s="59" t="s">
        <v>25</v>
      </c>
      <c r="E11" s="69"/>
      <c r="F11" s="62"/>
      <c r="G11" s="59" t="s">
        <v>629</v>
      </c>
      <c r="H11" s="96">
        <v>100.0</v>
      </c>
      <c r="I11" s="59" t="s">
        <v>630</v>
      </c>
      <c r="J11" s="69"/>
      <c r="K11" s="58" t="s">
        <v>621</v>
      </c>
      <c r="L11" s="59" t="s">
        <v>631</v>
      </c>
      <c r="M11" s="150">
        <v>26534.0</v>
      </c>
      <c r="N11" s="65"/>
      <c r="O11" s="120"/>
    </row>
    <row r="12" hidden="1">
      <c r="A12" s="59" t="s">
        <v>627</v>
      </c>
      <c r="B12" s="59" t="s">
        <v>632</v>
      </c>
      <c r="C12" s="96">
        <v>50000.0</v>
      </c>
      <c r="D12" s="65"/>
      <c r="E12" s="69"/>
      <c r="F12" s="62"/>
      <c r="G12" s="59" t="s">
        <v>633</v>
      </c>
      <c r="H12" s="96">
        <v>240.0</v>
      </c>
      <c r="I12" s="65"/>
      <c r="J12" s="69"/>
      <c r="K12" s="151"/>
      <c r="L12" s="34"/>
      <c r="M12" s="34"/>
      <c r="N12" s="39"/>
      <c r="O12" s="120"/>
    </row>
    <row r="13" hidden="1">
      <c r="A13" s="59" t="s">
        <v>634</v>
      </c>
      <c r="B13" s="59" t="s">
        <v>635</v>
      </c>
      <c r="C13" s="96">
        <f>50000+198000</f>
        <v>248000</v>
      </c>
      <c r="D13" s="59" t="s">
        <v>31</v>
      </c>
      <c r="E13" s="69"/>
      <c r="F13" s="62"/>
      <c r="G13" s="59" t="s">
        <v>636</v>
      </c>
      <c r="H13" s="96">
        <v>60.0</v>
      </c>
      <c r="I13" s="59" t="s">
        <v>547</v>
      </c>
      <c r="J13" s="69"/>
      <c r="K13" s="152" t="s">
        <v>637</v>
      </c>
      <c r="L13" s="34"/>
      <c r="M13" s="34"/>
      <c r="N13" s="39"/>
      <c r="O13" s="120"/>
    </row>
    <row r="14" hidden="1">
      <c r="A14" s="59" t="s">
        <v>634</v>
      </c>
      <c r="B14" s="59" t="s">
        <v>638</v>
      </c>
      <c r="C14" s="96">
        <v>50000.0</v>
      </c>
      <c r="D14" s="65"/>
      <c r="E14" s="69"/>
      <c r="F14" s="62"/>
      <c r="G14" s="148" t="s">
        <v>639</v>
      </c>
      <c r="H14" s="149">
        <v>3060.0</v>
      </c>
      <c r="I14" s="148" t="s">
        <v>623</v>
      </c>
      <c r="J14" s="153"/>
      <c r="K14" s="154" t="s">
        <v>232</v>
      </c>
      <c r="L14" s="155" t="s">
        <v>237</v>
      </c>
      <c r="M14" s="155" t="s">
        <v>238</v>
      </c>
      <c r="N14" s="155" t="s">
        <v>239</v>
      </c>
      <c r="O14" s="120"/>
    </row>
    <row r="15" hidden="1">
      <c r="A15" s="59" t="s">
        <v>640</v>
      </c>
      <c r="B15" s="59" t="s">
        <v>641</v>
      </c>
      <c r="C15" s="96">
        <v>40000.0</v>
      </c>
      <c r="D15" s="65"/>
      <c r="E15" s="69"/>
      <c r="F15" s="58" t="s">
        <v>642</v>
      </c>
      <c r="G15" s="59" t="s">
        <v>643</v>
      </c>
      <c r="H15" s="96">
        <v>800.0</v>
      </c>
      <c r="I15" s="65"/>
      <c r="J15" s="69"/>
      <c r="K15" s="156" t="s">
        <v>627</v>
      </c>
      <c r="L15" s="157" t="s">
        <v>644</v>
      </c>
      <c r="M15" s="158">
        <v>49341.0</v>
      </c>
      <c r="N15" s="159" t="s">
        <v>398</v>
      </c>
      <c r="O15" s="120"/>
    </row>
    <row r="16" hidden="1">
      <c r="A16" s="59" t="s">
        <v>645</v>
      </c>
      <c r="B16" s="59" t="s">
        <v>646</v>
      </c>
      <c r="C16" s="96">
        <v>280000.0</v>
      </c>
      <c r="D16" s="65"/>
      <c r="E16" s="69"/>
      <c r="F16" s="62"/>
      <c r="G16" s="59" t="s">
        <v>647</v>
      </c>
      <c r="H16" s="96">
        <v>510.0</v>
      </c>
      <c r="I16" s="65"/>
      <c r="J16" s="69"/>
      <c r="K16" s="156" t="s">
        <v>640</v>
      </c>
      <c r="L16" s="157" t="s">
        <v>648</v>
      </c>
      <c r="M16" s="158">
        <v>40000.0</v>
      </c>
      <c r="N16" s="159" t="s">
        <v>398</v>
      </c>
      <c r="O16" s="120"/>
    </row>
    <row r="17" hidden="1">
      <c r="A17" s="59" t="s">
        <v>649</v>
      </c>
      <c r="B17" s="59" t="s">
        <v>24</v>
      </c>
      <c r="C17" s="96">
        <v>35600.0</v>
      </c>
      <c r="D17" s="59" t="s">
        <v>33</v>
      </c>
      <c r="E17" s="69"/>
      <c r="F17" s="62"/>
      <c r="G17" s="59" t="s">
        <v>650</v>
      </c>
      <c r="H17" s="96">
        <v>220.0</v>
      </c>
      <c r="I17" s="65"/>
      <c r="J17" s="69"/>
      <c r="K17" s="156" t="s">
        <v>624</v>
      </c>
      <c r="L17" s="157" t="s">
        <v>651</v>
      </c>
      <c r="M17" s="158">
        <v>16780.0</v>
      </c>
      <c r="N17" s="159" t="s">
        <v>398</v>
      </c>
      <c r="O17" s="120"/>
    </row>
    <row r="18" hidden="1">
      <c r="A18" s="59" t="s">
        <v>34</v>
      </c>
      <c r="B18" s="59" t="s">
        <v>635</v>
      </c>
      <c r="C18" s="96">
        <v>45000.0</v>
      </c>
      <c r="D18" s="59" t="s">
        <v>35</v>
      </c>
      <c r="E18" s="69"/>
      <c r="F18" s="62"/>
      <c r="G18" s="59" t="s">
        <v>652</v>
      </c>
      <c r="H18" s="96">
        <v>100.0</v>
      </c>
      <c r="I18" s="65"/>
      <c r="J18" s="69"/>
      <c r="K18" s="156" t="s">
        <v>624</v>
      </c>
      <c r="L18" s="157" t="s">
        <v>653</v>
      </c>
      <c r="M18" s="158">
        <v>24300.0</v>
      </c>
      <c r="N18" s="159" t="s">
        <v>398</v>
      </c>
      <c r="O18" s="120"/>
    </row>
    <row r="19" hidden="1">
      <c r="A19" s="59" t="s">
        <v>36</v>
      </c>
      <c r="B19" s="59" t="s">
        <v>654</v>
      </c>
      <c r="C19" s="96">
        <v>8000.0</v>
      </c>
      <c r="D19" s="59" t="s">
        <v>38</v>
      </c>
      <c r="E19" s="69"/>
      <c r="F19" s="62"/>
      <c r="G19" s="59" t="s">
        <v>655</v>
      </c>
      <c r="H19" s="96">
        <v>170.0</v>
      </c>
      <c r="I19" s="65"/>
      <c r="J19" s="69"/>
      <c r="K19" s="156" t="s">
        <v>624</v>
      </c>
      <c r="L19" s="157" t="s">
        <v>656</v>
      </c>
      <c r="M19" s="158">
        <v>7800.0</v>
      </c>
      <c r="N19" s="159" t="s">
        <v>398</v>
      </c>
      <c r="O19" s="120"/>
    </row>
    <row r="20" hidden="1">
      <c r="A20" s="59" t="s">
        <v>36</v>
      </c>
      <c r="B20" s="59" t="s">
        <v>657</v>
      </c>
      <c r="C20" s="96">
        <v>30000.0</v>
      </c>
      <c r="D20" s="65"/>
      <c r="E20" s="69"/>
      <c r="F20" s="58" t="s">
        <v>658</v>
      </c>
      <c r="G20" s="59" t="s">
        <v>659</v>
      </c>
      <c r="H20" s="96">
        <v>480.0</v>
      </c>
      <c r="I20" s="65"/>
      <c r="J20" s="69"/>
      <c r="K20" s="156" t="s">
        <v>624</v>
      </c>
      <c r="L20" s="157" t="s">
        <v>660</v>
      </c>
      <c r="M20" s="158">
        <v>7565.0</v>
      </c>
      <c r="N20" s="159" t="s">
        <v>398</v>
      </c>
      <c r="O20" s="120"/>
    </row>
    <row r="21" hidden="1">
      <c r="A21" s="59" t="s">
        <v>661</v>
      </c>
      <c r="B21" s="59" t="s">
        <v>662</v>
      </c>
      <c r="C21" s="96">
        <v>127500.0</v>
      </c>
      <c r="D21" s="59" t="s">
        <v>663</v>
      </c>
      <c r="E21" s="69"/>
      <c r="F21" s="62"/>
      <c r="G21" s="59" t="s">
        <v>664</v>
      </c>
      <c r="H21" s="96">
        <v>1050.0</v>
      </c>
      <c r="I21" s="65"/>
      <c r="J21" s="69"/>
      <c r="K21" s="156" t="s">
        <v>634</v>
      </c>
      <c r="L21" s="157" t="s">
        <v>665</v>
      </c>
      <c r="M21" s="158">
        <f>12100-2000</f>
        <v>10100</v>
      </c>
      <c r="N21" s="159" t="s">
        <v>398</v>
      </c>
      <c r="O21" s="120"/>
    </row>
    <row r="22" hidden="1">
      <c r="A22" s="66" t="s">
        <v>666</v>
      </c>
      <c r="B22" s="39"/>
      <c r="C22" s="90">
        <f>SUM(C9:C21)</f>
        <v>1142100</v>
      </c>
      <c r="D22" s="160"/>
      <c r="E22" s="69"/>
      <c r="F22" s="62"/>
      <c r="G22" s="59" t="s">
        <v>647</v>
      </c>
      <c r="H22" s="96">
        <v>110.0</v>
      </c>
      <c r="I22" s="65"/>
      <c r="J22" s="69"/>
      <c r="K22" s="156" t="s">
        <v>634</v>
      </c>
      <c r="L22" s="157" t="s">
        <v>667</v>
      </c>
      <c r="M22" s="158">
        <v>16500.0</v>
      </c>
      <c r="N22" s="159" t="s">
        <v>398</v>
      </c>
      <c r="O22" s="120"/>
    </row>
    <row r="23" hidden="1">
      <c r="A23" s="69"/>
      <c r="B23" s="69"/>
      <c r="C23" s="100"/>
      <c r="D23" s="69"/>
      <c r="E23" s="69"/>
      <c r="F23" s="62"/>
      <c r="G23" s="59" t="s">
        <v>668</v>
      </c>
      <c r="H23" s="96">
        <v>400.0</v>
      </c>
      <c r="I23" s="59" t="s">
        <v>669</v>
      </c>
      <c r="J23" s="69"/>
      <c r="K23" s="156" t="s">
        <v>670</v>
      </c>
      <c r="L23" s="157" t="s">
        <v>671</v>
      </c>
      <c r="M23" s="158">
        <v>1600.0</v>
      </c>
      <c r="N23" s="159" t="s">
        <v>398</v>
      </c>
      <c r="O23" s="120"/>
    </row>
    <row r="24" hidden="1">
      <c r="A24" s="69"/>
      <c r="B24" s="69"/>
      <c r="C24" s="100"/>
      <c r="D24" s="69"/>
      <c r="E24" s="69"/>
      <c r="F24" s="62"/>
      <c r="G24" s="59" t="s">
        <v>672</v>
      </c>
      <c r="H24" s="96">
        <v>310.0</v>
      </c>
      <c r="I24" s="59" t="s">
        <v>673</v>
      </c>
      <c r="J24" s="69"/>
      <c r="K24" s="156" t="s">
        <v>674</v>
      </c>
      <c r="L24" s="157" t="s">
        <v>675</v>
      </c>
      <c r="M24" s="161">
        <v>120.0</v>
      </c>
      <c r="N24" s="159" t="s">
        <v>398</v>
      </c>
      <c r="O24" s="120"/>
    </row>
    <row r="25" hidden="1">
      <c r="A25" s="69"/>
      <c r="B25" s="69"/>
      <c r="C25" s="100"/>
      <c r="D25" s="69"/>
      <c r="E25" s="69"/>
      <c r="F25" s="62"/>
      <c r="G25" s="59" t="s">
        <v>676</v>
      </c>
      <c r="H25" s="96">
        <v>100.0</v>
      </c>
      <c r="I25" s="65"/>
      <c r="J25" s="69"/>
      <c r="K25" s="156" t="s">
        <v>36</v>
      </c>
      <c r="L25" s="157" t="s">
        <v>677</v>
      </c>
      <c r="M25" s="158">
        <f>1000+2500</f>
        <v>3500</v>
      </c>
      <c r="N25" s="159" t="s">
        <v>398</v>
      </c>
      <c r="O25" s="120"/>
    </row>
    <row r="26" hidden="1">
      <c r="A26" s="69"/>
      <c r="B26" s="69"/>
      <c r="C26" s="100"/>
      <c r="D26" s="69"/>
      <c r="E26" s="69"/>
      <c r="F26" s="58" t="s">
        <v>678</v>
      </c>
      <c r="G26" s="59" t="s">
        <v>679</v>
      </c>
      <c r="H26" s="97">
        <f>150+150+100</f>
        <v>400</v>
      </c>
      <c r="I26" s="59" t="s">
        <v>383</v>
      </c>
      <c r="J26" s="69"/>
      <c r="K26" s="156"/>
      <c r="L26" s="157" t="s">
        <v>647</v>
      </c>
      <c r="M26" s="158">
        <v>6000.0</v>
      </c>
      <c r="N26" s="162"/>
      <c r="O26" s="120"/>
    </row>
    <row r="27" hidden="1">
      <c r="A27" s="69"/>
      <c r="B27" s="69"/>
      <c r="C27" s="100"/>
      <c r="D27" s="69"/>
      <c r="E27" s="69"/>
      <c r="F27" s="62"/>
      <c r="G27" s="59" t="s">
        <v>680</v>
      </c>
      <c r="H27" s="96">
        <v>300.0</v>
      </c>
      <c r="I27" s="65"/>
      <c r="J27" s="69"/>
      <c r="K27" s="163" t="s">
        <v>681</v>
      </c>
      <c r="L27" s="39"/>
      <c r="M27" s="158">
        <v>183186.0</v>
      </c>
      <c r="N27" s="164"/>
      <c r="O27" s="120"/>
    </row>
    <row r="28" hidden="1">
      <c r="A28" s="69"/>
      <c r="B28" s="69"/>
      <c r="C28" s="100"/>
      <c r="D28" s="69"/>
      <c r="E28" s="69"/>
      <c r="F28" s="62"/>
      <c r="G28" s="59" t="s">
        <v>647</v>
      </c>
      <c r="H28" s="96">
        <v>180.0</v>
      </c>
      <c r="I28" s="65"/>
      <c r="J28" s="69"/>
      <c r="K28" s="151"/>
      <c r="L28" s="34"/>
      <c r="M28" s="34"/>
      <c r="N28" s="39"/>
      <c r="O28" s="120"/>
    </row>
    <row r="29" hidden="1">
      <c r="A29" s="69"/>
      <c r="B29" s="69"/>
      <c r="C29" s="100"/>
      <c r="D29" s="69"/>
      <c r="E29" s="69"/>
      <c r="F29" s="58" t="s">
        <v>682</v>
      </c>
      <c r="G29" s="59" t="s">
        <v>683</v>
      </c>
      <c r="H29" s="96">
        <v>350.0</v>
      </c>
      <c r="I29" s="65"/>
      <c r="J29" s="69"/>
      <c r="K29" s="152" t="s">
        <v>684</v>
      </c>
      <c r="L29" s="34"/>
      <c r="M29" s="34"/>
      <c r="N29" s="39"/>
      <c r="O29" s="120"/>
    </row>
    <row r="30" hidden="1">
      <c r="A30" s="69"/>
      <c r="B30" s="69"/>
      <c r="C30" s="100"/>
      <c r="D30" s="69"/>
      <c r="E30" s="69"/>
      <c r="F30" s="62"/>
      <c r="G30" s="59" t="s">
        <v>685</v>
      </c>
      <c r="H30" s="165">
        <v>1000.0</v>
      </c>
      <c r="I30" s="65"/>
      <c r="J30" s="69"/>
      <c r="K30" s="154" t="s">
        <v>7</v>
      </c>
      <c r="L30" s="155" t="s">
        <v>686</v>
      </c>
      <c r="M30" s="155" t="s">
        <v>238</v>
      </c>
      <c r="N30" s="155" t="s">
        <v>239</v>
      </c>
      <c r="O30" s="120"/>
    </row>
    <row r="31" hidden="1">
      <c r="A31" s="69"/>
      <c r="B31" s="69"/>
      <c r="C31" s="100"/>
      <c r="D31" s="69"/>
      <c r="E31" s="69"/>
      <c r="F31" s="62"/>
      <c r="G31" s="59" t="s">
        <v>647</v>
      </c>
      <c r="H31" s="96">
        <v>40.0</v>
      </c>
      <c r="I31" s="65"/>
      <c r="J31" s="69"/>
      <c r="K31" s="166" t="s">
        <v>36</v>
      </c>
      <c r="L31" s="167" t="s">
        <v>687</v>
      </c>
      <c r="M31" s="168">
        <f>60000-20000</f>
        <v>40000</v>
      </c>
      <c r="N31" s="164"/>
      <c r="O31" s="120"/>
    </row>
    <row r="32" hidden="1">
      <c r="A32" s="69"/>
      <c r="B32" s="69"/>
      <c r="C32" s="100"/>
      <c r="D32" s="69"/>
      <c r="E32" s="69"/>
      <c r="F32" s="62"/>
      <c r="G32" s="59" t="s">
        <v>688</v>
      </c>
      <c r="H32" s="96">
        <v>60.0</v>
      </c>
      <c r="I32" s="59" t="s">
        <v>689</v>
      </c>
      <c r="J32" s="69"/>
      <c r="K32" s="166"/>
      <c r="L32" s="167" t="s">
        <v>690</v>
      </c>
      <c r="M32" s="168">
        <v>85000.0</v>
      </c>
      <c r="N32" s="164"/>
      <c r="O32" s="120"/>
    </row>
    <row r="33" hidden="1">
      <c r="A33" s="69"/>
      <c r="B33" s="69"/>
      <c r="C33" s="100"/>
      <c r="D33" s="69"/>
      <c r="E33" s="69"/>
      <c r="F33" s="58" t="s">
        <v>691</v>
      </c>
      <c r="G33" s="169" t="s">
        <v>692</v>
      </c>
      <c r="H33" s="170">
        <f>420+8500+5000</f>
        <v>13920</v>
      </c>
      <c r="I33" s="65"/>
      <c r="J33" s="69"/>
      <c r="K33" s="166" t="s">
        <v>640</v>
      </c>
      <c r="L33" s="157" t="s">
        <v>693</v>
      </c>
      <c r="M33" s="168">
        <f>188000-57600</f>
        <v>130400</v>
      </c>
      <c r="N33" s="157" t="s">
        <v>694</v>
      </c>
      <c r="O33" s="120"/>
    </row>
    <row r="34" hidden="1">
      <c r="A34" s="69"/>
      <c r="B34" s="69"/>
      <c r="C34" s="100"/>
      <c r="D34" s="69"/>
      <c r="E34" s="69"/>
      <c r="F34" s="62"/>
      <c r="G34" s="169" t="s">
        <v>695</v>
      </c>
      <c r="H34" s="170">
        <f>86060+20000+9600</f>
        <v>115660</v>
      </c>
      <c r="I34" s="65"/>
      <c r="J34" s="69"/>
      <c r="K34" s="166"/>
      <c r="L34" s="157" t="s">
        <v>696</v>
      </c>
      <c r="M34" s="158">
        <v>30000.0</v>
      </c>
      <c r="N34" s="157"/>
      <c r="O34" s="120"/>
    </row>
    <row r="35" hidden="1">
      <c r="A35" s="69"/>
      <c r="B35" s="69"/>
      <c r="C35" s="100"/>
      <c r="D35" s="69"/>
      <c r="E35" s="69"/>
      <c r="F35" s="62"/>
      <c r="G35" s="64" t="s">
        <v>697</v>
      </c>
      <c r="H35" s="82">
        <f>10000+10000+13000</f>
        <v>33000</v>
      </c>
      <c r="I35" s="64"/>
      <c r="J35" s="69"/>
      <c r="K35" s="166"/>
      <c r="L35" s="157" t="s">
        <v>698</v>
      </c>
      <c r="M35" s="158">
        <v>45000.0</v>
      </c>
      <c r="N35" s="157"/>
      <c r="O35" s="120"/>
    </row>
    <row r="36" hidden="1">
      <c r="A36" s="69"/>
      <c r="B36" s="69"/>
      <c r="C36" s="100"/>
      <c r="D36" s="69"/>
      <c r="E36" s="69"/>
      <c r="F36" s="62"/>
      <c r="G36" s="59" t="s">
        <v>647</v>
      </c>
      <c r="H36" s="96">
        <v>240.0</v>
      </c>
      <c r="I36" s="65"/>
      <c r="J36" s="69"/>
      <c r="K36" s="166"/>
      <c r="L36" s="157" t="s">
        <v>699</v>
      </c>
      <c r="M36" s="158">
        <f>105000-105000</f>
        <v>0</v>
      </c>
      <c r="N36" s="164"/>
      <c r="O36" s="120"/>
    </row>
    <row r="37" hidden="1">
      <c r="A37" s="69"/>
      <c r="B37" s="69"/>
      <c r="C37" s="100"/>
      <c r="D37" s="69"/>
      <c r="E37" s="69"/>
      <c r="F37" s="58" t="s">
        <v>700</v>
      </c>
      <c r="G37" s="59" t="s">
        <v>647</v>
      </c>
      <c r="H37" s="96">
        <f>140+150+100</f>
        <v>390</v>
      </c>
      <c r="I37" s="65"/>
      <c r="J37" s="69"/>
      <c r="K37" s="166"/>
      <c r="L37" s="171" t="s">
        <v>696</v>
      </c>
      <c r="M37" s="172">
        <v>50000.0</v>
      </c>
      <c r="N37" s="173"/>
      <c r="O37" s="120"/>
    </row>
    <row r="38" hidden="1">
      <c r="A38" s="69"/>
      <c r="B38" s="69"/>
      <c r="C38" s="100"/>
      <c r="D38" s="69"/>
      <c r="E38" s="69"/>
      <c r="F38" s="62"/>
      <c r="G38" s="59" t="s">
        <v>701</v>
      </c>
      <c r="H38" s="96">
        <v>400.0</v>
      </c>
      <c r="I38" s="65"/>
      <c r="J38" s="69"/>
      <c r="K38" s="174" t="s">
        <v>702</v>
      </c>
      <c r="L38" s="39"/>
      <c r="M38" s="158">
        <f>SUM(M31:M37)</f>
        <v>380400</v>
      </c>
      <c r="N38" s="164"/>
      <c r="O38" s="120"/>
    </row>
    <row r="39" hidden="1">
      <c r="A39" s="69"/>
      <c r="B39" s="69"/>
      <c r="C39" s="100"/>
      <c r="D39" s="69"/>
      <c r="E39" s="69"/>
      <c r="F39" s="62"/>
      <c r="G39" s="59" t="s">
        <v>703</v>
      </c>
      <c r="H39" s="96">
        <v>3100.0</v>
      </c>
      <c r="I39" s="59"/>
      <c r="J39" s="69"/>
      <c r="K39" s="69"/>
      <c r="L39" s="69"/>
      <c r="M39" s="175"/>
      <c r="N39" s="69"/>
      <c r="O39" s="120"/>
    </row>
    <row r="40" hidden="1">
      <c r="A40" s="69"/>
      <c r="B40" s="69"/>
      <c r="C40" s="100"/>
      <c r="D40" s="69"/>
      <c r="E40" s="69"/>
      <c r="F40" s="58" t="s">
        <v>624</v>
      </c>
      <c r="G40" s="59" t="s">
        <v>704</v>
      </c>
      <c r="H40" s="96">
        <v>2250.0</v>
      </c>
      <c r="I40" s="65"/>
      <c r="J40" s="69"/>
      <c r="K40" s="152" t="s">
        <v>705</v>
      </c>
      <c r="L40" s="34"/>
      <c r="M40" s="34"/>
      <c r="N40" s="39"/>
      <c r="O40" s="120"/>
    </row>
    <row r="41" hidden="1">
      <c r="A41" s="69"/>
      <c r="B41" s="69"/>
      <c r="C41" s="100"/>
      <c r="D41" s="69"/>
      <c r="E41" s="69"/>
      <c r="F41" s="62"/>
      <c r="G41" s="59" t="s">
        <v>706</v>
      </c>
      <c r="H41" s="96">
        <v>100.0</v>
      </c>
      <c r="I41" s="65"/>
      <c r="J41" s="69"/>
      <c r="K41" s="176" t="s">
        <v>232</v>
      </c>
      <c r="L41" s="177" t="s">
        <v>686</v>
      </c>
      <c r="M41" s="177" t="s">
        <v>238</v>
      </c>
      <c r="N41" s="177" t="s">
        <v>239</v>
      </c>
      <c r="O41" s="120"/>
    </row>
    <row r="42" hidden="1">
      <c r="A42" s="69"/>
      <c r="B42" s="69"/>
      <c r="C42" s="100"/>
      <c r="D42" s="69"/>
      <c r="E42" s="69"/>
      <c r="F42" s="62"/>
      <c r="G42" s="59" t="s">
        <v>647</v>
      </c>
      <c r="H42" s="82">
        <f>60+170+100</f>
        <v>330</v>
      </c>
      <c r="I42" s="65"/>
      <c r="J42" s="69"/>
      <c r="K42" s="166" t="s">
        <v>634</v>
      </c>
      <c r="L42" s="167" t="s">
        <v>638</v>
      </c>
      <c r="M42" s="168">
        <f>154500-50000</f>
        <v>104500</v>
      </c>
      <c r="N42" s="178"/>
      <c r="O42" s="120"/>
    </row>
    <row r="43" hidden="1">
      <c r="A43" s="69"/>
      <c r="B43" s="69"/>
      <c r="C43" s="100"/>
      <c r="D43" s="69"/>
      <c r="E43" s="69"/>
      <c r="F43" s="62"/>
      <c r="G43" s="179" t="s">
        <v>651</v>
      </c>
      <c r="H43" s="180">
        <v>16780.0</v>
      </c>
      <c r="I43" s="65"/>
      <c r="J43" s="69"/>
      <c r="K43" s="166" t="s">
        <v>627</v>
      </c>
      <c r="L43" s="167" t="s">
        <v>646</v>
      </c>
      <c r="M43" s="168">
        <f>280000-280000</f>
        <v>0</v>
      </c>
      <c r="N43" s="178"/>
      <c r="O43" s="120"/>
    </row>
    <row r="44" hidden="1">
      <c r="A44" s="69"/>
      <c r="B44" s="69"/>
      <c r="C44" s="100"/>
      <c r="D44" s="69"/>
      <c r="E44" s="69"/>
      <c r="F44" s="62"/>
      <c r="G44" s="179" t="s">
        <v>653</v>
      </c>
      <c r="H44" s="180">
        <v>24300.0</v>
      </c>
      <c r="I44" s="65"/>
      <c r="J44" s="69"/>
      <c r="K44" s="166" t="s">
        <v>624</v>
      </c>
      <c r="L44" s="157" t="s">
        <v>641</v>
      </c>
      <c r="M44" s="168">
        <f>132500-92500-40000</f>
        <v>0</v>
      </c>
      <c r="N44" s="178"/>
      <c r="O44" s="120"/>
    </row>
    <row r="45" hidden="1">
      <c r="A45" s="69"/>
      <c r="B45" s="69"/>
      <c r="C45" s="100"/>
      <c r="D45" s="69"/>
      <c r="E45" s="69"/>
      <c r="F45" s="62"/>
      <c r="G45" s="179" t="s">
        <v>656</v>
      </c>
      <c r="H45" s="180">
        <v>7800.0</v>
      </c>
      <c r="I45" s="65"/>
      <c r="J45" s="69"/>
      <c r="K45" s="166"/>
      <c r="L45" s="157" t="s">
        <v>707</v>
      </c>
      <c r="M45" s="158">
        <v>61050.0</v>
      </c>
      <c r="N45" s="178"/>
      <c r="O45" s="120"/>
    </row>
    <row r="46" hidden="1">
      <c r="A46" s="69"/>
      <c r="B46" s="69"/>
      <c r="C46" s="100"/>
      <c r="D46" s="69"/>
      <c r="E46" s="69"/>
      <c r="F46" s="62"/>
      <c r="G46" s="179" t="s">
        <v>660</v>
      </c>
      <c r="H46" s="180">
        <v>7565.0</v>
      </c>
      <c r="I46" s="65"/>
      <c r="J46" s="69"/>
      <c r="K46" s="166"/>
      <c r="L46" s="157" t="s">
        <v>189</v>
      </c>
      <c r="M46" s="158">
        <v>759900.0</v>
      </c>
      <c r="N46" s="178"/>
      <c r="O46" s="120"/>
    </row>
    <row r="47" hidden="1">
      <c r="A47" s="69"/>
      <c r="B47" s="69"/>
      <c r="C47" s="100"/>
      <c r="D47" s="69"/>
      <c r="E47" s="69"/>
      <c r="F47" s="62"/>
      <c r="G47" s="59" t="s">
        <v>708</v>
      </c>
      <c r="H47" s="97">
        <f>500+110+140+100</f>
        <v>850</v>
      </c>
      <c r="I47" s="65"/>
      <c r="J47" s="69"/>
      <c r="K47" s="166" t="s">
        <v>34</v>
      </c>
      <c r="L47" s="157" t="s">
        <v>709</v>
      </c>
      <c r="M47" s="158">
        <f>50000-30000</f>
        <v>20000</v>
      </c>
      <c r="N47" s="178"/>
      <c r="O47" s="120"/>
    </row>
    <row r="48" hidden="1">
      <c r="A48" s="69"/>
      <c r="B48" s="69"/>
      <c r="C48" s="100"/>
      <c r="D48" s="69"/>
      <c r="E48" s="69"/>
      <c r="F48" s="58" t="s">
        <v>710</v>
      </c>
      <c r="G48" s="59" t="s">
        <v>647</v>
      </c>
      <c r="H48" s="97">
        <f>120+100+140+120</f>
        <v>480</v>
      </c>
      <c r="I48" s="65"/>
      <c r="J48" s="69"/>
      <c r="K48" s="166"/>
      <c r="L48" s="157" t="s">
        <v>22</v>
      </c>
      <c r="M48" s="158">
        <v>63000.0</v>
      </c>
      <c r="N48" s="178"/>
      <c r="O48" s="120"/>
    </row>
    <row r="49" hidden="1">
      <c r="A49" s="69"/>
      <c r="B49" s="69"/>
      <c r="C49" s="100"/>
      <c r="D49" s="69"/>
      <c r="E49" s="69"/>
      <c r="F49" s="62"/>
      <c r="G49" s="59" t="s">
        <v>711</v>
      </c>
      <c r="H49" s="96">
        <v>470.0</v>
      </c>
      <c r="I49" s="65"/>
      <c r="J49" s="69"/>
      <c r="K49" s="174" t="s">
        <v>712</v>
      </c>
      <c r="L49" s="39"/>
      <c r="M49" s="158">
        <f>SUM(M42:M48)</f>
        <v>1008450</v>
      </c>
      <c r="N49" s="181"/>
      <c r="O49" s="120"/>
    </row>
    <row r="50" hidden="1">
      <c r="A50" s="69"/>
      <c r="B50" s="69"/>
      <c r="C50" s="100"/>
      <c r="D50" s="69"/>
      <c r="E50" s="69"/>
      <c r="F50" s="58" t="s">
        <v>713</v>
      </c>
      <c r="G50" s="59" t="s">
        <v>714</v>
      </c>
      <c r="H50" s="97">
        <f>40+50+60</f>
        <v>150</v>
      </c>
      <c r="I50" s="65"/>
      <c r="J50" s="69"/>
      <c r="K50" s="69"/>
      <c r="L50" s="69"/>
      <c r="M50" s="175"/>
      <c r="N50" s="69"/>
      <c r="O50" s="120"/>
    </row>
    <row r="51" hidden="1">
      <c r="A51" s="69"/>
      <c r="B51" s="69"/>
      <c r="C51" s="100"/>
      <c r="D51" s="69"/>
      <c r="E51" s="69"/>
      <c r="F51" s="62"/>
      <c r="G51" s="59" t="s">
        <v>715</v>
      </c>
      <c r="H51" s="96">
        <v>49341.0</v>
      </c>
      <c r="I51" s="65"/>
      <c r="J51" s="69"/>
      <c r="K51" s="69"/>
      <c r="L51" s="69"/>
      <c r="M51" s="175"/>
      <c r="N51" s="69"/>
      <c r="O51" s="120"/>
    </row>
    <row r="52" hidden="1">
      <c r="A52" s="69"/>
      <c r="B52" s="69"/>
      <c r="C52" s="100"/>
      <c r="D52" s="69"/>
      <c r="E52" s="153"/>
      <c r="F52" s="62"/>
      <c r="G52" s="59" t="s">
        <v>647</v>
      </c>
      <c r="H52" s="97">
        <f>90+410</f>
        <v>500</v>
      </c>
      <c r="I52" s="65"/>
      <c r="J52" s="69"/>
      <c r="K52" s="69"/>
      <c r="L52" s="69"/>
      <c r="M52" s="175"/>
      <c r="N52" s="69"/>
      <c r="O52" s="120"/>
    </row>
    <row r="53" hidden="1">
      <c r="A53" s="69"/>
      <c r="B53" s="69"/>
      <c r="C53" s="100"/>
      <c r="D53" s="69"/>
      <c r="E53" s="69"/>
      <c r="F53" s="58" t="s">
        <v>634</v>
      </c>
      <c r="G53" s="59" t="s">
        <v>716</v>
      </c>
      <c r="H53" s="97">
        <f>1400*9</f>
        <v>12600</v>
      </c>
      <c r="I53" s="65"/>
      <c r="J53" s="69"/>
      <c r="K53" s="69"/>
      <c r="L53" s="69"/>
      <c r="M53" s="175"/>
      <c r="N53" s="69"/>
      <c r="O53" s="120"/>
    </row>
    <row r="54" hidden="1">
      <c r="A54" s="69"/>
      <c r="B54" s="69"/>
      <c r="C54" s="100"/>
      <c r="D54" s="69"/>
      <c r="E54" s="69"/>
      <c r="F54" s="62"/>
      <c r="G54" s="59" t="s">
        <v>717</v>
      </c>
      <c r="H54" s="96">
        <v>250.0</v>
      </c>
      <c r="I54" s="65"/>
      <c r="J54" s="69"/>
      <c r="K54" s="69"/>
      <c r="L54" s="69"/>
      <c r="M54" s="175"/>
      <c r="N54" s="69"/>
      <c r="O54" s="120"/>
    </row>
    <row r="55" hidden="1">
      <c r="A55" s="69"/>
      <c r="B55" s="69"/>
      <c r="C55" s="100"/>
      <c r="D55" s="69"/>
      <c r="E55" s="69"/>
      <c r="F55" s="62"/>
      <c r="G55" s="59" t="s">
        <v>350</v>
      </c>
      <c r="H55" s="96">
        <v>120.0</v>
      </c>
      <c r="I55" s="65"/>
      <c r="J55" s="69"/>
      <c r="K55" s="69"/>
      <c r="L55" s="69"/>
      <c r="M55" s="175"/>
      <c r="N55" s="69"/>
      <c r="O55" s="120"/>
    </row>
    <row r="56" hidden="1">
      <c r="A56" s="69"/>
      <c r="B56" s="69"/>
      <c r="C56" s="100"/>
      <c r="D56" s="69"/>
      <c r="E56" s="69"/>
      <c r="F56" s="62"/>
      <c r="G56" s="179" t="s">
        <v>665</v>
      </c>
      <c r="H56" s="180">
        <v>10100.0</v>
      </c>
      <c r="I56" s="65"/>
      <c r="J56" s="69"/>
      <c r="K56" s="69"/>
      <c r="L56" s="69"/>
      <c r="M56" s="175"/>
      <c r="N56" s="69"/>
      <c r="O56" s="120"/>
    </row>
    <row r="57" hidden="1">
      <c r="A57" s="69"/>
      <c r="B57" s="69"/>
      <c r="C57" s="100"/>
      <c r="D57" s="69"/>
      <c r="E57" s="69"/>
      <c r="F57" s="62"/>
      <c r="G57" s="179" t="s">
        <v>667</v>
      </c>
      <c r="H57" s="180">
        <v>16500.0</v>
      </c>
      <c r="I57" s="65"/>
      <c r="J57" s="69"/>
      <c r="K57" s="69"/>
      <c r="L57" s="69"/>
      <c r="M57" s="175"/>
      <c r="N57" s="69"/>
      <c r="O57" s="120"/>
    </row>
    <row r="58" hidden="1">
      <c r="A58" s="69"/>
      <c r="B58" s="69"/>
      <c r="C58" s="100"/>
      <c r="D58" s="69"/>
      <c r="E58" s="69"/>
      <c r="F58" s="62"/>
      <c r="G58" s="59" t="s">
        <v>472</v>
      </c>
      <c r="H58" s="96">
        <v>900.0</v>
      </c>
      <c r="I58" s="65"/>
      <c r="J58" s="69"/>
      <c r="K58" s="69"/>
      <c r="L58" s="69"/>
      <c r="M58" s="175"/>
      <c r="N58" s="69"/>
      <c r="O58" s="120"/>
    </row>
    <row r="59" hidden="1">
      <c r="A59" s="69"/>
      <c r="B59" s="69"/>
      <c r="C59" s="100"/>
      <c r="D59" s="69"/>
      <c r="E59" s="69"/>
      <c r="F59" s="62"/>
      <c r="G59" s="59" t="s">
        <v>647</v>
      </c>
      <c r="H59" s="97">
        <f>160+90+30+100</f>
        <v>380</v>
      </c>
      <c r="I59" s="65"/>
      <c r="J59" s="69"/>
      <c r="K59" s="69"/>
      <c r="L59" s="69"/>
      <c r="M59" s="175"/>
      <c r="N59" s="69"/>
      <c r="O59" s="120"/>
    </row>
    <row r="60" hidden="1">
      <c r="A60" s="69"/>
      <c r="B60" s="69"/>
      <c r="C60" s="100"/>
      <c r="D60" s="69"/>
      <c r="E60" s="69"/>
      <c r="F60" s="62"/>
      <c r="G60" s="59" t="s">
        <v>718</v>
      </c>
      <c r="H60" s="96">
        <v>57600.0</v>
      </c>
      <c r="I60" s="59" t="s">
        <v>719</v>
      </c>
      <c r="J60" s="69"/>
      <c r="K60" s="69"/>
      <c r="L60" s="69"/>
      <c r="M60" s="175"/>
      <c r="N60" s="69"/>
      <c r="O60" s="120"/>
    </row>
    <row r="61" hidden="1">
      <c r="A61" s="69"/>
      <c r="B61" s="69"/>
      <c r="C61" s="100"/>
      <c r="D61" s="69"/>
      <c r="E61" s="69"/>
      <c r="F61" s="58" t="s">
        <v>640</v>
      </c>
      <c r="G61" s="179" t="s">
        <v>648</v>
      </c>
      <c r="H61" s="96">
        <v>40000.0</v>
      </c>
      <c r="I61" s="65"/>
      <c r="J61" s="69"/>
      <c r="K61" s="69"/>
      <c r="L61" s="69"/>
      <c r="M61" s="175"/>
      <c r="N61" s="69"/>
      <c r="O61" s="120"/>
    </row>
    <row r="62" hidden="1">
      <c r="A62" s="69"/>
      <c r="B62" s="69"/>
      <c r="C62" s="100"/>
      <c r="D62" s="69"/>
      <c r="E62" s="69"/>
      <c r="F62" s="62"/>
      <c r="G62" s="59" t="s">
        <v>720</v>
      </c>
      <c r="H62" s="96">
        <f>140+210</f>
        <v>350</v>
      </c>
      <c r="I62" s="59" t="s">
        <v>721</v>
      </c>
      <c r="J62" s="69"/>
      <c r="K62" s="69"/>
      <c r="L62" s="69"/>
      <c r="M62" s="175"/>
      <c r="N62" s="69"/>
      <c r="O62" s="120"/>
    </row>
    <row r="63" hidden="1">
      <c r="A63" s="69"/>
      <c r="B63" s="69"/>
      <c r="C63" s="100"/>
      <c r="D63" s="69"/>
      <c r="E63" s="69"/>
      <c r="F63" s="62"/>
      <c r="G63" s="59" t="s">
        <v>722</v>
      </c>
      <c r="H63" s="96">
        <f>250+10+25</f>
        <v>285</v>
      </c>
      <c r="I63" s="65"/>
      <c r="J63" s="69"/>
      <c r="K63" s="69"/>
      <c r="L63" s="69"/>
      <c r="M63" s="175"/>
      <c r="N63" s="69"/>
      <c r="O63" s="120"/>
    </row>
    <row r="64" hidden="1">
      <c r="A64" s="69"/>
      <c r="B64" s="69"/>
      <c r="C64" s="100"/>
      <c r="D64" s="69"/>
      <c r="E64" s="69"/>
      <c r="F64" s="58" t="s">
        <v>645</v>
      </c>
      <c r="G64" s="59" t="s">
        <v>723</v>
      </c>
      <c r="H64" s="96">
        <v>100000.0</v>
      </c>
      <c r="I64" s="65"/>
      <c r="J64" s="69"/>
      <c r="K64" s="69"/>
      <c r="L64" s="69"/>
      <c r="M64" s="175"/>
      <c r="N64" s="69"/>
      <c r="O64" s="120"/>
    </row>
    <row r="65" hidden="1">
      <c r="A65" s="69"/>
      <c r="B65" s="69"/>
      <c r="C65" s="100"/>
      <c r="D65" s="69"/>
      <c r="E65" s="69"/>
      <c r="F65" s="62"/>
      <c r="G65" s="64" t="s">
        <v>699</v>
      </c>
      <c r="H65" s="82">
        <v>105000.0</v>
      </c>
      <c r="I65" s="61"/>
      <c r="J65" s="69"/>
      <c r="K65" s="69"/>
      <c r="L65" s="69"/>
      <c r="M65" s="175"/>
      <c r="N65" s="69"/>
      <c r="O65" s="120"/>
    </row>
    <row r="66" hidden="1">
      <c r="A66" s="69"/>
      <c r="B66" s="69"/>
      <c r="C66" s="100"/>
      <c r="D66" s="69"/>
      <c r="E66" s="69"/>
      <c r="F66" s="62"/>
      <c r="G66" s="59" t="s">
        <v>724</v>
      </c>
      <c r="H66" s="97">
        <f>250+275+160+60</f>
        <v>745</v>
      </c>
      <c r="I66" s="65"/>
      <c r="J66" s="153"/>
      <c r="K66" s="69"/>
      <c r="L66" s="69"/>
      <c r="M66" s="175"/>
      <c r="N66" s="69"/>
      <c r="O66" s="120"/>
    </row>
    <row r="67" hidden="1">
      <c r="A67" s="69"/>
      <c r="B67" s="69"/>
      <c r="C67" s="100"/>
      <c r="D67" s="69"/>
      <c r="E67" s="69"/>
      <c r="F67" s="62"/>
      <c r="G67" s="59" t="s">
        <v>647</v>
      </c>
      <c r="H67" s="97">
        <f>100+60</f>
        <v>160</v>
      </c>
      <c r="I67" s="65"/>
      <c r="J67" s="69"/>
      <c r="K67" s="69"/>
      <c r="L67" s="69"/>
      <c r="M67" s="175"/>
      <c r="N67" s="69"/>
      <c r="O67" s="120"/>
    </row>
    <row r="68" hidden="1">
      <c r="A68" s="69"/>
      <c r="B68" s="69"/>
      <c r="C68" s="100"/>
      <c r="D68" s="69"/>
      <c r="E68" s="69"/>
      <c r="F68" s="58" t="s">
        <v>725</v>
      </c>
      <c r="G68" s="59" t="s">
        <v>647</v>
      </c>
      <c r="H68" s="96">
        <f>80+140+90+40+80+70+120</f>
        <v>620</v>
      </c>
      <c r="I68" s="65"/>
      <c r="J68" s="69"/>
      <c r="K68" s="69"/>
      <c r="L68" s="69"/>
      <c r="M68" s="175"/>
      <c r="N68" s="69"/>
      <c r="O68" s="120"/>
    </row>
    <row r="69" hidden="1">
      <c r="A69" s="69"/>
      <c r="B69" s="69"/>
      <c r="C69" s="100"/>
      <c r="D69" s="69"/>
      <c r="E69" s="69"/>
      <c r="F69" s="62"/>
      <c r="G69" s="59" t="s">
        <v>726</v>
      </c>
      <c r="H69" s="97">
        <f>50+180+50+400+300+100</f>
        <v>1080</v>
      </c>
      <c r="I69" s="59" t="s">
        <v>727</v>
      </c>
      <c r="J69" s="69"/>
      <c r="K69" s="69"/>
      <c r="L69" s="69"/>
      <c r="M69" s="175"/>
      <c r="N69" s="69"/>
      <c r="O69" s="120"/>
    </row>
    <row r="70" hidden="1">
      <c r="A70" s="69"/>
      <c r="B70" s="69"/>
      <c r="C70" s="100"/>
      <c r="D70" s="69"/>
      <c r="E70" s="69"/>
      <c r="F70" s="62"/>
      <c r="G70" s="59" t="s">
        <v>728</v>
      </c>
      <c r="H70" s="96">
        <v>930.0</v>
      </c>
      <c r="I70" s="65"/>
      <c r="J70" s="69"/>
      <c r="K70" s="69"/>
      <c r="L70" s="69"/>
      <c r="M70" s="175"/>
      <c r="N70" s="69"/>
      <c r="O70" s="120"/>
    </row>
    <row r="71" hidden="1">
      <c r="A71" s="69"/>
      <c r="B71" s="69"/>
      <c r="C71" s="100"/>
      <c r="D71" s="69"/>
      <c r="E71" s="69"/>
      <c r="F71" s="62"/>
      <c r="G71" s="59" t="s">
        <v>729</v>
      </c>
      <c r="H71" s="96">
        <v>13000.0</v>
      </c>
      <c r="I71" s="65"/>
      <c r="J71" s="69"/>
      <c r="K71" s="69"/>
      <c r="L71" s="69"/>
      <c r="M71" s="175"/>
      <c r="N71" s="69"/>
      <c r="O71" s="120"/>
    </row>
    <row r="72" hidden="1">
      <c r="A72" s="69"/>
      <c r="B72" s="69"/>
      <c r="C72" s="100"/>
      <c r="D72" s="69"/>
      <c r="E72" s="69"/>
      <c r="F72" s="62"/>
      <c r="G72" s="59" t="s">
        <v>730</v>
      </c>
      <c r="H72" s="96">
        <v>270.0</v>
      </c>
      <c r="I72" s="65"/>
      <c r="J72" s="69"/>
      <c r="K72" s="69"/>
      <c r="L72" s="69"/>
      <c r="M72" s="175"/>
      <c r="N72" s="69"/>
      <c r="O72" s="120"/>
    </row>
    <row r="73" hidden="1">
      <c r="A73" s="69"/>
      <c r="B73" s="69"/>
      <c r="C73" s="100"/>
      <c r="D73" s="69"/>
      <c r="E73" s="69"/>
      <c r="F73" s="62"/>
      <c r="G73" s="59" t="s">
        <v>731</v>
      </c>
      <c r="H73" s="96">
        <v>7500.0</v>
      </c>
      <c r="I73" s="65"/>
      <c r="J73" s="69"/>
      <c r="K73" s="69"/>
      <c r="L73" s="69"/>
      <c r="M73" s="175"/>
      <c r="N73" s="69"/>
      <c r="O73" s="120"/>
    </row>
    <row r="74" hidden="1">
      <c r="A74" s="69"/>
      <c r="B74" s="69"/>
      <c r="C74" s="100"/>
      <c r="D74" s="69"/>
      <c r="E74" s="69"/>
      <c r="F74" s="62"/>
      <c r="G74" s="59" t="s">
        <v>350</v>
      </c>
      <c r="H74" s="96">
        <v>180.0</v>
      </c>
      <c r="I74" s="65"/>
      <c r="J74" s="69"/>
      <c r="K74" s="69"/>
      <c r="L74" s="69"/>
      <c r="M74" s="175"/>
      <c r="N74" s="69"/>
      <c r="O74" s="120"/>
    </row>
    <row r="75" hidden="1">
      <c r="A75" s="69"/>
      <c r="B75" s="69"/>
      <c r="C75" s="100"/>
      <c r="D75" s="69"/>
      <c r="E75" s="69"/>
      <c r="F75" s="58" t="s">
        <v>674</v>
      </c>
      <c r="G75" s="148" t="s">
        <v>622</v>
      </c>
      <c r="H75" s="149">
        <v>20000.0</v>
      </c>
      <c r="I75" s="148" t="s">
        <v>623</v>
      </c>
      <c r="J75" s="69"/>
      <c r="K75" s="69"/>
      <c r="L75" s="69"/>
      <c r="M75" s="175"/>
      <c r="N75" s="69"/>
      <c r="O75" s="120"/>
    </row>
    <row r="76" hidden="1">
      <c r="A76" s="69"/>
      <c r="B76" s="69"/>
      <c r="C76" s="100"/>
      <c r="D76" s="69"/>
      <c r="E76" s="69"/>
      <c r="F76" s="58" t="s">
        <v>32</v>
      </c>
      <c r="G76" s="169" t="s">
        <v>732</v>
      </c>
      <c r="H76" s="170">
        <v>87076.0</v>
      </c>
      <c r="I76" s="65"/>
      <c r="J76" s="69"/>
      <c r="K76" s="69"/>
      <c r="L76" s="69"/>
      <c r="M76" s="175"/>
      <c r="N76" s="69"/>
      <c r="O76" s="120"/>
    </row>
    <row r="77" hidden="1">
      <c r="A77" s="69"/>
      <c r="B77" s="69"/>
      <c r="C77" s="100"/>
      <c r="D77" s="69"/>
      <c r="E77" s="69"/>
      <c r="F77" s="58"/>
      <c r="G77" s="169" t="s">
        <v>733</v>
      </c>
      <c r="H77" s="170">
        <v>4630.0</v>
      </c>
      <c r="I77" s="65"/>
      <c r="J77" s="69"/>
      <c r="K77" s="69"/>
      <c r="L77" s="69"/>
      <c r="M77" s="175"/>
      <c r="N77" s="69"/>
      <c r="O77" s="120"/>
    </row>
    <row r="78" hidden="1">
      <c r="A78" s="69"/>
      <c r="B78" s="69"/>
      <c r="C78" s="100"/>
      <c r="D78" s="69"/>
      <c r="E78" s="69"/>
      <c r="F78" s="58" t="s">
        <v>734</v>
      </c>
      <c r="G78" s="182" t="s">
        <v>735</v>
      </c>
      <c r="H78" s="149">
        <v>7000.0</v>
      </c>
      <c r="I78" s="148" t="s">
        <v>623</v>
      </c>
      <c r="J78" s="69"/>
      <c r="K78" s="69"/>
      <c r="L78" s="69"/>
      <c r="M78" s="175"/>
      <c r="N78" s="69"/>
      <c r="O78" s="120"/>
    </row>
    <row r="79" hidden="1">
      <c r="A79" s="69"/>
      <c r="B79" s="69"/>
      <c r="C79" s="100"/>
      <c r="D79" s="69"/>
      <c r="E79" s="183"/>
      <c r="F79" s="72"/>
      <c r="G79" s="64" t="s">
        <v>736</v>
      </c>
      <c r="H79" s="82">
        <v>52000.0</v>
      </c>
      <c r="I79" s="61"/>
      <c r="J79" s="184"/>
      <c r="K79" s="69"/>
      <c r="L79" s="69"/>
      <c r="M79" s="175"/>
      <c r="N79" s="69"/>
      <c r="O79" s="120"/>
    </row>
    <row r="80" hidden="1">
      <c r="A80" s="69"/>
      <c r="B80" s="69"/>
      <c r="C80" s="100"/>
      <c r="D80" s="69"/>
      <c r="E80" s="183"/>
      <c r="F80" s="72"/>
      <c r="G80" s="148" t="s">
        <v>622</v>
      </c>
      <c r="H80" s="185">
        <v>11720.0</v>
      </c>
      <c r="I80" s="148" t="s">
        <v>623</v>
      </c>
      <c r="J80" s="184"/>
      <c r="K80" s="69"/>
      <c r="L80" s="69"/>
      <c r="M80" s="175"/>
      <c r="N80" s="69"/>
      <c r="O80" s="120"/>
    </row>
    <row r="81" hidden="1">
      <c r="A81" s="69"/>
      <c r="B81" s="69"/>
      <c r="C81" s="100"/>
      <c r="D81" s="69"/>
      <c r="E81" s="69"/>
      <c r="F81" s="62"/>
      <c r="G81" s="186" t="s">
        <v>737</v>
      </c>
      <c r="H81" s="96">
        <v>500.0</v>
      </c>
      <c r="I81" s="65"/>
      <c r="J81" s="69"/>
      <c r="K81" s="69"/>
      <c r="L81" s="69"/>
      <c r="M81" s="175"/>
      <c r="N81" s="69"/>
      <c r="O81" s="120"/>
    </row>
    <row r="82" hidden="1">
      <c r="A82" s="69"/>
      <c r="B82" s="69"/>
      <c r="C82" s="100"/>
      <c r="D82" s="69"/>
      <c r="E82" s="69"/>
      <c r="F82" s="62"/>
      <c r="G82" s="59" t="s">
        <v>685</v>
      </c>
      <c r="H82" s="165">
        <v>1000.0</v>
      </c>
      <c r="I82" s="65"/>
      <c r="J82" s="69"/>
      <c r="K82" s="69"/>
      <c r="L82" s="69"/>
      <c r="M82" s="175"/>
      <c r="N82" s="69"/>
      <c r="O82" s="120"/>
    </row>
    <row r="83" hidden="1">
      <c r="A83" s="69"/>
      <c r="B83" s="69"/>
      <c r="C83" s="100"/>
      <c r="D83" s="69"/>
      <c r="E83" s="69"/>
      <c r="F83" s="62"/>
      <c r="G83" s="59" t="s">
        <v>738</v>
      </c>
      <c r="H83" s="96">
        <v>59000.0</v>
      </c>
      <c r="I83" s="59" t="s">
        <v>739</v>
      </c>
      <c r="J83" s="69"/>
      <c r="K83" s="69"/>
      <c r="L83" s="69"/>
      <c r="M83" s="175"/>
      <c r="N83" s="69"/>
      <c r="O83" s="120"/>
    </row>
    <row r="84" hidden="1">
      <c r="A84" s="69"/>
      <c r="B84" s="69"/>
      <c r="C84" s="100"/>
      <c r="D84" s="69"/>
      <c r="E84" s="69"/>
      <c r="F84" s="62"/>
      <c r="G84" s="59" t="s">
        <v>350</v>
      </c>
      <c r="H84" s="97">
        <f>20+150+162+100+10+10</f>
        <v>452</v>
      </c>
      <c r="I84" s="65"/>
      <c r="J84" s="69"/>
      <c r="K84" s="69"/>
      <c r="L84" s="69"/>
      <c r="M84" s="175"/>
      <c r="N84" s="69"/>
      <c r="O84" s="120"/>
    </row>
    <row r="85" hidden="1">
      <c r="A85" s="69"/>
      <c r="B85" s="69"/>
      <c r="C85" s="100"/>
      <c r="D85" s="69"/>
      <c r="E85" s="69"/>
      <c r="F85" s="62"/>
      <c r="G85" s="59" t="s">
        <v>647</v>
      </c>
      <c r="H85" s="97">
        <f>70+100</f>
        <v>170</v>
      </c>
      <c r="I85" s="65"/>
      <c r="J85" s="69"/>
      <c r="K85" s="69"/>
      <c r="L85" s="69"/>
      <c r="M85" s="175"/>
      <c r="N85" s="69"/>
      <c r="O85" s="120"/>
    </row>
    <row r="86" hidden="1">
      <c r="A86" s="69"/>
      <c r="B86" s="69"/>
      <c r="C86" s="100"/>
      <c r="D86" s="69"/>
      <c r="E86" s="69"/>
      <c r="F86" s="58" t="s">
        <v>740</v>
      </c>
      <c r="G86" s="59" t="s">
        <v>350</v>
      </c>
      <c r="H86" s="97">
        <f>200+70+50+50</f>
        <v>370</v>
      </c>
      <c r="I86" s="65"/>
      <c r="J86" s="69"/>
      <c r="K86" s="69"/>
      <c r="L86" s="69"/>
      <c r="M86" s="175"/>
      <c r="N86" s="69"/>
      <c r="O86" s="120"/>
    </row>
    <row r="87" hidden="1">
      <c r="A87" s="69"/>
      <c r="B87" s="69"/>
      <c r="C87" s="100"/>
      <c r="D87" s="69"/>
      <c r="E87" s="69"/>
      <c r="F87" s="62"/>
      <c r="G87" s="59" t="s">
        <v>647</v>
      </c>
      <c r="H87" s="96">
        <v>120.0</v>
      </c>
      <c r="I87" s="65"/>
      <c r="J87" s="69"/>
      <c r="K87" s="69"/>
      <c r="L87" s="69"/>
      <c r="M87" s="175"/>
      <c r="N87" s="69"/>
      <c r="O87" s="120"/>
    </row>
    <row r="88" hidden="1">
      <c r="A88" s="69"/>
      <c r="B88" s="69"/>
      <c r="C88" s="100"/>
      <c r="D88" s="69"/>
      <c r="E88" s="69"/>
      <c r="F88" s="62"/>
      <c r="G88" s="59" t="s">
        <v>711</v>
      </c>
      <c r="H88" s="96">
        <v>362.0</v>
      </c>
      <c r="I88" s="65"/>
      <c r="J88" s="69"/>
      <c r="K88" s="69"/>
      <c r="L88" s="69"/>
      <c r="M88" s="175"/>
      <c r="N88" s="69"/>
      <c r="O88" s="120"/>
    </row>
    <row r="89" hidden="1">
      <c r="A89" s="69"/>
      <c r="B89" s="69"/>
      <c r="C89" s="100"/>
      <c r="D89" s="69"/>
      <c r="E89" s="69"/>
      <c r="F89" s="58" t="s">
        <v>670</v>
      </c>
      <c r="G89" s="59" t="s">
        <v>720</v>
      </c>
      <c r="H89" s="96">
        <v>500.0</v>
      </c>
      <c r="I89" s="65"/>
      <c r="J89" s="69"/>
      <c r="K89" s="69"/>
      <c r="L89" s="69"/>
      <c r="M89" s="175"/>
      <c r="N89" s="69"/>
      <c r="O89" s="120"/>
    </row>
    <row r="90" hidden="1">
      <c r="A90" s="69"/>
      <c r="B90" s="69"/>
      <c r="C90" s="100"/>
      <c r="D90" s="69"/>
      <c r="E90" s="69"/>
      <c r="F90" s="62"/>
      <c r="G90" s="59" t="s">
        <v>741</v>
      </c>
      <c r="H90" s="96">
        <f>120+300</f>
        <v>420</v>
      </c>
      <c r="I90" s="65"/>
      <c r="J90" s="69"/>
      <c r="K90" s="69"/>
      <c r="L90" s="69"/>
      <c r="M90" s="175"/>
      <c r="N90" s="69"/>
      <c r="O90" s="120"/>
    </row>
    <row r="91" hidden="1">
      <c r="A91" s="69"/>
      <c r="B91" s="69"/>
      <c r="C91" s="100"/>
      <c r="D91" s="69"/>
      <c r="E91" s="69"/>
      <c r="F91" s="62"/>
      <c r="G91" s="59" t="s">
        <v>742</v>
      </c>
      <c r="H91" s="96">
        <v>730.0</v>
      </c>
      <c r="I91" s="65"/>
      <c r="J91" s="69"/>
      <c r="K91" s="69"/>
      <c r="L91" s="69"/>
      <c r="M91" s="175"/>
      <c r="N91" s="69"/>
      <c r="O91" s="120"/>
    </row>
    <row r="92" hidden="1">
      <c r="A92" s="69"/>
      <c r="B92" s="69"/>
      <c r="C92" s="100"/>
      <c r="D92" s="69"/>
      <c r="E92" s="69"/>
      <c r="F92" s="62"/>
      <c r="G92" s="59" t="s">
        <v>743</v>
      </c>
      <c r="H92" s="96">
        <v>1600.0</v>
      </c>
      <c r="I92" s="65"/>
      <c r="J92" s="69"/>
      <c r="K92" s="69"/>
      <c r="L92" s="69"/>
      <c r="M92" s="175"/>
      <c r="N92" s="69"/>
      <c r="O92" s="120"/>
    </row>
    <row r="93" hidden="1">
      <c r="A93" s="69"/>
      <c r="B93" s="69"/>
      <c r="C93" s="100"/>
      <c r="D93" s="69"/>
      <c r="E93" s="69"/>
      <c r="F93" s="62"/>
      <c r="G93" s="186" t="s">
        <v>633</v>
      </c>
      <c r="H93" s="96">
        <v>215.0</v>
      </c>
      <c r="I93" s="65"/>
      <c r="J93" s="69"/>
      <c r="K93" s="69"/>
      <c r="L93" s="69"/>
      <c r="M93" s="175"/>
      <c r="N93" s="69"/>
      <c r="O93" s="120"/>
    </row>
    <row r="94" hidden="1">
      <c r="A94" s="69"/>
      <c r="B94" s="69"/>
      <c r="C94" s="100"/>
      <c r="D94" s="69"/>
      <c r="E94" s="69"/>
      <c r="F94" s="62"/>
      <c r="G94" s="59" t="s">
        <v>647</v>
      </c>
      <c r="H94" s="97">
        <f>70+230+70</f>
        <v>370</v>
      </c>
      <c r="I94" s="65"/>
      <c r="J94" s="69"/>
      <c r="K94" s="69"/>
      <c r="L94" s="69"/>
      <c r="M94" s="175"/>
      <c r="N94" s="69"/>
      <c r="O94" s="120"/>
    </row>
    <row r="95" hidden="1">
      <c r="A95" s="69"/>
      <c r="B95" s="69"/>
      <c r="C95" s="100"/>
      <c r="D95" s="69"/>
      <c r="E95" s="69"/>
      <c r="F95" s="58" t="s">
        <v>744</v>
      </c>
      <c r="G95" s="59" t="s">
        <v>459</v>
      </c>
      <c r="H95" s="97">
        <f>50+50+20+20+55+180+150</f>
        <v>525</v>
      </c>
      <c r="I95" s="65"/>
      <c r="J95" s="69"/>
      <c r="K95" s="69"/>
      <c r="L95" s="69"/>
      <c r="M95" s="175"/>
      <c r="N95" s="69"/>
      <c r="O95" s="120"/>
    </row>
    <row r="96" hidden="1">
      <c r="A96" s="69"/>
      <c r="B96" s="69"/>
      <c r="C96" s="100"/>
      <c r="D96" s="69"/>
      <c r="E96" s="69"/>
      <c r="F96" s="62"/>
      <c r="G96" s="186" t="s">
        <v>633</v>
      </c>
      <c r="H96" s="97">
        <f>100+80</f>
        <v>180</v>
      </c>
      <c r="I96" s="65"/>
      <c r="J96" s="69"/>
      <c r="K96" s="69"/>
      <c r="L96" s="69"/>
      <c r="M96" s="175"/>
      <c r="N96" s="69"/>
      <c r="O96" s="120"/>
    </row>
    <row r="97" hidden="1">
      <c r="A97" s="69"/>
      <c r="B97" s="69"/>
      <c r="C97" s="100"/>
      <c r="D97" s="69"/>
      <c r="E97" s="69"/>
      <c r="F97" s="62"/>
      <c r="G97" s="59" t="s">
        <v>647</v>
      </c>
      <c r="H97" s="96">
        <v>410.0</v>
      </c>
      <c r="I97" s="65"/>
      <c r="J97" s="69"/>
      <c r="K97" s="69"/>
      <c r="L97" s="69"/>
      <c r="M97" s="175"/>
      <c r="N97" s="69"/>
      <c r="O97" s="120"/>
    </row>
    <row r="98" hidden="1">
      <c r="A98" s="69"/>
      <c r="B98" s="69"/>
      <c r="C98" s="100"/>
      <c r="D98" s="69"/>
      <c r="E98" s="69"/>
      <c r="F98" s="62"/>
      <c r="G98" s="59" t="s">
        <v>745</v>
      </c>
      <c r="H98" s="96">
        <f>1000+2500</f>
        <v>3500</v>
      </c>
      <c r="I98" s="65"/>
      <c r="J98" s="69"/>
      <c r="K98" s="153"/>
      <c r="L98" s="69"/>
      <c r="M98" s="69"/>
      <c r="N98" s="69"/>
      <c r="O98" s="120"/>
    </row>
    <row r="99" hidden="1">
      <c r="A99" s="69"/>
      <c r="B99" s="69"/>
      <c r="C99" s="100"/>
      <c r="D99" s="69"/>
      <c r="E99" s="69"/>
      <c r="F99" s="58" t="s">
        <v>34</v>
      </c>
      <c r="G99" s="169" t="s">
        <v>746</v>
      </c>
      <c r="H99" s="170">
        <v>18187.0</v>
      </c>
      <c r="I99" s="65"/>
      <c r="J99" s="69"/>
      <c r="K99" s="153"/>
      <c r="L99" s="69"/>
      <c r="M99" s="69"/>
      <c r="N99" s="69"/>
      <c r="O99" s="120"/>
    </row>
    <row r="100" hidden="1">
      <c r="A100" s="69"/>
      <c r="B100" s="69"/>
      <c r="C100" s="175"/>
      <c r="D100" s="69"/>
      <c r="E100" s="69"/>
      <c r="F100" s="62"/>
      <c r="G100" s="169" t="s">
        <v>747</v>
      </c>
      <c r="H100" s="170">
        <v>120.0</v>
      </c>
      <c r="I100" s="65"/>
      <c r="J100" s="69"/>
      <c r="K100" s="153"/>
      <c r="L100" s="69"/>
      <c r="M100" s="69"/>
      <c r="N100" s="69"/>
      <c r="O100" s="120"/>
    </row>
    <row r="101" hidden="1">
      <c r="A101" s="69"/>
      <c r="B101" s="69"/>
      <c r="C101" s="175"/>
      <c r="D101" s="69"/>
      <c r="E101" s="69"/>
      <c r="F101" s="58" t="s">
        <v>36</v>
      </c>
      <c r="G101" s="59" t="s">
        <v>711</v>
      </c>
      <c r="H101" s="96">
        <v>355.0</v>
      </c>
      <c r="I101" s="65"/>
      <c r="J101" s="153"/>
      <c r="K101" s="153"/>
      <c r="L101" s="69"/>
      <c r="M101" s="69"/>
      <c r="N101" s="69"/>
      <c r="O101" s="120"/>
    </row>
    <row r="102" hidden="1">
      <c r="A102" s="69"/>
      <c r="B102" s="69"/>
      <c r="C102" s="175"/>
      <c r="D102" s="69"/>
      <c r="E102" s="69"/>
      <c r="F102" s="62"/>
      <c r="G102" s="59" t="s">
        <v>685</v>
      </c>
      <c r="H102" s="165">
        <v>1000.0</v>
      </c>
      <c r="I102" s="65"/>
      <c r="J102" s="153"/>
      <c r="K102" s="69"/>
      <c r="L102" s="69"/>
      <c r="M102" s="69"/>
      <c r="N102" s="69"/>
      <c r="O102" s="120"/>
    </row>
    <row r="103" hidden="1">
      <c r="A103" s="69"/>
      <c r="B103" s="69"/>
      <c r="C103" s="175"/>
      <c r="D103" s="69"/>
      <c r="E103" s="69"/>
      <c r="F103" s="187"/>
      <c r="G103" s="148" t="s">
        <v>735</v>
      </c>
      <c r="H103" s="149">
        <v>15700.0</v>
      </c>
      <c r="I103" s="148" t="s">
        <v>623</v>
      </c>
      <c r="J103" s="69"/>
      <c r="K103" s="69"/>
      <c r="L103" s="69"/>
      <c r="M103" s="69"/>
      <c r="N103" s="69"/>
      <c r="O103" s="120"/>
    </row>
    <row r="104" hidden="1">
      <c r="A104" s="69"/>
      <c r="B104" s="69"/>
      <c r="C104" s="175"/>
      <c r="D104" s="69"/>
      <c r="E104" s="69"/>
      <c r="F104" s="62"/>
      <c r="G104" s="59" t="s">
        <v>748</v>
      </c>
      <c r="H104" s="96">
        <v>15500.0</v>
      </c>
      <c r="I104" s="59" t="s">
        <v>387</v>
      </c>
      <c r="J104" s="69"/>
      <c r="K104" s="69"/>
      <c r="L104" s="69"/>
      <c r="M104" s="69"/>
      <c r="N104" s="69"/>
      <c r="O104" s="120"/>
    </row>
    <row r="105" hidden="1">
      <c r="A105" s="69"/>
      <c r="B105" s="69"/>
      <c r="C105" s="175"/>
      <c r="D105" s="69"/>
      <c r="E105" s="69"/>
      <c r="F105" s="62"/>
      <c r="G105" s="59" t="s">
        <v>749</v>
      </c>
      <c r="H105" s="96">
        <v>3000.0</v>
      </c>
      <c r="I105" s="59" t="s">
        <v>721</v>
      </c>
      <c r="J105" s="69"/>
      <c r="K105" s="69"/>
      <c r="L105" s="69"/>
      <c r="M105" s="69"/>
      <c r="N105" s="69"/>
      <c r="O105" s="120"/>
    </row>
    <row r="106" hidden="1">
      <c r="A106" s="69"/>
      <c r="B106" s="69"/>
      <c r="C106" s="175"/>
      <c r="D106" s="69"/>
      <c r="E106" s="69"/>
      <c r="F106" s="62"/>
      <c r="G106" s="59" t="s">
        <v>647</v>
      </c>
      <c r="H106" s="97">
        <f>90+1334</f>
        <v>1424</v>
      </c>
      <c r="I106" s="65"/>
      <c r="J106" s="69"/>
      <c r="K106" s="69"/>
      <c r="L106" s="69"/>
      <c r="M106" s="69"/>
      <c r="N106" s="69"/>
      <c r="O106" s="120"/>
    </row>
    <row r="107" hidden="1">
      <c r="A107" s="69"/>
      <c r="B107" s="69"/>
      <c r="C107" s="175"/>
      <c r="D107" s="69"/>
      <c r="E107" s="69"/>
      <c r="F107" s="62"/>
      <c r="G107" s="59" t="s">
        <v>459</v>
      </c>
      <c r="H107" s="97">
        <f>80+170</f>
        <v>250</v>
      </c>
      <c r="I107" s="65"/>
      <c r="J107" s="69"/>
      <c r="K107" s="69"/>
      <c r="L107" s="69"/>
      <c r="M107" s="69"/>
      <c r="N107" s="69"/>
      <c r="O107" s="120"/>
    </row>
    <row r="108" hidden="1">
      <c r="A108" s="69"/>
      <c r="B108" s="69"/>
      <c r="C108" s="175"/>
      <c r="D108" s="69"/>
      <c r="E108" s="69"/>
      <c r="F108" s="62"/>
      <c r="G108" s="188" t="s">
        <v>687</v>
      </c>
      <c r="H108" s="96">
        <v>20000.0</v>
      </c>
      <c r="I108" s="65"/>
      <c r="J108" s="69"/>
      <c r="K108" s="69"/>
      <c r="L108" s="69"/>
      <c r="M108" s="69"/>
      <c r="N108" s="69"/>
      <c r="O108" s="120"/>
    </row>
    <row r="109" hidden="1">
      <c r="A109" s="69"/>
      <c r="B109" s="69"/>
      <c r="C109" s="175"/>
      <c r="D109" s="69"/>
      <c r="E109" s="69"/>
      <c r="F109" s="58" t="s">
        <v>39</v>
      </c>
      <c r="G109" s="189" t="s">
        <v>750</v>
      </c>
      <c r="H109" s="97">
        <f>400+170+120+10+20+255</f>
        <v>975</v>
      </c>
      <c r="I109" s="65"/>
      <c r="J109" s="69"/>
      <c r="K109" s="69"/>
      <c r="L109" s="69"/>
      <c r="M109" s="69"/>
      <c r="N109" s="69"/>
      <c r="O109" s="120"/>
    </row>
    <row r="110" hidden="1">
      <c r="A110" s="69"/>
      <c r="B110" s="69"/>
      <c r="C110" s="175"/>
      <c r="D110" s="69"/>
      <c r="E110" s="69"/>
      <c r="F110" s="62"/>
      <c r="G110" s="59" t="s">
        <v>751</v>
      </c>
      <c r="H110" s="96">
        <v>600.0</v>
      </c>
      <c r="I110" s="65"/>
      <c r="J110" s="69"/>
      <c r="K110" s="69"/>
      <c r="L110" s="69"/>
      <c r="M110" s="69"/>
      <c r="N110" s="69"/>
      <c r="O110" s="120"/>
    </row>
    <row r="111" hidden="1">
      <c r="A111" s="69"/>
      <c r="B111" s="69"/>
      <c r="C111" s="69"/>
      <c r="D111" s="69"/>
      <c r="E111" s="69"/>
      <c r="F111" s="62"/>
      <c r="G111" s="59" t="s">
        <v>752</v>
      </c>
      <c r="H111" s="96">
        <v>10000.0</v>
      </c>
      <c r="I111" s="59" t="s">
        <v>753</v>
      </c>
      <c r="J111" s="69"/>
      <c r="K111" s="69"/>
      <c r="L111" s="69"/>
      <c r="M111" s="69"/>
      <c r="N111" s="69"/>
      <c r="O111" s="120"/>
    </row>
    <row r="112" hidden="1">
      <c r="A112" s="69"/>
      <c r="B112" s="69"/>
      <c r="C112" s="69"/>
      <c r="D112" s="69"/>
      <c r="E112" s="69"/>
      <c r="F112" s="62"/>
      <c r="G112" s="59" t="s">
        <v>350</v>
      </c>
      <c r="H112" s="96">
        <v>80.0</v>
      </c>
      <c r="I112" s="59" t="s">
        <v>754</v>
      </c>
      <c r="J112" s="69"/>
      <c r="K112" s="69"/>
      <c r="L112" s="69"/>
      <c r="M112" s="69"/>
      <c r="N112" s="69"/>
      <c r="O112" s="120"/>
    </row>
    <row r="113" hidden="1">
      <c r="A113" s="69"/>
      <c r="B113" s="69"/>
      <c r="C113" s="69"/>
      <c r="D113" s="69"/>
      <c r="E113" s="69"/>
      <c r="F113" s="62"/>
      <c r="G113" s="59" t="s">
        <v>755</v>
      </c>
      <c r="H113" s="96">
        <v>130.0</v>
      </c>
      <c r="I113" s="65"/>
      <c r="J113" s="69"/>
      <c r="K113" s="69"/>
      <c r="L113" s="69"/>
      <c r="M113" s="69"/>
      <c r="N113" s="69"/>
      <c r="O113" s="120"/>
    </row>
    <row r="114" hidden="1">
      <c r="A114" s="69"/>
      <c r="B114" s="69"/>
      <c r="C114" s="69"/>
      <c r="D114" s="69"/>
      <c r="E114" s="69"/>
      <c r="F114" s="58" t="s">
        <v>661</v>
      </c>
      <c r="G114" s="59" t="s">
        <v>756</v>
      </c>
      <c r="H114" s="96">
        <v>750.0</v>
      </c>
      <c r="I114" s="59" t="s">
        <v>757</v>
      </c>
      <c r="J114" s="69"/>
      <c r="K114" s="69"/>
      <c r="L114" s="69"/>
      <c r="M114" s="69"/>
      <c r="N114" s="69"/>
      <c r="O114" s="120"/>
    </row>
    <row r="115" hidden="1">
      <c r="A115" s="69"/>
      <c r="B115" s="69"/>
      <c r="C115" s="69"/>
      <c r="D115" s="69"/>
      <c r="E115" s="69"/>
      <c r="F115" s="62"/>
      <c r="G115" s="59" t="s">
        <v>758</v>
      </c>
      <c r="H115" s="96">
        <v>1650.0</v>
      </c>
      <c r="I115" s="59" t="s">
        <v>759</v>
      </c>
      <c r="J115" s="69"/>
      <c r="K115" s="69"/>
      <c r="L115" s="69"/>
      <c r="M115" s="69"/>
      <c r="N115" s="69"/>
      <c r="O115" s="120"/>
    </row>
    <row r="116" hidden="1">
      <c r="A116" s="69"/>
      <c r="B116" s="69"/>
      <c r="C116" s="69"/>
      <c r="D116" s="69"/>
      <c r="E116" s="69"/>
      <c r="F116" s="62"/>
      <c r="G116" s="59" t="s">
        <v>760</v>
      </c>
      <c r="H116" s="96">
        <v>149300.0</v>
      </c>
      <c r="I116" s="65"/>
      <c r="J116" s="69"/>
      <c r="K116" s="69"/>
      <c r="L116" s="69"/>
      <c r="M116" s="69"/>
      <c r="N116" s="69"/>
      <c r="O116" s="120"/>
    </row>
    <row r="117" hidden="1">
      <c r="A117" s="69"/>
      <c r="B117" s="69"/>
      <c r="C117" s="69"/>
      <c r="D117" s="69"/>
      <c r="E117" s="69"/>
      <c r="F117" s="62"/>
      <c r="G117" s="59" t="s">
        <v>350</v>
      </c>
      <c r="H117" s="97">
        <f>120+400</f>
        <v>520</v>
      </c>
      <c r="I117" s="65"/>
      <c r="J117" s="69"/>
      <c r="K117" s="69"/>
      <c r="L117" s="69"/>
      <c r="M117" s="69"/>
      <c r="N117" s="69"/>
      <c r="O117" s="120"/>
    </row>
    <row r="118" hidden="1">
      <c r="A118" s="69"/>
      <c r="B118" s="69"/>
      <c r="C118" s="69"/>
      <c r="D118" s="69"/>
      <c r="E118" s="69"/>
      <c r="F118" s="62"/>
      <c r="G118" s="59" t="s">
        <v>375</v>
      </c>
      <c r="H118" s="97">
        <f>190+40+15+5+16+5+285</f>
        <v>556</v>
      </c>
      <c r="I118" s="65"/>
      <c r="J118" s="69"/>
      <c r="K118" s="69"/>
      <c r="L118" s="69"/>
      <c r="M118" s="69"/>
      <c r="N118" s="69"/>
      <c r="O118" s="120"/>
    </row>
    <row r="119" hidden="1">
      <c r="A119" s="69"/>
      <c r="B119" s="69"/>
      <c r="C119" s="69"/>
      <c r="D119" s="69"/>
      <c r="E119" s="69"/>
      <c r="F119" s="62"/>
      <c r="G119" s="59" t="s">
        <v>647</v>
      </c>
      <c r="H119" s="190">
        <f>100+50</f>
        <v>150</v>
      </c>
      <c r="I119" s="65"/>
      <c r="J119" s="69"/>
      <c r="K119" s="69"/>
      <c r="L119" s="69"/>
      <c r="M119" s="69"/>
      <c r="N119" s="69"/>
      <c r="O119" s="120"/>
    </row>
    <row r="120" hidden="1">
      <c r="A120" s="69"/>
      <c r="B120" s="69"/>
      <c r="C120" s="69"/>
      <c r="D120" s="69"/>
      <c r="E120" s="69"/>
      <c r="F120" s="62"/>
      <c r="G120" s="59" t="s">
        <v>761</v>
      </c>
      <c r="H120" s="191">
        <v>120.0</v>
      </c>
      <c r="I120" s="65"/>
      <c r="J120" s="69"/>
      <c r="K120" s="69"/>
      <c r="L120" s="69"/>
      <c r="M120" s="69"/>
      <c r="N120" s="69"/>
      <c r="O120" s="120"/>
    </row>
    <row r="121" hidden="1">
      <c r="A121" s="69"/>
      <c r="B121" s="69"/>
      <c r="C121" s="69"/>
      <c r="D121" s="69"/>
      <c r="E121" s="69"/>
      <c r="F121" s="62"/>
      <c r="G121" s="59" t="s">
        <v>728</v>
      </c>
      <c r="H121" s="191">
        <v>700.0</v>
      </c>
      <c r="I121" s="59" t="s">
        <v>762</v>
      </c>
      <c r="J121" s="69"/>
      <c r="K121" s="69"/>
      <c r="L121" s="69"/>
      <c r="M121" s="69"/>
      <c r="N121" s="69"/>
      <c r="O121" s="120"/>
    </row>
    <row r="122" hidden="1">
      <c r="A122" s="69"/>
      <c r="B122" s="69"/>
      <c r="C122" s="69"/>
      <c r="D122" s="69"/>
      <c r="E122" s="69"/>
      <c r="F122" s="58" t="s">
        <v>763</v>
      </c>
      <c r="G122" s="59" t="s">
        <v>764</v>
      </c>
      <c r="H122" s="190">
        <f>20+180+30+80+90+180</f>
        <v>580</v>
      </c>
      <c r="I122" s="65"/>
      <c r="J122" s="69"/>
      <c r="K122" s="69"/>
      <c r="L122" s="69"/>
      <c r="M122" s="69"/>
      <c r="N122" s="69"/>
      <c r="O122" s="120"/>
    </row>
    <row r="123" hidden="1">
      <c r="A123" s="69"/>
      <c r="B123" s="69"/>
      <c r="C123" s="69"/>
      <c r="D123" s="69"/>
      <c r="E123" s="69"/>
      <c r="F123" s="62"/>
      <c r="G123" s="59" t="s">
        <v>765</v>
      </c>
      <c r="H123" s="191">
        <v>12000.0</v>
      </c>
      <c r="I123" s="65"/>
      <c r="J123" s="69"/>
      <c r="K123" s="69"/>
      <c r="L123" s="69"/>
      <c r="M123" s="69"/>
      <c r="N123" s="69"/>
      <c r="O123" s="120"/>
    </row>
    <row r="124" hidden="1">
      <c r="A124" s="69"/>
      <c r="B124" s="69"/>
      <c r="C124" s="69"/>
      <c r="D124" s="69"/>
      <c r="E124" s="69"/>
      <c r="F124" s="62"/>
      <c r="G124" s="59" t="s">
        <v>766</v>
      </c>
      <c r="H124" s="191">
        <v>160.0</v>
      </c>
      <c r="I124" s="59" t="s">
        <v>767</v>
      </c>
      <c r="J124" s="69"/>
      <c r="K124" s="69"/>
      <c r="L124" s="69"/>
      <c r="M124" s="69"/>
      <c r="N124" s="69"/>
      <c r="O124" s="120"/>
    </row>
    <row r="125" hidden="1">
      <c r="A125" s="69"/>
      <c r="B125" s="69"/>
      <c r="C125" s="69"/>
      <c r="D125" s="69"/>
      <c r="E125" s="69"/>
      <c r="F125" s="62"/>
      <c r="G125" s="59" t="s">
        <v>768</v>
      </c>
      <c r="H125" s="191">
        <f>2390+30+120</f>
        <v>2540</v>
      </c>
      <c r="I125" s="59"/>
      <c r="J125" s="69"/>
      <c r="K125" s="69"/>
      <c r="L125" s="69"/>
      <c r="M125" s="69"/>
      <c r="N125" s="69"/>
      <c r="O125" s="120"/>
    </row>
    <row r="126" hidden="1">
      <c r="A126" s="69"/>
      <c r="B126" s="69"/>
      <c r="C126" s="69"/>
      <c r="D126" s="69"/>
      <c r="E126" s="69"/>
      <c r="F126" s="62"/>
      <c r="G126" s="59" t="s">
        <v>647</v>
      </c>
      <c r="H126" s="191">
        <f>80+555+150</f>
        <v>785</v>
      </c>
      <c r="I126" s="65"/>
      <c r="J126" s="69"/>
      <c r="K126" s="69"/>
      <c r="L126" s="69"/>
      <c r="M126" s="69"/>
      <c r="N126" s="69"/>
      <c r="O126" s="120"/>
    </row>
    <row r="127" hidden="1">
      <c r="A127" s="69"/>
      <c r="B127" s="69"/>
      <c r="C127" s="69"/>
      <c r="D127" s="69"/>
      <c r="E127" s="69"/>
      <c r="F127" s="58" t="s">
        <v>769</v>
      </c>
      <c r="G127" s="59" t="s">
        <v>770</v>
      </c>
      <c r="H127" s="191">
        <v>8420.0</v>
      </c>
      <c r="I127" s="65"/>
      <c r="J127" s="69"/>
      <c r="K127" s="69"/>
      <c r="L127" s="69"/>
      <c r="M127" s="69"/>
      <c r="N127" s="69"/>
      <c r="O127" s="120"/>
    </row>
    <row r="128" hidden="1">
      <c r="A128" s="69"/>
      <c r="B128" s="69"/>
      <c r="C128" s="69"/>
      <c r="D128" s="69"/>
      <c r="E128" s="69"/>
      <c r="F128" s="62"/>
      <c r="G128" s="59" t="s">
        <v>752</v>
      </c>
      <c r="H128" s="96">
        <v>10000.0</v>
      </c>
      <c r="I128" s="59" t="s">
        <v>771</v>
      </c>
      <c r="J128" s="69"/>
      <c r="K128" s="69"/>
      <c r="L128" s="69"/>
      <c r="M128" s="69"/>
      <c r="N128" s="69"/>
      <c r="O128" s="120"/>
    </row>
    <row r="129" hidden="1">
      <c r="A129" s="69"/>
      <c r="B129" s="69"/>
      <c r="C129" s="69"/>
      <c r="D129" s="69"/>
      <c r="E129" s="69"/>
      <c r="F129" s="62"/>
      <c r="G129" s="59" t="s">
        <v>772</v>
      </c>
      <c r="H129" s="191">
        <v>850.0</v>
      </c>
      <c r="I129" s="65"/>
      <c r="J129" s="69"/>
      <c r="K129" s="69"/>
      <c r="L129" s="69"/>
      <c r="M129" s="69"/>
      <c r="N129" s="69"/>
      <c r="O129" s="120"/>
    </row>
    <row r="130" hidden="1">
      <c r="A130" s="69"/>
      <c r="B130" s="69"/>
      <c r="C130" s="69"/>
      <c r="D130" s="69"/>
      <c r="E130" s="69"/>
      <c r="F130" s="62"/>
      <c r="G130" s="59" t="s">
        <v>647</v>
      </c>
      <c r="H130" s="192">
        <f>80+35</f>
        <v>115</v>
      </c>
      <c r="I130" s="65"/>
      <c r="J130" s="69"/>
      <c r="K130" s="69"/>
      <c r="L130" s="69"/>
      <c r="M130" s="69"/>
      <c r="N130" s="69"/>
      <c r="O130" s="120"/>
    </row>
    <row r="131" hidden="1">
      <c r="A131" s="69"/>
      <c r="B131" s="69"/>
      <c r="C131" s="69"/>
      <c r="D131" s="69"/>
      <c r="E131" s="69"/>
      <c r="F131" s="62"/>
      <c r="G131" s="59" t="s">
        <v>773</v>
      </c>
      <c r="H131" s="191">
        <v>1500.0</v>
      </c>
      <c r="I131" s="65"/>
      <c r="J131" s="69"/>
      <c r="K131" s="69"/>
      <c r="L131" s="69"/>
      <c r="M131" s="69"/>
      <c r="N131" s="69"/>
      <c r="O131" s="120"/>
    </row>
    <row r="132" hidden="1">
      <c r="A132" s="69"/>
      <c r="B132" s="69"/>
      <c r="C132" s="69"/>
      <c r="D132" s="69"/>
      <c r="E132" s="69"/>
      <c r="F132" s="62"/>
      <c r="G132" s="59" t="s">
        <v>774</v>
      </c>
      <c r="H132" s="191">
        <v>517.0</v>
      </c>
      <c r="I132" s="65"/>
      <c r="J132" s="69"/>
      <c r="K132" s="69"/>
      <c r="L132" s="69"/>
      <c r="M132" s="69"/>
      <c r="N132" s="69"/>
      <c r="O132" s="120"/>
    </row>
    <row r="133" hidden="1">
      <c r="A133" s="69"/>
      <c r="B133" s="69"/>
      <c r="C133" s="69"/>
      <c r="D133" s="69"/>
      <c r="E133" s="69"/>
      <c r="F133" s="62"/>
      <c r="G133" s="59" t="s">
        <v>775</v>
      </c>
      <c r="H133" s="193">
        <v>970.0</v>
      </c>
      <c r="I133" s="65"/>
      <c r="J133" s="69"/>
      <c r="K133" s="69"/>
      <c r="L133" s="69"/>
      <c r="M133" s="69"/>
      <c r="N133" s="69"/>
      <c r="O133" s="120"/>
    </row>
    <row r="134" hidden="1">
      <c r="A134" s="69"/>
      <c r="B134" s="69"/>
      <c r="C134" s="69"/>
      <c r="D134" s="69"/>
      <c r="E134" s="69"/>
      <c r="F134" s="66" t="s">
        <v>776</v>
      </c>
      <c r="G134" s="39"/>
      <c r="H134" s="90">
        <f>SUM(H9:H133)</f>
        <v>1202290</v>
      </c>
      <c r="I134" s="68"/>
      <c r="J134" s="69"/>
      <c r="K134" s="69"/>
      <c r="L134" s="69"/>
      <c r="M134" s="69"/>
      <c r="N134" s="69"/>
      <c r="O134" s="120"/>
    </row>
    <row r="135" hidden="1">
      <c r="A135" s="69"/>
      <c r="B135" s="69"/>
      <c r="C135" s="69"/>
      <c r="D135" s="69"/>
      <c r="E135" s="69"/>
      <c r="F135" s="194"/>
      <c r="G135" s="69"/>
      <c r="H135" s="69"/>
      <c r="I135" s="69"/>
      <c r="J135" s="69"/>
      <c r="K135" s="69"/>
      <c r="L135" s="69"/>
      <c r="M135" s="69"/>
      <c r="N135" s="69"/>
      <c r="O135" s="120"/>
    </row>
    <row r="136" hidden="1">
      <c r="A136" s="69"/>
      <c r="B136" s="69"/>
      <c r="C136" s="69"/>
      <c r="D136" s="69"/>
      <c r="E136" s="69"/>
      <c r="F136" s="194"/>
      <c r="G136" s="69"/>
      <c r="H136" s="69"/>
      <c r="I136" s="69"/>
      <c r="J136" s="69"/>
      <c r="K136" s="69"/>
      <c r="L136" s="69"/>
      <c r="M136" s="69"/>
      <c r="N136" s="69"/>
      <c r="O136" s="120"/>
    </row>
    <row r="137" hidden="1">
      <c r="A137" s="69"/>
      <c r="B137" s="69"/>
      <c r="C137" s="69"/>
      <c r="D137" s="69"/>
      <c r="E137" s="69"/>
      <c r="F137" s="194"/>
      <c r="G137" s="69"/>
      <c r="H137" s="69"/>
      <c r="I137" s="69"/>
      <c r="J137" s="69"/>
      <c r="K137" s="69"/>
      <c r="L137" s="69"/>
      <c r="M137" s="69"/>
      <c r="N137" s="69"/>
      <c r="O137" s="120"/>
    </row>
    <row r="138">
      <c r="A138" s="69"/>
      <c r="B138" s="69"/>
      <c r="C138" s="69"/>
      <c r="D138" s="69"/>
      <c r="E138" s="69"/>
      <c r="F138" s="194"/>
      <c r="G138" s="69"/>
      <c r="H138" s="69"/>
      <c r="I138" s="69"/>
      <c r="J138" s="69"/>
      <c r="K138" s="69"/>
      <c r="L138" s="69"/>
      <c r="M138" s="69"/>
      <c r="N138" s="69"/>
      <c r="O138" s="120"/>
    </row>
    <row r="139">
      <c r="A139" s="139">
        <v>44958.0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9"/>
      <c r="O139" s="120"/>
    </row>
    <row r="140">
      <c r="A140" s="3"/>
      <c r="B140" s="3"/>
      <c r="C140" s="3"/>
      <c r="D140" s="3"/>
      <c r="E140" s="2"/>
      <c r="F140" s="3"/>
      <c r="G140" s="3"/>
      <c r="H140" s="3"/>
      <c r="I140" s="3"/>
      <c r="J140" s="2"/>
      <c r="K140" s="3"/>
      <c r="L140" s="3"/>
      <c r="M140" s="3"/>
      <c r="N140" s="3"/>
      <c r="O140" s="120"/>
    </row>
    <row r="141" hidden="1">
      <c r="A141" s="140" t="s">
        <v>613</v>
      </c>
      <c r="B141" s="5"/>
      <c r="C141" s="5"/>
      <c r="D141" s="6"/>
      <c r="E141" s="46"/>
      <c r="F141" s="141" t="s">
        <v>614</v>
      </c>
      <c r="G141" s="5"/>
      <c r="H141" s="5"/>
      <c r="I141" s="6"/>
      <c r="J141" s="46"/>
      <c r="K141" s="142" t="s">
        <v>777</v>
      </c>
      <c r="L141" s="5"/>
      <c r="M141" s="5"/>
      <c r="N141" s="6"/>
      <c r="O141" s="120"/>
    </row>
    <row r="142" hidden="1">
      <c r="A142" s="143" t="s">
        <v>7</v>
      </c>
      <c r="B142" s="144" t="s">
        <v>616</v>
      </c>
      <c r="C142" s="144" t="s">
        <v>617</v>
      </c>
      <c r="D142" s="144" t="s">
        <v>618</v>
      </c>
      <c r="E142" s="145"/>
      <c r="F142" s="144" t="s">
        <v>7</v>
      </c>
      <c r="G142" s="144" t="s">
        <v>616</v>
      </c>
      <c r="H142" s="144" t="s">
        <v>617</v>
      </c>
      <c r="I142" s="146" t="s">
        <v>618</v>
      </c>
      <c r="J142" s="147"/>
      <c r="K142" s="144" t="s">
        <v>7</v>
      </c>
      <c r="L142" s="144" t="s">
        <v>616</v>
      </c>
      <c r="M142" s="144" t="s">
        <v>617</v>
      </c>
      <c r="N142" s="144" t="s">
        <v>618</v>
      </c>
      <c r="O142" s="120"/>
    </row>
    <row r="143" hidden="1">
      <c r="A143" s="59" t="s">
        <v>46</v>
      </c>
      <c r="B143" s="59" t="s">
        <v>24</v>
      </c>
      <c r="C143" s="96">
        <v>35000.0</v>
      </c>
      <c r="D143" s="59" t="s">
        <v>47</v>
      </c>
      <c r="E143" s="120"/>
      <c r="F143" s="58" t="s">
        <v>301</v>
      </c>
      <c r="G143" s="59" t="s">
        <v>778</v>
      </c>
      <c r="H143" s="91">
        <f>120+120</f>
        <v>240</v>
      </c>
      <c r="I143" s="65"/>
      <c r="J143" s="120"/>
      <c r="K143" s="58" t="s">
        <v>364</v>
      </c>
      <c r="L143" s="193" t="s">
        <v>625</v>
      </c>
      <c r="M143" s="150">
        <v>6000.0</v>
      </c>
      <c r="N143" s="65"/>
      <c r="O143" s="120"/>
    </row>
    <row r="144" hidden="1">
      <c r="A144" s="59" t="s">
        <v>779</v>
      </c>
      <c r="B144" s="59" t="s">
        <v>780</v>
      </c>
      <c r="C144" s="96">
        <v>700.0</v>
      </c>
      <c r="D144" s="59" t="s">
        <v>781</v>
      </c>
      <c r="E144" s="120"/>
      <c r="F144" s="62"/>
      <c r="G144" s="59" t="s">
        <v>782</v>
      </c>
      <c r="H144" s="90">
        <v>470.0</v>
      </c>
      <c r="I144" s="65"/>
      <c r="J144" s="120"/>
      <c r="K144" s="58" t="s">
        <v>364</v>
      </c>
      <c r="L144" s="193" t="s">
        <v>628</v>
      </c>
      <c r="M144" s="150">
        <f>92124+700+100000-167800-16000-9024</f>
        <v>0</v>
      </c>
      <c r="N144" s="59">
        <v>92124.0</v>
      </c>
      <c r="O144" s="120"/>
    </row>
    <row r="145" hidden="1">
      <c r="A145" s="59" t="s">
        <v>48</v>
      </c>
      <c r="B145" s="26" t="s">
        <v>49</v>
      </c>
      <c r="C145" s="96">
        <v>5000.0</v>
      </c>
      <c r="D145" s="26" t="s">
        <v>50</v>
      </c>
      <c r="E145" s="120"/>
      <c r="F145" s="62"/>
      <c r="G145" s="59" t="s">
        <v>647</v>
      </c>
      <c r="H145" s="91">
        <f>140+70+80</f>
        <v>290</v>
      </c>
      <c r="I145" s="59"/>
      <c r="J145" s="195"/>
      <c r="K145" s="58" t="s">
        <v>364</v>
      </c>
      <c r="L145" s="193" t="s">
        <v>631</v>
      </c>
      <c r="M145" s="196">
        <v>96683.0</v>
      </c>
      <c r="N145" s="59">
        <v>34315.0</v>
      </c>
      <c r="O145" s="120"/>
    </row>
    <row r="146" hidden="1">
      <c r="A146" s="59" t="s">
        <v>48</v>
      </c>
      <c r="B146" s="26" t="s">
        <v>52</v>
      </c>
      <c r="C146" s="96">
        <v>50000.0</v>
      </c>
      <c r="D146" s="26" t="s">
        <v>53</v>
      </c>
      <c r="E146" s="120"/>
      <c r="F146" s="58" t="s">
        <v>43</v>
      </c>
      <c r="G146" s="59" t="s">
        <v>783</v>
      </c>
      <c r="H146" s="90">
        <v>153860.0</v>
      </c>
      <c r="I146" s="59"/>
      <c r="J146" s="120"/>
      <c r="K146" s="151"/>
      <c r="L146" s="34"/>
      <c r="M146" s="34"/>
      <c r="N146" s="39"/>
      <c r="O146" s="120"/>
    </row>
    <row r="147" hidden="1">
      <c r="A147" s="59" t="s">
        <v>48</v>
      </c>
      <c r="B147" s="26" t="s">
        <v>55</v>
      </c>
      <c r="C147" s="96">
        <v>100000.0</v>
      </c>
      <c r="D147" s="26" t="s">
        <v>56</v>
      </c>
      <c r="E147" s="120"/>
      <c r="F147" s="58" t="s">
        <v>309</v>
      </c>
      <c r="G147" s="59" t="s">
        <v>784</v>
      </c>
      <c r="H147" s="90">
        <v>400.0</v>
      </c>
      <c r="I147" s="65"/>
      <c r="J147" s="120"/>
      <c r="K147" s="152" t="s">
        <v>785</v>
      </c>
      <c r="L147" s="34"/>
      <c r="M147" s="34"/>
      <c r="N147" s="39"/>
      <c r="O147" s="120"/>
    </row>
    <row r="148" hidden="1">
      <c r="A148" s="59" t="s">
        <v>51</v>
      </c>
      <c r="B148" s="59" t="s">
        <v>786</v>
      </c>
      <c r="C148" s="96">
        <v>2000.0</v>
      </c>
      <c r="D148" s="65"/>
      <c r="E148" s="120"/>
      <c r="F148" s="58"/>
      <c r="G148" s="59" t="s">
        <v>647</v>
      </c>
      <c r="H148" s="91">
        <f>90+70</f>
        <v>160</v>
      </c>
      <c r="I148" s="65"/>
      <c r="J148" s="120"/>
      <c r="K148" s="154" t="s">
        <v>232</v>
      </c>
      <c r="L148" s="155" t="s">
        <v>237</v>
      </c>
      <c r="M148" s="155" t="s">
        <v>238</v>
      </c>
      <c r="N148" s="155" t="s">
        <v>239</v>
      </c>
      <c r="O148" s="120"/>
    </row>
    <row r="149" hidden="1">
      <c r="A149" s="59" t="s">
        <v>787</v>
      </c>
      <c r="B149" s="59" t="s">
        <v>632</v>
      </c>
      <c r="C149" s="96">
        <v>100000.0</v>
      </c>
      <c r="D149" s="65"/>
      <c r="E149" s="120"/>
      <c r="F149" s="58" t="s">
        <v>46</v>
      </c>
      <c r="G149" s="59" t="s">
        <v>788</v>
      </c>
      <c r="H149" s="90">
        <v>5190.0</v>
      </c>
      <c r="I149" s="65"/>
      <c r="J149" s="120"/>
      <c r="K149" s="156" t="s">
        <v>364</v>
      </c>
      <c r="L149" s="178" t="s">
        <v>789</v>
      </c>
      <c r="M149" s="158">
        <v>4900.0</v>
      </c>
      <c r="N149" s="159" t="s">
        <v>398</v>
      </c>
      <c r="O149" s="120"/>
    </row>
    <row r="150" hidden="1">
      <c r="A150" s="59" t="s">
        <v>59</v>
      </c>
      <c r="B150" s="59" t="s">
        <v>790</v>
      </c>
      <c r="C150" s="96">
        <v>85000.0</v>
      </c>
      <c r="D150" s="65"/>
      <c r="E150" s="120"/>
      <c r="F150" s="58" t="s">
        <v>779</v>
      </c>
      <c r="G150" s="59" t="s">
        <v>791</v>
      </c>
      <c r="H150" s="90">
        <v>1300.0</v>
      </c>
      <c r="I150" s="65"/>
      <c r="J150" s="120"/>
      <c r="K150" s="156" t="s">
        <v>364</v>
      </c>
      <c r="L150" s="178" t="s">
        <v>792</v>
      </c>
      <c r="M150" s="158">
        <f>44500-500</f>
        <v>44000</v>
      </c>
      <c r="N150" s="159" t="s">
        <v>398</v>
      </c>
      <c r="O150" s="120"/>
    </row>
    <row r="151" hidden="1">
      <c r="A151" s="59" t="s">
        <v>61</v>
      </c>
      <c r="B151" s="59" t="s">
        <v>24</v>
      </c>
      <c r="C151" s="96">
        <v>35000.0</v>
      </c>
      <c r="D151" s="59" t="s">
        <v>62</v>
      </c>
      <c r="E151" s="120"/>
      <c r="F151" s="62"/>
      <c r="G151" s="59" t="s">
        <v>793</v>
      </c>
      <c r="H151" s="91">
        <f>150+20+50+30+50+50</f>
        <v>350</v>
      </c>
      <c r="I151" s="65"/>
      <c r="J151" s="120"/>
      <c r="K151" s="156" t="s">
        <v>59</v>
      </c>
      <c r="L151" s="197" t="s">
        <v>794</v>
      </c>
      <c r="M151" s="158">
        <f>16450-300-500</f>
        <v>15650</v>
      </c>
      <c r="N151" s="159" t="s">
        <v>398</v>
      </c>
      <c r="O151" s="120"/>
    </row>
    <row r="152" hidden="1">
      <c r="A152" s="59" t="s">
        <v>358</v>
      </c>
      <c r="B152" s="59" t="s">
        <v>27</v>
      </c>
      <c r="C152" s="96">
        <v>10000.0</v>
      </c>
      <c r="D152" s="59" t="s">
        <v>28</v>
      </c>
      <c r="E152" s="120"/>
      <c r="F152" s="62"/>
      <c r="G152" s="59" t="s">
        <v>795</v>
      </c>
      <c r="H152" s="90">
        <v>3000.0</v>
      </c>
      <c r="I152" s="59"/>
      <c r="J152" s="120"/>
      <c r="K152" s="156" t="s">
        <v>59</v>
      </c>
      <c r="L152" s="198" t="s">
        <v>796</v>
      </c>
      <c r="M152" s="158">
        <f>18950-300</f>
        <v>18650</v>
      </c>
      <c r="N152" s="159" t="s">
        <v>398</v>
      </c>
      <c r="O152" s="120"/>
    </row>
    <row r="153" hidden="1">
      <c r="A153" s="59" t="s">
        <v>63</v>
      </c>
      <c r="B153" s="59" t="s">
        <v>797</v>
      </c>
      <c r="C153" s="96">
        <v>25000.0</v>
      </c>
      <c r="D153" s="59" t="s">
        <v>66</v>
      </c>
      <c r="E153" s="120"/>
      <c r="F153" s="62"/>
      <c r="G153" s="59" t="s">
        <v>798</v>
      </c>
      <c r="H153" s="90">
        <v>330.0</v>
      </c>
      <c r="I153" s="59" t="s">
        <v>799</v>
      </c>
      <c r="J153" s="120"/>
      <c r="K153" s="156" t="s">
        <v>59</v>
      </c>
      <c r="L153" s="198" t="s">
        <v>800</v>
      </c>
      <c r="M153" s="158">
        <f>11300-200-1500-1500</f>
        <v>8100</v>
      </c>
      <c r="N153" s="159" t="s">
        <v>398</v>
      </c>
      <c r="O153" s="120"/>
    </row>
    <row r="154" hidden="1">
      <c r="A154" s="59" t="s">
        <v>364</v>
      </c>
      <c r="B154" s="59" t="s">
        <v>67</v>
      </c>
      <c r="C154" s="96">
        <v>30000.0</v>
      </c>
      <c r="D154" s="59" t="s">
        <v>68</v>
      </c>
      <c r="E154" s="120"/>
      <c r="F154" s="62"/>
      <c r="G154" s="59" t="s">
        <v>801</v>
      </c>
      <c r="H154" s="90">
        <v>40.0</v>
      </c>
      <c r="I154" s="59" t="s">
        <v>802</v>
      </c>
      <c r="J154" s="120"/>
      <c r="K154" s="156" t="s">
        <v>364</v>
      </c>
      <c r="L154" s="198" t="s">
        <v>803</v>
      </c>
      <c r="M154" s="158">
        <f>10650-200-2000-5900</f>
        <v>2550</v>
      </c>
      <c r="N154" s="159" t="s">
        <v>398</v>
      </c>
      <c r="O154" s="120"/>
    </row>
    <row r="155" hidden="1">
      <c r="A155" s="59" t="s">
        <v>364</v>
      </c>
      <c r="B155" s="59" t="s">
        <v>44</v>
      </c>
      <c r="C155" s="96">
        <v>375000.0</v>
      </c>
      <c r="D155" s="59" t="s">
        <v>45</v>
      </c>
      <c r="E155" s="120"/>
      <c r="F155" s="62"/>
      <c r="G155" s="59" t="s">
        <v>804</v>
      </c>
      <c r="H155" s="90">
        <v>360.0</v>
      </c>
      <c r="I155" s="59" t="s">
        <v>805</v>
      </c>
      <c r="J155" s="120"/>
      <c r="K155" s="156" t="s">
        <v>59</v>
      </c>
      <c r="L155" s="198" t="s">
        <v>806</v>
      </c>
      <c r="M155" s="158">
        <f>14700-300</f>
        <v>14400</v>
      </c>
      <c r="N155" s="159" t="s">
        <v>398</v>
      </c>
      <c r="O155" s="120"/>
    </row>
    <row r="156" hidden="1">
      <c r="A156" s="59" t="s">
        <v>807</v>
      </c>
      <c r="B156" s="59" t="s">
        <v>74</v>
      </c>
      <c r="C156" s="96">
        <v>15000.0</v>
      </c>
      <c r="D156" s="59" t="s">
        <v>75</v>
      </c>
      <c r="E156" s="120"/>
      <c r="F156" s="62"/>
      <c r="G156" s="59" t="s">
        <v>808</v>
      </c>
      <c r="H156" s="90">
        <f>160+450+250</f>
        <v>860</v>
      </c>
      <c r="I156" s="65"/>
      <c r="J156" s="120"/>
      <c r="K156" s="156" t="s">
        <v>59</v>
      </c>
      <c r="L156" s="178" t="s">
        <v>809</v>
      </c>
      <c r="M156" s="158">
        <v>16500.0</v>
      </c>
      <c r="N156" s="159" t="s">
        <v>398</v>
      </c>
      <c r="O156" s="120"/>
    </row>
    <row r="157" hidden="1">
      <c r="A157" s="59" t="s">
        <v>810</v>
      </c>
      <c r="B157" s="59" t="s">
        <v>71</v>
      </c>
      <c r="C157" s="96">
        <v>19000.0</v>
      </c>
      <c r="D157" s="59" t="s">
        <v>75</v>
      </c>
      <c r="E157" s="120"/>
      <c r="F157" s="58" t="s">
        <v>312</v>
      </c>
      <c r="G157" s="59" t="s">
        <v>811</v>
      </c>
      <c r="H157" s="90">
        <v>85.0</v>
      </c>
      <c r="I157" s="65"/>
      <c r="J157" s="120"/>
      <c r="K157" s="156"/>
      <c r="L157" s="178" t="s">
        <v>812</v>
      </c>
      <c r="M157" s="158">
        <v>1600.0</v>
      </c>
      <c r="N157" s="159"/>
      <c r="O157" s="120"/>
    </row>
    <row r="158" hidden="1">
      <c r="A158" s="66" t="s">
        <v>813</v>
      </c>
      <c r="B158" s="34"/>
      <c r="C158" s="91">
        <f>SUM(C143:C157)</f>
        <v>886700</v>
      </c>
      <c r="D158" s="199"/>
      <c r="E158" s="120"/>
      <c r="F158" s="58" t="s">
        <v>48</v>
      </c>
      <c r="G158" s="59" t="s">
        <v>647</v>
      </c>
      <c r="H158" s="90">
        <v>80.0</v>
      </c>
      <c r="I158" s="65"/>
      <c r="J158" s="120"/>
      <c r="K158" s="156"/>
      <c r="L158" s="178" t="s">
        <v>677</v>
      </c>
      <c r="M158" s="158">
        <v>2000.0</v>
      </c>
      <c r="N158" s="159"/>
      <c r="O158" s="120"/>
    </row>
    <row r="159" hidden="1">
      <c r="A159" s="69"/>
      <c r="B159" s="69"/>
      <c r="C159" s="200">
        <v>92124.0</v>
      </c>
      <c r="D159" s="69"/>
      <c r="E159" s="120"/>
      <c r="F159" s="62"/>
      <c r="G159" s="59" t="s">
        <v>788</v>
      </c>
      <c r="H159" s="90">
        <v>5045.0</v>
      </c>
      <c r="I159" s="65"/>
      <c r="J159" s="120"/>
      <c r="K159" s="156" t="s">
        <v>59</v>
      </c>
      <c r="L159" s="178" t="s">
        <v>675</v>
      </c>
      <c r="M159" s="161">
        <v>150.0</v>
      </c>
      <c r="N159" s="159" t="s">
        <v>398</v>
      </c>
      <c r="O159" s="120"/>
    </row>
    <row r="160" hidden="1">
      <c r="A160" s="69"/>
      <c r="B160" s="69"/>
      <c r="C160" s="89">
        <f>C158+C159</f>
        <v>978824</v>
      </c>
      <c r="D160" s="69"/>
      <c r="E160" s="120"/>
      <c r="F160" s="62"/>
      <c r="G160" s="59" t="s">
        <v>814</v>
      </c>
      <c r="H160" s="201">
        <f>7000+2800+3000</f>
        <v>12800</v>
      </c>
      <c r="I160" s="59"/>
      <c r="J160" s="120"/>
      <c r="K160" s="163" t="s">
        <v>815</v>
      </c>
      <c r="L160" s="39"/>
      <c r="M160" s="172">
        <f>SUM(M149:M159)</f>
        <v>128500</v>
      </c>
      <c r="N160" s="164"/>
      <c r="O160" s="120"/>
    </row>
    <row r="161" hidden="1">
      <c r="A161" s="69"/>
      <c r="B161" s="69"/>
      <c r="C161" s="89"/>
      <c r="D161" s="69"/>
      <c r="E161" s="120"/>
      <c r="F161" s="58" t="s">
        <v>816</v>
      </c>
      <c r="G161" s="59" t="s">
        <v>817</v>
      </c>
      <c r="H161" s="90">
        <v>9045.0</v>
      </c>
      <c r="I161" s="65"/>
      <c r="J161" s="120"/>
      <c r="K161" s="120"/>
      <c r="L161" s="120"/>
      <c r="M161" s="120"/>
      <c r="N161" s="120"/>
      <c r="O161" s="120"/>
    </row>
    <row r="162" hidden="1">
      <c r="A162" s="120"/>
      <c r="B162" s="120"/>
      <c r="C162" s="136"/>
      <c r="D162" s="120"/>
      <c r="E162" s="120"/>
      <c r="F162" s="62"/>
      <c r="G162" s="59" t="s">
        <v>818</v>
      </c>
      <c r="H162" s="90">
        <f>6390+5000</f>
        <v>11390</v>
      </c>
      <c r="I162" s="65"/>
      <c r="J162" s="120"/>
      <c r="K162" s="152" t="s">
        <v>819</v>
      </c>
      <c r="L162" s="34"/>
      <c r="M162" s="34"/>
      <c r="N162" s="39"/>
      <c r="O162" s="120"/>
    </row>
    <row r="163" hidden="1">
      <c r="A163" s="120"/>
      <c r="B163" s="120"/>
      <c r="C163" s="136"/>
      <c r="D163" s="120"/>
      <c r="E163" s="120"/>
      <c r="F163" s="62"/>
      <c r="G163" s="59" t="s">
        <v>820</v>
      </c>
      <c r="H163" s="90">
        <f>4830+23000</f>
        <v>27830</v>
      </c>
      <c r="I163" s="65"/>
      <c r="J163" s="120"/>
      <c r="K163" s="154" t="s">
        <v>7</v>
      </c>
      <c r="L163" s="155" t="s">
        <v>686</v>
      </c>
      <c r="M163" s="155" t="s">
        <v>238</v>
      </c>
      <c r="N163" s="155" t="s">
        <v>239</v>
      </c>
      <c r="O163" s="120"/>
    </row>
    <row r="164" hidden="1">
      <c r="A164" s="120"/>
      <c r="B164" s="120"/>
      <c r="C164" s="136"/>
      <c r="D164" s="120"/>
      <c r="E164" s="120"/>
      <c r="F164" s="62"/>
      <c r="G164" s="59" t="s">
        <v>821</v>
      </c>
      <c r="H164" s="90">
        <v>305.0</v>
      </c>
      <c r="I164" s="65"/>
      <c r="J164" s="120"/>
      <c r="K164" s="166"/>
      <c r="L164" s="167" t="s">
        <v>687</v>
      </c>
      <c r="M164" s="168">
        <f>60000-20000+4000</f>
        <v>44000</v>
      </c>
      <c r="N164" s="164"/>
      <c r="O164" s="120"/>
    </row>
    <row r="165" hidden="1">
      <c r="A165" s="120"/>
      <c r="B165" s="120"/>
      <c r="C165" s="136"/>
      <c r="D165" s="120"/>
      <c r="E165" s="120"/>
      <c r="F165" s="58" t="s">
        <v>787</v>
      </c>
      <c r="G165" s="59" t="s">
        <v>800</v>
      </c>
      <c r="H165" s="90">
        <v>1500.0</v>
      </c>
      <c r="I165" s="59"/>
      <c r="J165" s="120"/>
      <c r="K165" s="166"/>
      <c r="L165" s="167" t="s">
        <v>690</v>
      </c>
      <c r="M165" s="168">
        <f>85000+9000</f>
        <v>94000</v>
      </c>
      <c r="N165" s="164"/>
      <c r="O165" s="120"/>
    </row>
    <row r="166" hidden="1">
      <c r="A166" s="120"/>
      <c r="B166" s="120"/>
      <c r="C166" s="136"/>
      <c r="D166" s="120"/>
      <c r="E166" s="120"/>
      <c r="F166" s="62"/>
      <c r="G166" s="59" t="s">
        <v>803</v>
      </c>
      <c r="H166" s="90">
        <v>2000.0</v>
      </c>
      <c r="I166" s="59" t="s">
        <v>822</v>
      </c>
      <c r="J166" s="120"/>
      <c r="K166" s="166"/>
      <c r="L166" s="167" t="s">
        <v>823</v>
      </c>
      <c r="M166" s="168">
        <f>7000+12000</f>
        <v>19000</v>
      </c>
      <c r="N166" s="164"/>
      <c r="O166" s="120"/>
    </row>
    <row r="167" hidden="1">
      <c r="A167" s="120"/>
      <c r="B167" s="120"/>
      <c r="C167" s="120"/>
      <c r="D167" s="120"/>
      <c r="E167" s="120"/>
      <c r="F167" s="62"/>
      <c r="G167" s="59" t="s">
        <v>794</v>
      </c>
      <c r="H167" s="90">
        <v>500.0</v>
      </c>
      <c r="I167" s="59"/>
      <c r="J167" s="120"/>
      <c r="K167" s="166"/>
      <c r="L167" s="157" t="s">
        <v>696</v>
      </c>
      <c r="M167" s="158">
        <f>30000-20000</f>
        <v>10000</v>
      </c>
      <c r="N167" s="157"/>
      <c r="O167" s="120"/>
    </row>
    <row r="168" hidden="1">
      <c r="A168" s="120"/>
      <c r="B168" s="120"/>
      <c r="C168" s="120"/>
      <c r="D168" s="120"/>
      <c r="E168" s="120"/>
      <c r="F168" s="62"/>
      <c r="G168" s="59" t="s">
        <v>824</v>
      </c>
      <c r="H168" s="91">
        <f>150+150+200+520+120+400+20</f>
        <v>1560</v>
      </c>
      <c r="I168" s="59"/>
      <c r="J168" s="120"/>
      <c r="K168" s="166"/>
      <c r="L168" s="157" t="s">
        <v>825</v>
      </c>
      <c r="M168" s="158">
        <f>12500*2+10000</f>
        <v>35000</v>
      </c>
      <c r="N168" s="157"/>
      <c r="O168" s="120"/>
    </row>
    <row r="169" hidden="1">
      <c r="A169" s="120"/>
      <c r="B169" s="120"/>
      <c r="C169" s="120"/>
      <c r="D169" s="120"/>
      <c r="E169" s="120"/>
      <c r="F169" s="62"/>
      <c r="G169" s="59" t="s">
        <v>826</v>
      </c>
      <c r="H169" s="90">
        <v>167800.0</v>
      </c>
      <c r="I169" s="65"/>
      <c r="J169" s="120"/>
      <c r="K169" s="166"/>
      <c r="L169" s="157" t="s">
        <v>698</v>
      </c>
      <c r="M169" s="158">
        <v>45000.0</v>
      </c>
      <c r="N169" s="157"/>
      <c r="O169" s="120"/>
    </row>
    <row r="170" hidden="1">
      <c r="A170" s="120"/>
      <c r="B170" s="120"/>
      <c r="C170" s="120"/>
      <c r="D170" s="120"/>
      <c r="E170" s="120"/>
      <c r="F170" s="62"/>
      <c r="G170" s="59" t="s">
        <v>827</v>
      </c>
      <c r="H170" s="91">
        <f>580+450+800+1680+900+480+270+200+80</f>
        <v>5440</v>
      </c>
      <c r="I170" s="59"/>
      <c r="J170" s="120"/>
      <c r="K170" s="166"/>
      <c r="L170" s="157" t="s">
        <v>828</v>
      </c>
      <c r="M170" s="158">
        <v>32000.0</v>
      </c>
      <c r="N170" s="157"/>
      <c r="O170" s="120"/>
    </row>
    <row r="171" hidden="1">
      <c r="A171" s="120"/>
      <c r="B171" s="120"/>
      <c r="C171" s="120"/>
      <c r="D171" s="120"/>
      <c r="E171" s="120"/>
      <c r="F171" s="58" t="s">
        <v>829</v>
      </c>
      <c r="G171" s="59" t="s">
        <v>824</v>
      </c>
      <c r="H171" s="91">
        <f>220+300+140+15+130</f>
        <v>805</v>
      </c>
      <c r="I171" s="65"/>
      <c r="J171" s="120"/>
      <c r="K171" s="166"/>
      <c r="L171" s="157" t="s">
        <v>830</v>
      </c>
      <c r="M171" s="158">
        <v>10000.0</v>
      </c>
      <c r="N171" s="157"/>
      <c r="O171" s="120"/>
    </row>
    <row r="172" hidden="1">
      <c r="A172" s="120"/>
      <c r="B172" s="120"/>
      <c r="C172" s="120"/>
      <c r="D172" s="120"/>
      <c r="E172" s="120"/>
      <c r="F172" s="62"/>
      <c r="G172" s="59" t="s">
        <v>350</v>
      </c>
      <c r="H172" s="91">
        <f>100+100+100+75+30+30+30+100</f>
        <v>565</v>
      </c>
      <c r="I172" s="65"/>
      <c r="J172" s="120"/>
      <c r="K172" s="166"/>
      <c r="L172" s="157" t="s">
        <v>831</v>
      </c>
      <c r="M172" s="158">
        <f>330000-100000</f>
        <v>230000</v>
      </c>
      <c r="N172" s="157"/>
      <c r="O172" s="120"/>
    </row>
    <row r="173" hidden="1">
      <c r="A173" s="120"/>
      <c r="B173" s="120"/>
      <c r="C173" s="120"/>
      <c r="D173" s="120"/>
      <c r="E173" s="120"/>
      <c r="F173" s="58" t="s">
        <v>832</v>
      </c>
      <c r="G173" s="59" t="s">
        <v>350</v>
      </c>
      <c r="H173" s="90">
        <v>120.0</v>
      </c>
      <c r="I173" s="65"/>
      <c r="J173" s="120"/>
      <c r="K173" s="166" t="s">
        <v>364</v>
      </c>
      <c r="L173" s="157" t="s">
        <v>833</v>
      </c>
      <c r="M173" s="202">
        <f>55200-55200</f>
        <v>0</v>
      </c>
      <c r="N173" s="157"/>
      <c r="O173" s="120"/>
    </row>
    <row r="174" hidden="1">
      <c r="A174" s="120"/>
      <c r="B174" s="120"/>
      <c r="C174" s="120"/>
      <c r="D174" s="120"/>
      <c r="E174" s="120"/>
      <c r="F174" s="62"/>
      <c r="G174" s="59" t="s">
        <v>824</v>
      </c>
      <c r="H174" s="91">
        <f>530+200</f>
        <v>730</v>
      </c>
      <c r="I174" s="65"/>
      <c r="J174" s="120"/>
      <c r="K174" s="166"/>
      <c r="L174" s="157" t="s">
        <v>834</v>
      </c>
      <c r="M174" s="202">
        <v>37500.0</v>
      </c>
      <c r="N174" s="203">
        <f>M173+M174</f>
        <v>37500</v>
      </c>
      <c r="O174" s="195" t="s">
        <v>835</v>
      </c>
    </row>
    <row r="175" hidden="1">
      <c r="A175" s="120"/>
      <c r="B175" s="120"/>
      <c r="C175" s="120"/>
      <c r="D175" s="120"/>
      <c r="E175" s="120"/>
      <c r="F175" s="62"/>
      <c r="G175" s="59" t="s">
        <v>836</v>
      </c>
      <c r="H175" s="90">
        <v>500.0</v>
      </c>
      <c r="I175" s="65"/>
      <c r="J175" s="120"/>
      <c r="K175" s="166"/>
      <c r="L175" s="157" t="s">
        <v>837</v>
      </c>
      <c r="M175" s="204">
        <v>38400.0</v>
      </c>
      <c r="N175" s="205"/>
      <c r="O175" s="120"/>
    </row>
    <row r="176" hidden="1">
      <c r="A176" s="120"/>
      <c r="B176" s="120"/>
      <c r="C176" s="120"/>
      <c r="D176" s="120"/>
      <c r="E176" s="120"/>
      <c r="F176" s="58" t="s">
        <v>59</v>
      </c>
      <c r="G176" s="206" t="s">
        <v>796</v>
      </c>
      <c r="H176" s="180">
        <f>18950-300</f>
        <v>18650</v>
      </c>
      <c r="I176" s="65"/>
      <c r="J176" s="120"/>
      <c r="K176" s="166"/>
      <c r="L176" s="157" t="s">
        <v>838</v>
      </c>
      <c r="M176" s="204">
        <v>39800.0</v>
      </c>
      <c r="N176" s="205"/>
      <c r="O176" s="120"/>
    </row>
    <row r="177" hidden="1">
      <c r="A177" s="120"/>
      <c r="B177" s="120"/>
      <c r="C177" s="120"/>
      <c r="D177" s="120"/>
      <c r="E177" s="120"/>
      <c r="F177" s="62"/>
      <c r="G177" s="206" t="s">
        <v>806</v>
      </c>
      <c r="H177" s="180">
        <f>14700-300</f>
        <v>14400</v>
      </c>
      <c r="I177" s="65"/>
      <c r="J177" s="120"/>
      <c r="K177" s="166"/>
      <c r="L177" s="157" t="s">
        <v>839</v>
      </c>
      <c r="M177" s="204">
        <v>25000.0</v>
      </c>
      <c r="N177" s="207">
        <f>M175+M176+M177</f>
        <v>103200</v>
      </c>
      <c r="O177" s="195" t="s">
        <v>840</v>
      </c>
    </row>
    <row r="178" hidden="1">
      <c r="A178" s="120"/>
      <c r="B178" s="120"/>
      <c r="C178" s="120"/>
      <c r="D178" s="120"/>
      <c r="E178" s="120"/>
      <c r="F178" s="62"/>
      <c r="G178" s="206" t="s">
        <v>794</v>
      </c>
      <c r="H178" s="180">
        <v>15650.0</v>
      </c>
      <c r="I178" s="65"/>
      <c r="J178" s="120"/>
      <c r="K178" s="166" t="s">
        <v>364</v>
      </c>
      <c r="L178" s="157" t="s">
        <v>841</v>
      </c>
      <c r="M178" s="158">
        <f>127500-127500</f>
        <v>0</v>
      </c>
      <c r="N178" s="205"/>
      <c r="O178" s="195"/>
    </row>
    <row r="179" hidden="1">
      <c r="A179" s="120"/>
      <c r="B179" s="120"/>
      <c r="C179" s="120"/>
      <c r="D179" s="120"/>
      <c r="E179" s="120"/>
      <c r="F179" s="208"/>
      <c r="G179" s="179" t="s">
        <v>809</v>
      </c>
      <c r="H179" s="180">
        <v>16500.0</v>
      </c>
      <c r="I179" s="208"/>
      <c r="J179" s="120"/>
      <c r="K179" s="166"/>
      <c r="L179" s="157" t="s">
        <v>842</v>
      </c>
      <c r="M179" s="209">
        <f>34315-34315</f>
        <v>0</v>
      </c>
      <c r="N179" s="205"/>
      <c r="O179" s="195"/>
    </row>
    <row r="180" hidden="1">
      <c r="A180" s="120"/>
      <c r="B180" s="120"/>
      <c r="C180" s="120"/>
      <c r="D180" s="120"/>
      <c r="E180" s="120"/>
      <c r="F180" s="208"/>
      <c r="G180" s="179" t="s">
        <v>675</v>
      </c>
      <c r="H180" s="210">
        <v>150.0</v>
      </c>
      <c r="I180" s="208"/>
      <c r="J180" s="120"/>
      <c r="K180" s="174" t="s">
        <v>702</v>
      </c>
      <c r="L180" s="39"/>
      <c r="M180" s="158">
        <f>SUM(M164:M179)</f>
        <v>659700</v>
      </c>
      <c r="N180" s="164"/>
      <c r="O180" s="120"/>
    </row>
    <row r="181" hidden="1">
      <c r="A181" s="120"/>
      <c r="B181" s="120"/>
      <c r="C181" s="120"/>
      <c r="D181" s="120"/>
      <c r="E181" s="120"/>
      <c r="F181" s="62"/>
      <c r="G181" s="206" t="s">
        <v>800</v>
      </c>
      <c r="H181" s="90">
        <v>8100.0</v>
      </c>
      <c r="I181" s="65"/>
      <c r="J181" s="120"/>
      <c r="K181" s="120"/>
      <c r="L181" s="120"/>
      <c r="M181" s="120"/>
      <c r="N181" s="120"/>
      <c r="O181" s="120"/>
    </row>
    <row r="182" hidden="1">
      <c r="A182" s="120"/>
      <c r="B182" s="120"/>
      <c r="C182" s="120"/>
      <c r="D182" s="120"/>
      <c r="E182" s="120"/>
      <c r="F182" s="62"/>
      <c r="G182" s="59" t="s">
        <v>350</v>
      </c>
      <c r="H182" s="91">
        <f>100+100+20+170</f>
        <v>390</v>
      </c>
      <c r="I182" s="65"/>
      <c r="J182" s="120"/>
      <c r="K182" s="120"/>
      <c r="L182" s="120"/>
      <c r="M182" s="120"/>
      <c r="N182" s="120"/>
      <c r="O182" s="120"/>
    </row>
    <row r="183" hidden="1">
      <c r="A183" s="120"/>
      <c r="B183" s="120"/>
      <c r="C183" s="120"/>
      <c r="D183" s="120"/>
      <c r="E183" s="120"/>
      <c r="F183" s="72"/>
      <c r="G183" s="211" t="s">
        <v>843</v>
      </c>
      <c r="H183" s="212">
        <v>16000.0</v>
      </c>
      <c r="I183" s="76"/>
      <c r="J183" s="120"/>
      <c r="K183" s="152" t="s">
        <v>844</v>
      </c>
      <c r="L183" s="34"/>
      <c r="M183" s="34"/>
      <c r="N183" s="39"/>
      <c r="O183" s="120"/>
    </row>
    <row r="184" hidden="1">
      <c r="A184" s="120"/>
      <c r="B184" s="120"/>
      <c r="C184" s="120"/>
      <c r="D184" s="120"/>
      <c r="E184" s="120"/>
      <c r="F184" s="58" t="s">
        <v>61</v>
      </c>
      <c r="G184" s="59" t="s">
        <v>647</v>
      </c>
      <c r="H184" s="90">
        <v>250.0</v>
      </c>
      <c r="I184" s="65"/>
      <c r="J184" s="120"/>
      <c r="K184" s="176" t="s">
        <v>232</v>
      </c>
      <c r="L184" s="177" t="s">
        <v>686</v>
      </c>
      <c r="M184" s="177" t="s">
        <v>238</v>
      </c>
      <c r="N184" s="177" t="s">
        <v>239</v>
      </c>
      <c r="O184" s="120"/>
    </row>
    <row r="185" hidden="1">
      <c r="A185" s="120"/>
      <c r="B185" s="120"/>
      <c r="C185" s="120"/>
      <c r="D185" s="120"/>
      <c r="E185" s="120"/>
      <c r="F185" s="58" t="s">
        <v>845</v>
      </c>
      <c r="G185" s="59" t="s">
        <v>647</v>
      </c>
      <c r="H185" s="91">
        <f>230+200</f>
        <v>430</v>
      </c>
      <c r="I185" s="59"/>
      <c r="J185" s="120"/>
      <c r="K185" s="166"/>
      <c r="L185" s="167" t="s">
        <v>638</v>
      </c>
      <c r="M185" s="168">
        <f>154500-50000</f>
        <v>104500</v>
      </c>
      <c r="N185" s="178"/>
      <c r="O185" s="120"/>
    </row>
    <row r="186" hidden="1">
      <c r="A186" s="120"/>
      <c r="B186" s="120"/>
      <c r="C186" s="120"/>
      <c r="D186" s="120"/>
      <c r="E186" s="120"/>
      <c r="F186" s="62"/>
      <c r="G186" s="59" t="s">
        <v>846</v>
      </c>
      <c r="H186" s="91">
        <f>20+30+20+30+300</f>
        <v>400</v>
      </c>
      <c r="I186" s="65"/>
      <c r="J186" s="120"/>
      <c r="K186" s="166"/>
      <c r="L186" s="157" t="s">
        <v>707</v>
      </c>
      <c r="M186" s="158">
        <v>61050.0</v>
      </c>
      <c r="N186" s="178"/>
      <c r="O186" s="120"/>
    </row>
    <row r="187" hidden="1">
      <c r="A187" s="120"/>
      <c r="B187" s="120"/>
      <c r="C187" s="120"/>
      <c r="D187" s="120"/>
      <c r="E187" s="120"/>
      <c r="F187" s="58" t="s">
        <v>847</v>
      </c>
      <c r="G187" s="59" t="s">
        <v>848</v>
      </c>
      <c r="H187" s="201">
        <f>6060+500+100+200+500+29861+5920+2050</f>
        <v>45191</v>
      </c>
      <c r="I187" s="65"/>
      <c r="J187" s="120"/>
      <c r="K187" s="166"/>
      <c r="L187" s="157" t="s">
        <v>849</v>
      </c>
      <c r="M187" s="158"/>
      <c r="N187" s="178"/>
      <c r="O187" s="120"/>
    </row>
    <row r="188" hidden="1">
      <c r="A188" s="120"/>
      <c r="B188" s="120"/>
      <c r="C188" s="120"/>
      <c r="D188" s="120"/>
      <c r="E188" s="120"/>
      <c r="F188" s="58" t="s">
        <v>358</v>
      </c>
      <c r="G188" s="59" t="s">
        <v>577</v>
      </c>
      <c r="H188" s="90">
        <v>480.0</v>
      </c>
      <c r="I188" s="65"/>
      <c r="J188" s="120"/>
      <c r="K188" s="166"/>
      <c r="L188" s="157" t="s">
        <v>850</v>
      </c>
      <c r="M188" s="158">
        <v>12000.0</v>
      </c>
      <c r="N188" s="178"/>
      <c r="O188" s="120"/>
    </row>
    <row r="189" hidden="1">
      <c r="A189" s="120"/>
      <c r="B189" s="120"/>
      <c r="C189" s="120"/>
      <c r="D189" s="120"/>
      <c r="E189" s="120"/>
      <c r="F189" s="58" t="s">
        <v>63</v>
      </c>
      <c r="G189" s="59" t="s">
        <v>851</v>
      </c>
      <c r="H189" s="90">
        <f>10505+3000</f>
        <v>13505</v>
      </c>
      <c r="I189" s="65"/>
      <c r="J189" s="120"/>
      <c r="K189" s="166"/>
      <c r="L189" s="157" t="s">
        <v>852</v>
      </c>
      <c r="M189" s="158">
        <v>30000.0</v>
      </c>
      <c r="N189" s="178"/>
      <c r="O189" s="120"/>
    </row>
    <row r="190" hidden="1">
      <c r="A190" s="120"/>
      <c r="B190" s="120"/>
      <c r="C190" s="120"/>
      <c r="D190" s="120"/>
      <c r="E190" s="120"/>
      <c r="F190" s="62"/>
      <c r="G190" s="59" t="s">
        <v>853</v>
      </c>
      <c r="H190" s="90">
        <f>460+100</f>
        <v>560</v>
      </c>
      <c r="I190" s="65"/>
      <c r="J190" s="120"/>
      <c r="K190" s="166"/>
      <c r="L190" s="157" t="s">
        <v>189</v>
      </c>
      <c r="M190" s="158">
        <v>759900.0</v>
      </c>
      <c r="N190" s="178"/>
      <c r="O190" s="120"/>
    </row>
    <row r="191" hidden="1">
      <c r="A191" s="120"/>
      <c r="B191" s="120"/>
      <c r="C191" s="120"/>
      <c r="D191" s="120"/>
      <c r="E191" s="120"/>
      <c r="F191" s="62"/>
      <c r="G191" s="59" t="s">
        <v>350</v>
      </c>
      <c r="H191" s="90">
        <v>300.0</v>
      </c>
      <c r="I191" s="65"/>
      <c r="J191" s="120"/>
      <c r="K191" s="166"/>
      <c r="L191" s="157" t="s">
        <v>709</v>
      </c>
      <c r="M191" s="158">
        <f>40000-30000</f>
        <v>10000</v>
      </c>
      <c r="N191" s="178"/>
      <c r="O191" s="120"/>
    </row>
    <row r="192" hidden="1">
      <c r="A192" s="120"/>
      <c r="B192" s="120"/>
      <c r="C192" s="120"/>
      <c r="D192" s="120"/>
      <c r="E192" s="120"/>
      <c r="F192" s="58" t="s">
        <v>364</v>
      </c>
      <c r="G192" s="59" t="s">
        <v>854</v>
      </c>
      <c r="H192" s="90">
        <v>4170.0</v>
      </c>
      <c r="I192" s="65"/>
      <c r="J192" s="120"/>
      <c r="K192" s="166"/>
      <c r="L192" s="157" t="s">
        <v>22</v>
      </c>
      <c r="M192" s="158">
        <f>68000+36000+12500-6000-10000-30000</f>
        <v>70500</v>
      </c>
      <c r="N192" s="178"/>
      <c r="O192" s="120"/>
    </row>
    <row r="193" hidden="1">
      <c r="A193" s="120"/>
      <c r="B193" s="120"/>
      <c r="C193" s="120"/>
      <c r="D193" s="120"/>
      <c r="E193" s="120"/>
      <c r="F193" s="62"/>
      <c r="G193" s="179" t="s">
        <v>789</v>
      </c>
      <c r="H193" s="180">
        <v>4900.0</v>
      </c>
      <c r="I193" s="65"/>
      <c r="J193" s="120"/>
      <c r="K193" s="174" t="s">
        <v>712</v>
      </c>
      <c r="L193" s="39"/>
      <c r="M193" s="158">
        <f>SUM(M185:M192)</f>
        <v>1047950</v>
      </c>
      <c r="N193" s="181"/>
      <c r="O193" s="120"/>
    </row>
    <row r="194" hidden="1">
      <c r="A194" s="120"/>
      <c r="B194" s="120"/>
      <c r="C194" s="120"/>
      <c r="D194" s="120"/>
      <c r="E194" s="120"/>
      <c r="F194" s="62"/>
      <c r="G194" s="179" t="s">
        <v>792</v>
      </c>
      <c r="H194" s="180">
        <f>44500-500</f>
        <v>44000</v>
      </c>
      <c r="I194" s="65"/>
      <c r="J194" s="120"/>
      <c r="K194" s="120"/>
      <c r="L194" s="120"/>
      <c r="M194" s="120"/>
      <c r="N194" s="120"/>
      <c r="O194" s="120"/>
    </row>
    <row r="195" hidden="1">
      <c r="A195" s="120"/>
      <c r="B195" s="120"/>
      <c r="C195" s="120"/>
      <c r="D195" s="120"/>
      <c r="E195" s="120"/>
      <c r="F195" s="62"/>
      <c r="G195" s="59" t="s">
        <v>855</v>
      </c>
      <c r="H195" s="90">
        <v>2700.0</v>
      </c>
      <c r="I195" s="65"/>
      <c r="J195" s="120"/>
      <c r="K195" s="120"/>
      <c r="L195" s="120"/>
      <c r="M195" s="120"/>
      <c r="N195" s="120"/>
      <c r="O195" s="120"/>
    </row>
    <row r="196" hidden="1">
      <c r="A196" s="120"/>
      <c r="B196" s="120"/>
      <c r="C196" s="120"/>
      <c r="D196" s="120"/>
      <c r="E196" s="120"/>
      <c r="F196" s="62"/>
      <c r="G196" s="59" t="s">
        <v>856</v>
      </c>
      <c r="H196" s="90">
        <v>5000.0</v>
      </c>
      <c r="I196" s="65"/>
      <c r="J196" s="120"/>
      <c r="K196" s="120"/>
      <c r="L196" s="120"/>
      <c r="M196" s="120"/>
      <c r="N196" s="120"/>
      <c r="O196" s="120"/>
    </row>
    <row r="197" hidden="1">
      <c r="A197" s="120"/>
      <c r="B197" s="120"/>
      <c r="C197" s="120"/>
      <c r="D197" s="120"/>
      <c r="E197" s="120"/>
      <c r="F197" s="62"/>
      <c r="G197" s="59" t="s">
        <v>857</v>
      </c>
      <c r="H197" s="90">
        <v>2000.0</v>
      </c>
      <c r="I197" s="65"/>
      <c r="J197" s="120"/>
      <c r="K197" s="120"/>
      <c r="L197" s="120"/>
      <c r="M197" s="120"/>
      <c r="N197" s="120"/>
      <c r="O197" s="120"/>
    </row>
    <row r="198" hidden="1">
      <c r="A198" s="120"/>
      <c r="B198" s="120"/>
      <c r="C198" s="120"/>
      <c r="D198" s="120"/>
      <c r="E198" s="120"/>
      <c r="F198" s="62"/>
      <c r="G198" s="59" t="s">
        <v>858</v>
      </c>
      <c r="H198" s="90">
        <v>127500.0</v>
      </c>
      <c r="I198" s="65"/>
      <c r="J198" s="120"/>
      <c r="K198" s="120"/>
      <c r="L198" s="120"/>
      <c r="M198" s="120"/>
      <c r="N198" s="120"/>
      <c r="O198" s="120"/>
    </row>
    <row r="199" hidden="1">
      <c r="A199" s="120"/>
      <c r="B199" s="120"/>
      <c r="C199" s="120"/>
      <c r="D199" s="120"/>
      <c r="E199" s="120"/>
      <c r="F199" s="213"/>
      <c r="G199" s="179" t="s">
        <v>833</v>
      </c>
      <c r="H199" s="180">
        <v>55200.0</v>
      </c>
      <c r="I199" s="65"/>
      <c r="J199" s="120"/>
      <c r="K199" s="120"/>
      <c r="L199" s="120"/>
      <c r="M199" s="120"/>
      <c r="N199" s="120"/>
      <c r="O199" s="120"/>
    </row>
    <row r="200" hidden="1">
      <c r="A200" s="120"/>
      <c r="B200" s="120"/>
      <c r="C200" s="120"/>
      <c r="D200" s="120"/>
      <c r="E200" s="120"/>
      <c r="F200" s="62"/>
      <c r="G200" s="59" t="s">
        <v>859</v>
      </c>
      <c r="H200" s="90">
        <v>5000.0</v>
      </c>
      <c r="I200" s="65"/>
      <c r="J200" s="120"/>
      <c r="K200" s="120"/>
      <c r="L200" s="59" t="s">
        <v>633</v>
      </c>
      <c r="M200" s="120"/>
      <c r="N200" s="120"/>
      <c r="O200" s="120"/>
    </row>
    <row r="201" hidden="1">
      <c r="A201" s="120"/>
      <c r="B201" s="120"/>
      <c r="C201" s="120"/>
      <c r="D201" s="120"/>
      <c r="E201" s="120"/>
      <c r="F201" s="62"/>
      <c r="G201" s="206" t="s">
        <v>803</v>
      </c>
      <c r="H201" s="180">
        <f>10650-200-2000</f>
        <v>8450</v>
      </c>
      <c r="I201" s="65"/>
      <c r="J201" s="120"/>
      <c r="K201" s="120"/>
      <c r="L201" s="120"/>
      <c r="M201" s="120"/>
      <c r="N201" s="120"/>
      <c r="O201" s="120"/>
    </row>
    <row r="202" hidden="1">
      <c r="A202" s="120"/>
      <c r="B202" s="120"/>
      <c r="C202" s="120"/>
      <c r="D202" s="120"/>
      <c r="E202" s="120"/>
      <c r="F202" s="62"/>
      <c r="G202" s="59" t="s">
        <v>860</v>
      </c>
      <c r="H202" s="90">
        <v>16000.0</v>
      </c>
      <c r="I202" s="65"/>
      <c r="J202" s="120"/>
      <c r="K202" s="120"/>
      <c r="L202" s="120"/>
      <c r="M202" s="120"/>
      <c r="N202" s="120"/>
      <c r="O202" s="120"/>
    </row>
    <row r="203" hidden="1">
      <c r="A203" s="120"/>
      <c r="B203" s="120"/>
      <c r="C203" s="120"/>
      <c r="D203" s="120"/>
      <c r="E203" s="120"/>
      <c r="F203" s="62"/>
      <c r="G203" s="59" t="s">
        <v>861</v>
      </c>
      <c r="H203" s="90">
        <v>4000.0</v>
      </c>
      <c r="I203" s="65"/>
      <c r="J203" s="120"/>
      <c r="K203" s="120"/>
      <c r="L203" s="120"/>
      <c r="M203" s="120"/>
      <c r="N203" s="120"/>
      <c r="O203" s="120"/>
    </row>
    <row r="204" hidden="1">
      <c r="A204" s="120"/>
      <c r="B204" s="120"/>
      <c r="C204" s="120"/>
      <c r="D204" s="120"/>
      <c r="E204" s="120"/>
      <c r="F204" s="58"/>
      <c r="G204" s="59" t="s">
        <v>862</v>
      </c>
      <c r="H204" s="90">
        <v>34315.0</v>
      </c>
      <c r="I204" s="65"/>
      <c r="J204" s="120"/>
      <c r="K204" s="120"/>
      <c r="L204" s="120"/>
      <c r="M204" s="120"/>
      <c r="N204" s="120"/>
      <c r="O204" s="120"/>
    </row>
    <row r="205" hidden="1">
      <c r="A205" s="120"/>
      <c r="B205" s="120"/>
      <c r="C205" s="120"/>
      <c r="D205" s="120"/>
      <c r="E205" s="120"/>
      <c r="F205" s="58" t="s">
        <v>73</v>
      </c>
      <c r="G205" s="59" t="s">
        <v>824</v>
      </c>
      <c r="H205" s="90">
        <v>300.0</v>
      </c>
      <c r="I205" s="65"/>
      <c r="J205" s="120"/>
      <c r="K205" s="120"/>
      <c r="L205" s="120"/>
      <c r="M205" s="120"/>
      <c r="N205" s="120"/>
      <c r="O205" s="120"/>
    </row>
    <row r="206" hidden="1">
      <c r="A206" s="120"/>
      <c r="B206" s="120"/>
      <c r="C206" s="120"/>
      <c r="D206" s="120"/>
      <c r="E206" s="120"/>
      <c r="F206" s="62"/>
      <c r="G206" s="59" t="s">
        <v>647</v>
      </c>
      <c r="H206" s="91">
        <f>140+110+150+180</f>
        <v>580</v>
      </c>
      <c r="I206" s="65"/>
      <c r="J206" s="120"/>
      <c r="K206" s="120"/>
      <c r="L206" s="120"/>
      <c r="M206" s="120"/>
      <c r="N206" s="120"/>
      <c r="O206" s="120"/>
    </row>
    <row r="207" hidden="1">
      <c r="A207" s="120"/>
      <c r="B207" s="120"/>
      <c r="C207" s="120"/>
      <c r="D207" s="120"/>
      <c r="E207" s="120"/>
      <c r="F207" s="58" t="s">
        <v>863</v>
      </c>
      <c r="G207" s="59" t="s">
        <v>864</v>
      </c>
      <c r="H207" s="91">
        <f>140+110+300</f>
        <v>550</v>
      </c>
      <c r="I207" s="65"/>
      <c r="J207" s="120"/>
      <c r="K207" s="120"/>
      <c r="L207" s="120"/>
      <c r="M207" s="120"/>
      <c r="N207" s="120"/>
      <c r="O207" s="120"/>
    </row>
    <row r="208" hidden="1">
      <c r="A208" s="120"/>
      <c r="B208" s="120"/>
      <c r="C208" s="120"/>
      <c r="D208" s="120"/>
      <c r="E208" s="120"/>
      <c r="F208" s="62"/>
      <c r="G208" s="59" t="s">
        <v>865</v>
      </c>
      <c r="H208" s="90">
        <v>920.0</v>
      </c>
      <c r="I208" s="65"/>
      <c r="J208" s="120"/>
      <c r="K208" s="120"/>
      <c r="L208" s="120"/>
      <c r="M208" s="120"/>
      <c r="N208" s="120"/>
      <c r="O208" s="120"/>
    </row>
    <row r="209" hidden="1">
      <c r="A209" s="120"/>
      <c r="B209" s="120"/>
      <c r="C209" s="120"/>
      <c r="D209" s="120"/>
      <c r="E209" s="120"/>
      <c r="F209" s="62"/>
      <c r="G209" s="59" t="s">
        <v>866</v>
      </c>
      <c r="H209" s="90">
        <v>1020.0</v>
      </c>
      <c r="I209" s="65"/>
      <c r="J209" s="120"/>
      <c r="K209" s="120"/>
      <c r="L209" s="120"/>
      <c r="M209" s="120"/>
      <c r="N209" s="120"/>
      <c r="O209" s="120"/>
    </row>
    <row r="210" hidden="1">
      <c r="A210" s="120"/>
      <c r="B210" s="120"/>
      <c r="C210" s="120"/>
      <c r="D210" s="120"/>
      <c r="E210" s="120"/>
      <c r="F210" s="62"/>
      <c r="G210" s="59" t="s">
        <v>867</v>
      </c>
      <c r="H210" s="91">
        <f>400+50+60</f>
        <v>510</v>
      </c>
      <c r="I210" s="65"/>
      <c r="J210" s="120"/>
      <c r="K210" s="120"/>
      <c r="L210" s="120"/>
      <c r="M210" s="120"/>
      <c r="N210" s="120"/>
      <c r="O210" s="120"/>
    </row>
    <row r="211" hidden="1">
      <c r="A211" s="120"/>
      <c r="B211" s="120"/>
      <c r="C211" s="120"/>
      <c r="D211" s="120"/>
      <c r="E211" s="120"/>
      <c r="F211" s="62"/>
      <c r="G211" s="59" t="s">
        <v>292</v>
      </c>
      <c r="H211" s="90">
        <v>23000.0</v>
      </c>
      <c r="I211" s="65"/>
      <c r="J211" s="120"/>
      <c r="K211" s="120"/>
      <c r="L211" s="120"/>
      <c r="M211" s="120"/>
      <c r="N211" s="120"/>
      <c r="O211" s="120"/>
    </row>
    <row r="212" hidden="1">
      <c r="A212" s="120"/>
      <c r="B212" s="120"/>
      <c r="C212" s="120"/>
      <c r="D212" s="120"/>
      <c r="E212" s="120"/>
      <c r="F212" s="62"/>
      <c r="G212" s="59" t="s">
        <v>317</v>
      </c>
      <c r="H212" s="90">
        <v>24500.0</v>
      </c>
      <c r="I212" s="65"/>
      <c r="J212" s="120"/>
      <c r="K212" s="120"/>
      <c r="L212" s="120"/>
      <c r="M212" s="120"/>
      <c r="N212" s="120"/>
      <c r="O212" s="120"/>
    </row>
    <row r="213" hidden="1">
      <c r="A213" s="120"/>
      <c r="B213" s="120"/>
      <c r="C213" s="120"/>
      <c r="D213" s="120"/>
      <c r="E213" s="120"/>
      <c r="F213" s="62"/>
      <c r="G213" s="59" t="s">
        <v>868</v>
      </c>
      <c r="H213" s="90">
        <v>10000.0</v>
      </c>
      <c r="I213" s="65"/>
      <c r="J213" s="120"/>
      <c r="K213" s="120"/>
      <c r="L213" s="120"/>
      <c r="M213" s="120"/>
      <c r="N213" s="120"/>
      <c r="O213" s="120"/>
    </row>
    <row r="214" hidden="1">
      <c r="A214" s="120"/>
      <c r="B214" s="120"/>
      <c r="C214" s="120"/>
      <c r="D214" s="120"/>
      <c r="E214" s="120"/>
      <c r="F214" s="62"/>
      <c r="G214" s="59" t="s">
        <v>869</v>
      </c>
      <c r="H214" s="90">
        <v>2000.0</v>
      </c>
      <c r="I214" s="65"/>
      <c r="J214" s="120"/>
      <c r="K214" s="120"/>
      <c r="L214" s="120"/>
      <c r="M214" s="120"/>
      <c r="N214" s="120"/>
      <c r="O214" s="120"/>
    </row>
    <row r="215" hidden="1">
      <c r="A215" s="120"/>
      <c r="B215" s="120"/>
      <c r="C215" s="120"/>
      <c r="D215" s="120"/>
      <c r="E215" s="120"/>
      <c r="F215" s="58" t="s">
        <v>76</v>
      </c>
      <c r="G215" s="59" t="s">
        <v>870</v>
      </c>
      <c r="H215" s="90">
        <v>1820.0</v>
      </c>
      <c r="I215" s="65"/>
      <c r="J215" s="120"/>
      <c r="K215" s="120"/>
      <c r="L215" s="120"/>
      <c r="M215" s="120"/>
      <c r="N215" s="120"/>
      <c r="O215" s="120"/>
    </row>
    <row r="216" hidden="1">
      <c r="A216" s="120"/>
      <c r="B216" s="120"/>
      <c r="C216" s="120"/>
      <c r="D216" s="120"/>
      <c r="E216" s="120"/>
      <c r="F216" s="58" t="s">
        <v>810</v>
      </c>
      <c r="G216" s="59" t="s">
        <v>871</v>
      </c>
      <c r="H216" s="91">
        <f>250+350+30+50+50+100+30</f>
        <v>860</v>
      </c>
      <c r="I216" s="65"/>
      <c r="J216" s="120"/>
      <c r="K216" s="120"/>
      <c r="L216" s="120"/>
      <c r="M216" s="120"/>
      <c r="N216" s="120"/>
      <c r="O216" s="120"/>
    </row>
    <row r="217" hidden="1">
      <c r="A217" s="120"/>
      <c r="B217" s="120"/>
      <c r="C217" s="120"/>
      <c r="D217" s="120"/>
      <c r="E217" s="120"/>
      <c r="F217" s="65"/>
      <c r="G217" s="59" t="s">
        <v>872</v>
      </c>
      <c r="H217" s="90">
        <v>20000.0</v>
      </c>
      <c r="I217" s="65"/>
      <c r="J217" s="120"/>
      <c r="K217" s="120"/>
      <c r="L217" s="120"/>
      <c r="M217" s="120"/>
      <c r="N217" s="120"/>
      <c r="O217" s="120"/>
    </row>
    <row r="218" hidden="1">
      <c r="A218" s="120"/>
      <c r="B218" s="120"/>
      <c r="C218" s="120"/>
      <c r="D218" s="120"/>
      <c r="E218" s="120"/>
      <c r="F218" s="65"/>
      <c r="G218" s="59" t="s">
        <v>873</v>
      </c>
      <c r="H218" s="90">
        <v>900.0</v>
      </c>
      <c r="I218" s="65"/>
      <c r="J218" s="120"/>
      <c r="K218" s="120"/>
      <c r="L218" s="120"/>
      <c r="M218" s="120"/>
      <c r="N218" s="120"/>
      <c r="O218" s="120"/>
    </row>
    <row r="219" hidden="1">
      <c r="A219" s="120"/>
      <c r="B219" s="120"/>
      <c r="C219" s="120"/>
      <c r="D219" s="120"/>
      <c r="E219" s="120"/>
      <c r="F219" s="65"/>
      <c r="G219" s="59" t="s">
        <v>824</v>
      </c>
      <c r="H219" s="90">
        <f>100+120+70</f>
        <v>290</v>
      </c>
      <c r="I219" s="65"/>
      <c r="J219" s="120"/>
      <c r="K219" s="120"/>
      <c r="L219" s="120"/>
      <c r="M219" s="120"/>
      <c r="N219" s="120"/>
      <c r="O219" s="120"/>
    </row>
    <row r="220" hidden="1">
      <c r="A220" s="120"/>
      <c r="B220" s="120"/>
      <c r="C220" s="120"/>
      <c r="D220" s="120"/>
      <c r="E220" s="120"/>
      <c r="F220" s="65"/>
      <c r="G220" s="59" t="s">
        <v>338</v>
      </c>
      <c r="H220" s="90">
        <v>7200.0</v>
      </c>
      <c r="I220" s="65"/>
      <c r="J220" s="120"/>
      <c r="K220" s="120"/>
      <c r="L220" s="120"/>
      <c r="M220" s="120"/>
      <c r="N220" s="120"/>
      <c r="O220" s="120"/>
    </row>
    <row r="221" hidden="1">
      <c r="A221" s="120"/>
      <c r="B221" s="120"/>
      <c r="C221" s="120"/>
      <c r="D221" s="120"/>
      <c r="E221" s="120"/>
      <c r="F221" s="66" t="s">
        <v>21</v>
      </c>
      <c r="G221" s="34"/>
      <c r="H221" s="214">
        <f>SUM(H143:H220)</f>
        <v>973591</v>
      </c>
      <c r="I221" s="199"/>
      <c r="J221" s="120"/>
      <c r="K221" s="120"/>
      <c r="L221" s="120"/>
      <c r="M221" s="120"/>
      <c r="N221" s="120"/>
      <c r="O221" s="120"/>
    </row>
    <row r="222" hidden="1">
      <c r="A222" s="120"/>
      <c r="B222" s="120"/>
      <c r="C222" s="120"/>
      <c r="D222" s="120"/>
      <c r="E222" s="120"/>
      <c r="F222" s="120"/>
      <c r="G222" s="120"/>
      <c r="H222" s="89"/>
      <c r="I222" s="120"/>
      <c r="J222" s="120"/>
      <c r="K222" s="120"/>
      <c r="L222" s="120"/>
      <c r="M222" s="120"/>
      <c r="N222" s="120"/>
      <c r="O222" s="120"/>
    </row>
    <row r="223">
      <c r="A223" s="120"/>
      <c r="B223" s="120"/>
      <c r="C223" s="120"/>
      <c r="D223" s="120"/>
      <c r="E223" s="120"/>
      <c r="F223" s="120"/>
      <c r="G223" s="120"/>
      <c r="H223" s="89"/>
      <c r="I223" s="120"/>
      <c r="J223" s="120"/>
      <c r="K223" s="120"/>
      <c r="L223" s="120"/>
      <c r="M223" s="120"/>
      <c r="N223" s="120"/>
      <c r="O223" s="120"/>
    </row>
    <row r="224">
      <c r="A224" s="139">
        <v>44986.0</v>
      </c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9"/>
      <c r="O224" s="120"/>
    </row>
    <row r="225">
      <c r="A225" s="3"/>
      <c r="B225" s="3"/>
      <c r="C225" s="3"/>
      <c r="D225" s="3"/>
      <c r="E225" s="2"/>
      <c r="F225" s="3"/>
      <c r="G225" s="3"/>
      <c r="H225" s="3"/>
      <c r="I225" s="3"/>
      <c r="J225" s="2"/>
      <c r="K225" s="3"/>
      <c r="L225" s="3"/>
      <c r="M225" s="3"/>
      <c r="N225" s="3"/>
      <c r="O225" s="120"/>
    </row>
    <row r="226" hidden="1">
      <c r="A226" s="140" t="s">
        <v>613</v>
      </c>
      <c r="B226" s="5"/>
      <c r="C226" s="5"/>
      <c r="D226" s="6"/>
      <c r="E226" s="46"/>
      <c r="F226" s="141" t="s">
        <v>614</v>
      </c>
      <c r="G226" s="5"/>
      <c r="H226" s="5"/>
      <c r="I226" s="6"/>
      <c r="J226" s="46"/>
      <c r="K226" s="142" t="s">
        <v>874</v>
      </c>
      <c r="L226" s="5"/>
      <c r="M226" s="5"/>
      <c r="N226" s="6"/>
      <c r="O226" s="120"/>
    </row>
    <row r="227" hidden="1">
      <c r="A227" s="215" t="s">
        <v>7</v>
      </c>
      <c r="B227" s="215" t="s">
        <v>616</v>
      </c>
      <c r="C227" s="215" t="s">
        <v>617</v>
      </c>
      <c r="D227" s="215" t="s">
        <v>618</v>
      </c>
      <c r="E227" s="145"/>
      <c r="F227" s="144" t="s">
        <v>7</v>
      </c>
      <c r="G227" s="144" t="s">
        <v>616</v>
      </c>
      <c r="H227" s="144" t="s">
        <v>617</v>
      </c>
      <c r="I227" s="146" t="s">
        <v>618</v>
      </c>
      <c r="J227" s="147"/>
      <c r="K227" s="144" t="s">
        <v>7</v>
      </c>
      <c r="L227" s="144" t="s">
        <v>616</v>
      </c>
      <c r="M227" s="144" t="s">
        <v>617</v>
      </c>
      <c r="N227" s="144" t="s">
        <v>618</v>
      </c>
      <c r="O227" s="120"/>
    </row>
    <row r="228" hidden="1">
      <c r="A228" s="59" t="s">
        <v>78</v>
      </c>
      <c r="B228" s="59" t="s">
        <v>373</v>
      </c>
      <c r="C228" s="96">
        <v>75000.0</v>
      </c>
      <c r="D228" s="59" t="s">
        <v>80</v>
      </c>
      <c r="E228" s="120"/>
      <c r="F228" s="59" t="s">
        <v>875</v>
      </c>
      <c r="G228" s="59" t="s">
        <v>824</v>
      </c>
      <c r="H228" s="96">
        <v>400.0</v>
      </c>
      <c r="I228" s="65"/>
      <c r="J228" s="120"/>
      <c r="K228" s="58" t="s">
        <v>875</v>
      </c>
      <c r="L228" s="193" t="s">
        <v>625</v>
      </c>
      <c r="M228" s="150">
        <v>6000.0</v>
      </c>
      <c r="N228" s="65"/>
      <c r="O228" s="120"/>
    </row>
    <row r="229" hidden="1">
      <c r="A229" s="59" t="s">
        <v>384</v>
      </c>
      <c r="B229" s="59" t="s">
        <v>85</v>
      </c>
      <c r="C229" s="96">
        <v>700000.0</v>
      </c>
      <c r="D229" s="59" t="s">
        <v>83</v>
      </c>
      <c r="E229" s="120"/>
      <c r="F229" s="59" t="s">
        <v>876</v>
      </c>
      <c r="G229" s="59" t="s">
        <v>877</v>
      </c>
      <c r="H229" s="97">
        <f>20+100+25+20+250+20+50+310+50+50+20+250</f>
        <v>1165</v>
      </c>
      <c r="I229" s="65"/>
      <c r="J229" s="120"/>
      <c r="K229" s="58" t="s">
        <v>875</v>
      </c>
      <c r="L229" s="193" t="s">
        <v>628</v>
      </c>
      <c r="M229" s="150">
        <f>92124+700+100000-167800-16000-9024</f>
        <v>0</v>
      </c>
      <c r="N229" s="59"/>
      <c r="O229" s="120"/>
    </row>
    <row r="230" hidden="1">
      <c r="A230" s="59" t="s">
        <v>87</v>
      </c>
      <c r="B230" s="59" t="s">
        <v>88</v>
      </c>
      <c r="C230" s="97">
        <f>12000-240</f>
        <v>11760</v>
      </c>
      <c r="D230" s="59" t="s">
        <v>89</v>
      </c>
      <c r="E230" s="120"/>
      <c r="F230" s="65"/>
      <c r="G230" s="59" t="s">
        <v>824</v>
      </c>
      <c r="H230" s="97">
        <f>200+300+150+100</f>
        <v>750</v>
      </c>
      <c r="I230" s="65"/>
      <c r="J230" s="120"/>
      <c r="K230" s="58" t="s">
        <v>875</v>
      </c>
      <c r="L230" s="193" t="s">
        <v>631</v>
      </c>
      <c r="M230" s="196">
        <f>12433-7200</f>
        <v>5233</v>
      </c>
      <c r="N230" s="59"/>
      <c r="O230" s="120"/>
    </row>
    <row r="231" hidden="1">
      <c r="A231" s="59" t="s">
        <v>106</v>
      </c>
      <c r="B231" s="59" t="s">
        <v>107</v>
      </c>
      <c r="C231" s="96">
        <v>9000.0</v>
      </c>
      <c r="D231" s="59" t="s">
        <v>108</v>
      </c>
      <c r="E231" s="120"/>
      <c r="F231" s="59" t="s">
        <v>374</v>
      </c>
      <c r="G231" s="59" t="s">
        <v>824</v>
      </c>
      <c r="H231" s="96">
        <v>500.0</v>
      </c>
      <c r="I231" s="65"/>
      <c r="J231" s="120"/>
      <c r="K231" s="120"/>
      <c r="L231" s="120"/>
      <c r="M231" s="120"/>
      <c r="N231" s="120"/>
      <c r="O231" s="120"/>
    </row>
    <row r="232" hidden="1">
      <c r="A232" s="59" t="s">
        <v>878</v>
      </c>
      <c r="B232" s="26" t="s">
        <v>49</v>
      </c>
      <c r="C232" s="96">
        <v>30000.0</v>
      </c>
      <c r="D232" s="26" t="s">
        <v>50</v>
      </c>
      <c r="E232" s="120"/>
      <c r="F232" s="59" t="s">
        <v>309</v>
      </c>
      <c r="G232" s="59" t="s">
        <v>879</v>
      </c>
      <c r="H232" s="97">
        <f>42320-9000+350</f>
        <v>33670</v>
      </c>
      <c r="I232" s="65"/>
      <c r="J232" s="120"/>
      <c r="K232" s="152" t="s">
        <v>880</v>
      </c>
      <c r="L232" s="34"/>
      <c r="M232" s="34"/>
      <c r="N232" s="39"/>
      <c r="O232" s="120"/>
    </row>
    <row r="233" hidden="1">
      <c r="A233" s="216" t="s">
        <v>881</v>
      </c>
      <c r="B233" s="216" t="s">
        <v>110</v>
      </c>
      <c r="C233" s="96">
        <v>52000.0</v>
      </c>
      <c r="D233" s="59" t="s">
        <v>77</v>
      </c>
      <c r="E233" s="120"/>
      <c r="F233" s="65"/>
      <c r="G233" s="59" t="s">
        <v>882</v>
      </c>
      <c r="H233" s="96">
        <v>1000.0</v>
      </c>
      <c r="I233" s="65"/>
      <c r="J233" s="120"/>
      <c r="K233" s="154" t="s">
        <v>232</v>
      </c>
      <c r="L233" s="155" t="s">
        <v>237</v>
      </c>
      <c r="M233" s="155" t="s">
        <v>238</v>
      </c>
      <c r="N233" s="155" t="s">
        <v>239</v>
      </c>
      <c r="O233" s="120"/>
    </row>
    <row r="234" hidden="1">
      <c r="A234" s="66" t="s">
        <v>666</v>
      </c>
      <c r="B234" s="39"/>
      <c r="C234" s="91">
        <f>SUM(C228:C233)</f>
        <v>877760</v>
      </c>
      <c r="D234" s="68"/>
      <c r="E234" s="120"/>
      <c r="F234" s="65"/>
      <c r="G234" s="59" t="s">
        <v>675</v>
      </c>
      <c r="H234" s="96">
        <v>120.0</v>
      </c>
      <c r="I234" s="65"/>
      <c r="J234" s="120"/>
      <c r="K234" s="156"/>
      <c r="L234" s="178" t="s">
        <v>883</v>
      </c>
      <c r="M234" s="158">
        <v>19566.0</v>
      </c>
      <c r="N234" s="159"/>
      <c r="O234" s="120"/>
    </row>
    <row r="235" hidden="1">
      <c r="A235" s="69"/>
      <c r="B235" s="69"/>
      <c r="C235" s="109"/>
      <c r="D235" s="69"/>
      <c r="E235" s="120"/>
      <c r="F235" s="65"/>
      <c r="G235" s="59" t="s">
        <v>884</v>
      </c>
      <c r="H235" s="96">
        <v>160.0</v>
      </c>
      <c r="I235" s="65"/>
      <c r="J235" s="120"/>
      <c r="K235" s="156" t="s">
        <v>885</v>
      </c>
      <c r="L235" s="178" t="s">
        <v>886</v>
      </c>
      <c r="M235" s="158">
        <v>44500.0</v>
      </c>
      <c r="N235" s="159" t="s">
        <v>398</v>
      </c>
      <c r="O235" s="120"/>
    </row>
    <row r="236" hidden="1">
      <c r="A236" s="69"/>
      <c r="B236" s="69"/>
      <c r="C236" s="109"/>
      <c r="D236" s="69"/>
      <c r="E236" s="120"/>
      <c r="F236" s="59" t="s">
        <v>887</v>
      </c>
      <c r="G236" s="59" t="s">
        <v>888</v>
      </c>
      <c r="H236" s="96">
        <v>1000.0</v>
      </c>
      <c r="I236" s="65"/>
      <c r="J236" s="120"/>
      <c r="K236" s="156" t="s">
        <v>384</v>
      </c>
      <c r="L236" s="197" t="s">
        <v>889</v>
      </c>
      <c r="M236" s="158">
        <f>18400-300-2000</f>
        <v>16100</v>
      </c>
      <c r="N236" s="159" t="s">
        <v>398</v>
      </c>
      <c r="O236" s="217" t="s">
        <v>890</v>
      </c>
    </row>
    <row r="237" hidden="1">
      <c r="A237" s="69"/>
      <c r="B237" s="69"/>
      <c r="C237" s="109"/>
      <c r="D237" s="69"/>
      <c r="E237" s="120"/>
      <c r="F237" s="65"/>
      <c r="G237" s="59" t="s">
        <v>888</v>
      </c>
      <c r="H237" s="96">
        <v>4200.0</v>
      </c>
      <c r="I237" s="59"/>
      <c r="J237" s="120"/>
      <c r="K237" s="156" t="s">
        <v>384</v>
      </c>
      <c r="L237" s="198" t="s">
        <v>891</v>
      </c>
      <c r="M237" s="158">
        <f>20100-300</f>
        <v>19800</v>
      </c>
      <c r="N237" s="159" t="s">
        <v>398</v>
      </c>
      <c r="O237" s="120"/>
    </row>
    <row r="238" hidden="1">
      <c r="A238" s="69"/>
      <c r="B238" s="69"/>
      <c r="C238" s="109"/>
      <c r="D238" s="69"/>
      <c r="E238" s="120"/>
      <c r="F238" s="65"/>
      <c r="G238" s="59" t="s">
        <v>892</v>
      </c>
      <c r="H238" s="97">
        <f>20+120+50+60+300</f>
        <v>550</v>
      </c>
      <c r="I238" s="65"/>
      <c r="J238" s="120"/>
      <c r="K238" s="156" t="s">
        <v>384</v>
      </c>
      <c r="L238" s="198" t="s">
        <v>893</v>
      </c>
      <c r="M238" s="158">
        <f>15900-300</f>
        <v>15600</v>
      </c>
      <c r="N238" s="159" t="s">
        <v>398</v>
      </c>
      <c r="O238" s="120"/>
    </row>
    <row r="239" hidden="1">
      <c r="A239" s="69"/>
      <c r="B239" s="69"/>
      <c r="C239" s="109"/>
      <c r="D239" s="69"/>
      <c r="E239" s="120"/>
      <c r="F239" s="65"/>
      <c r="G239" s="59" t="s">
        <v>677</v>
      </c>
      <c r="H239" s="96">
        <v>3000.0</v>
      </c>
      <c r="I239" s="59"/>
      <c r="J239" s="120"/>
      <c r="K239" s="156" t="s">
        <v>894</v>
      </c>
      <c r="L239" s="178" t="s">
        <v>895</v>
      </c>
      <c r="M239" s="158">
        <v>16500.0</v>
      </c>
      <c r="N239" s="159" t="s">
        <v>398</v>
      </c>
      <c r="O239" s="120"/>
    </row>
    <row r="240" hidden="1">
      <c r="A240" s="69"/>
      <c r="B240" s="69"/>
      <c r="C240" s="109"/>
      <c r="D240" s="69"/>
      <c r="E240" s="195"/>
      <c r="F240" s="65"/>
      <c r="G240" s="59" t="s">
        <v>633</v>
      </c>
      <c r="H240" s="97">
        <f>340+765</f>
        <v>1105</v>
      </c>
      <c r="I240" s="65"/>
      <c r="J240" s="120"/>
      <c r="K240" s="156" t="s">
        <v>878</v>
      </c>
      <c r="L240" s="178" t="s">
        <v>896</v>
      </c>
      <c r="M240" s="158">
        <v>1700.0</v>
      </c>
      <c r="N240" s="159" t="s">
        <v>398</v>
      </c>
      <c r="O240" s="120"/>
    </row>
    <row r="241" hidden="1">
      <c r="A241" s="69"/>
      <c r="B241" s="69"/>
      <c r="C241" s="109"/>
      <c r="D241" s="69"/>
      <c r="E241" s="195"/>
      <c r="F241" s="59" t="s">
        <v>897</v>
      </c>
      <c r="G241" s="59" t="s">
        <v>898</v>
      </c>
      <c r="H241" s="96">
        <v>22500.0</v>
      </c>
      <c r="I241" s="59" t="s">
        <v>899</v>
      </c>
      <c r="J241" s="120"/>
      <c r="K241" s="156" t="s">
        <v>887</v>
      </c>
      <c r="L241" s="178" t="s">
        <v>677</v>
      </c>
      <c r="M241" s="158">
        <v>3000.0</v>
      </c>
      <c r="N241" s="159" t="s">
        <v>398</v>
      </c>
      <c r="O241" s="120"/>
    </row>
    <row r="242" hidden="1">
      <c r="A242" s="69"/>
      <c r="B242" s="69"/>
      <c r="C242" s="109"/>
      <c r="D242" s="69"/>
      <c r="E242" s="195"/>
      <c r="F242" s="65"/>
      <c r="G242" s="59" t="s">
        <v>900</v>
      </c>
      <c r="H242" s="97">
        <f>70+300+20+80+300+120+20+330</f>
        <v>1240</v>
      </c>
      <c r="I242" s="65"/>
      <c r="J242" s="120"/>
      <c r="K242" s="156" t="s">
        <v>887</v>
      </c>
      <c r="L242" s="178" t="s">
        <v>675</v>
      </c>
      <c r="M242" s="161">
        <v>120.0</v>
      </c>
      <c r="N242" s="159" t="s">
        <v>398</v>
      </c>
      <c r="O242" s="120"/>
    </row>
    <row r="243" hidden="1">
      <c r="A243" s="69"/>
      <c r="B243" s="69"/>
      <c r="C243" s="89"/>
      <c r="D243" s="69"/>
      <c r="F243" s="65"/>
      <c r="G243" s="59" t="s">
        <v>901</v>
      </c>
      <c r="H243" s="96">
        <v>800.0</v>
      </c>
      <c r="I243" s="59" t="s">
        <v>902</v>
      </c>
      <c r="K243" s="163" t="s">
        <v>903</v>
      </c>
      <c r="L243" s="39"/>
      <c r="M243" s="172">
        <f>SUM(M234:M242)</f>
        <v>136886</v>
      </c>
      <c r="N243" s="164"/>
    </row>
    <row r="244" hidden="1">
      <c r="A244" s="69"/>
      <c r="B244" s="69"/>
      <c r="C244" s="89"/>
      <c r="D244" s="69"/>
      <c r="F244" s="59" t="s">
        <v>904</v>
      </c>
      <c r="G244" s="59" t="s">
        <v>905</v>
      </c>
      <c r="H244" s="97">
        <f>220+300+250+20+150</f>
        <v>940</v>
      </c>
      <c r="I244" s="65"/>
    </row>
    <row r="245" hidden="1">
      <c r="A245" s="69"/>
      <c r="B245" s="69"/>
      <c r="C245" s="89"/>
      <c r="D245" s="69"/>
      <c r="F245" s="59" t="s">
        <v>81</v>
      </c>
      <c r="G245" s="59" t="s">
        <v>906</v>
      </c>
      <c r="H245" s="97">
        <f>400+300+100+200</f>
        <v>1000</v>
      </c>
      <c r="I245" s="65"/>
      <c r="K245" s="152" t="s">
        <v>907</v>
      </c>
      <c r="L245" s="34"/>
      <c r="M245" s="34"/>
      <c r="N245" s="39"/>
    </row>
    <row r="246" hidden="1">
      <c r="A246" s="69"/>
      <c r="B246" s="69"/>
      <c r="C246" s="89"/>
      <c r="D246" s="69"/>
      <c r="F246" s="65"/>
      <c r="G246" s="59" t="s">
        <v>824</v>
      </c>
      <c r="H246" s="97">
        <f>90+200</f>
        <v>290</v>
      </c>
      <c r="I246" s="65"/>
      <c r="K246" s="154" t="s">
        <v>7</v>
      </c>
      <c r="L246" s="155" t="s">
        <v>686</v>
      </c>
      <c r="M246" s="155" t="s">
        <v>238</v>
      </c>
      <c r="N246" s="155" t="s">
        <v>239</v>
      </c>
    </row>
    <row r="247" hidden="1">
      <c r="A247" s="69"/>
      <c r="B247" s="69"/>
      <c r="C247" s="89"/>
      <c r="D247" s="69"/>
      <c r="F247" s="65"/>
      <c r="G247" s="59" t="s">
        <v>908</v>
      </c>
      <c r="H247" s="96">
        <v>1000.0</v>
      </c>
      <c r="I247" s="65"/>
      <c r="K247" s="166" t="s">
        <v>885</v>
      </c>
      <c r="L247" s="167" t="s">
        <v>687</v>
      </c>
      <c r="M247" s="168">
        <f>60000-20000+4000+2000-10000</f>
        <v>36000</v>
      </c>
      <c r="N247" s="157" t="s">
        <v>420</v>
      </c>
    </row>
    <row r="248" hidden="1">
      <c r="A248" s="69"/>
      <c r="B248" s="69"/>
      <c r="C248" s="89"/>
      <c r="D248" s="69"/>
      <c r="F248" s="208" t="s">
        <v>384</v>
      </c>
      <c r="G248" s="206" t="s">
        <v>889</v>
      </c>
      <c r="H248" s="180">
        <f>18400-300-2000</f>
        <v>16100</v>
      </c>
      <c r="I248" s="65"/>
      <c r="K248" s="166"/>
      <c r="L248" s="167" t="s">
        <v>690</v>
      </c>
      <c r="M248" s="168">
        <f>85000+6000+1000</f>
        <v>92000</v>
      </c>
      <c r="N248" s="164"/>
    </row>
    <row r="249" hidden="1">
      <c r="A249" s="69"/>
      <c r="B249" s="69"/>
      <c r="C249" s="89"/>
      <c r="D249" s="69"/>
      <c r="F249" s="208"/>
      <c r="G249" s="206" t="s">
        <v>891</v>
      </c>
      <c r="H249" s="180">
        <f>20100-300</f>
        <v>19800</v>
      </c>
      <c r="I249" s="65"/>
      <c r="K249" s="166"/>
      <c r="L249" s="167" t="s">
        <v>823</v>
      </c>
      <c r="M249" s="168">
        <f>7000+12000+12000+3000+12000</f>
        <v>46000</v>
      </c>
      <c r="N249" s="164"/>
    </row>
    <row r="250" hidden="1">
      <c r="A250" s="69"/>
      <c r="B250" s="69"/>
      <c r="C250" s="89"/>
      <c r="D250" s="69"/>
      <c r="F250" s="208"/>
      <c r="G250" s="206" t="s">
        <v>893</v>
      </c>
      <c r="H250" s="180">
        <f>15900-300</f>
        <v>15600</v>
      </c>
      <c r="I250" s="65"/>
      <c r="K250" s="166"/>
      <c r="L250" s="157" t="s">
        <v>909</v>
      </c>
      <c r="M250" s="158">
        <f>30000-20000</f>
        <v>10000</v>
      </c>
      <c r="N250" s="157"/>
    </row>
    <row r="251" hidden="1">
      <c r="A251" s="69"/>
      <c r="B251" s="69"/>
      <c r="C251" s="89"/>
      <c r="D251" s="69"/>
      <c r="F251" s="65"/>
      <c r="G251" s="59" t="s">
        <v>910</v>
      </c>
      <c r="H251" s="96">
        <f>592720+1500</f>
        <v>594220</v>
      </c>
      <c r="I251" s="65"/>
      <c r="K251" s="166"/>
      <c r="L251" s="157" t="s">
        <v>825</v>
      </c>
      <c r="M251" s="158">
        <f>12500*2+10000</f>
        <v>35000</v>
      </c>
      <c r="N251" s="157"/>
    </row>
    <row r="252" hidden="1">
      <c r="A252" s="69"/>
      <c r="B252" s="69"/>
      <c r="C252" s="89"/>
      <c r="D252" s="69"/>
      <c r="F252" s="59" t="s">
        <v>87</v>
      </c>
      <c r="G252" s="59" t="s">
        <v>647</v>
      </c>
      <c r="H252" s="96">
        <f>255+300+60+50</f>
        <v>665</v>
      </c>
      <c r="I252" s="59" t="s">
        <v>911</v>
      </c>
      <c r="K252" s="166"/>
      <c r="L252" s="157" t="s">
        <v>698</v>
      </c>
      <c r="M252" s="158">
        <v>45000.0</v>
      </c>
      <c r="N252" s="157"/>
    </row>
    <row r="253" hidden="1">
      <c r="A253" s="69"/>
      <c r="B253" s="69"/>
      <c r="C253" s="89"/>
      <c r="D253" s="69"/>
      <c r="F253" s="59" t="s">
        <v>90</v>
      </c>
      <c r="G253" s="59" t="s">
        <v>912</v>
      </c>
      <c r="H253" s="97">
        <f>500+500+250+150</f>
        <v>1400</v>
      </c>
      <c r="I253" s="65"/>
      <c r="K253" s="166"/>
      <c r="L253" s="157" t="s">
        <v>828</v>
      </c>
      <c r="M253" s="158">
        <f>32000+16000</f>
        <v>48000</v>
      </c>
      <c r="N253" s="157"/>
    </row>
    <row r="254" hidden="1">
      <c r="A254" s="69"/>
      <c r="B254" s="69"/>
      <c r="C254" s="89"/>
      <c r="D254" s="69"/>
      <c r="F254" s="65"/>
      <c r="G254" s="59" t="s">
        <v>913</v>
      </c>
      <c r="H254" s="96">
        <v>16500.0</v>
      </c>
      <c r="I254" s="65"/>
      <c r="K254" s="166"/>
      <c r="L254" s="157" t="s">
        <v>831</v>
      </c>
      <c r="M254" s="158">
        <f>330000-100000</f>
        <v>230000</v>
      </c>
      <c r="N254" s="157" t="s">
        <v>914</v>
      </c>
    </row>
    <row r="255" hidden="1">
      <c r="A255" s="69"/>
      <c r="B255" s="69"/>
      <c r="C255" s="89"/>
      <c r="D255" s="69"/>
      <c r="F255" s="65"/>
      <c r="G255" s="59" t="s">
        <v>824</v>
      </c>
      <c r="H255" s="97">
        <f>80+300+50+150+220</f>
        <v>800</v>
      </c>
      <c r="I255" s="65"/>
      <c r="K255" s="166"/>
      <c r="L255" s="173" t="s">
        <v>834</v>
      </c>
      <c r="M255" s="202">
        <v>37500.0</v>
      </c>
      <c r="N255" s="218"/>
    </row>
    <row r="256" hidden="1">
      <c r="A256" s="219"/>
      <c r="B256" s="219"/>
      <c r="C256" s="220"/>
      <c r="D256" s="219"/>
      <c r="F256" s="65"/>
      <c r="G256" s="59" t="s">
        <v>915</v>
      </c>
      <c r="H256" s="221">
        <f>5000+10150</f>
        <v>15150</v>
      </c>
      <c r="I256" s="65"/>
      <c r="K256" s="166"/>
      <c r="L256" s="173" t="s">
        <v>916</v>
      </c>
      <c r="M256" s="202">
        <v>70800.0</v>
      </c>
      <c r="N256" s="222">
        <f>M255+M256</f>
        <v>108300</v>
      </c>
    </row>
    <row r="257" hidden="1">
      <c r="A257" s="223"/>
      <c r="B257" s="223"/>
      <c r="C257" s="224"/>
      <c r="D257" s="223"/>
      <c r="F257" s="58" t="s">
        <v>885</v>
      </c>
      <c r="G257" s="59" t="s">
        <v>886</v>
      </c>
      <c r="H257" s="96">
        <v>44500.0</v>
      </c>
      <c r="I257" s="65"/>
      <c r="K257" s="166"/>
      <c r="L257" s="173" t="s">
        <v>837</v>
      </c>
      <c r="M257" s="225">
        <v>38400.0</v>
      </c>
      <c r="N257" s="205"/>
    </row>
    <row r="258" hidden="1">
      <c r="A258" s="219"/>
      <c r="B258" s="223"/>
      <c r="C258" s="224"/>
      <c r="D258" s="223"/>
      <c r="F258" s="58"/>
      <c r="G258" s="59" t="s">
        <v>647</v>
      </c>
      <c r="H258" s="96">
        <f>545+300+180+40</f>
        <v>1065</v>
      </c>
      <c r="I258" s="59"/>
      <c r="K258" s="166"/>
      <c r="L258" s="173" t="s">
        <v>838</v>
      </c>
      <c r="M258" s="225">
        <v>39800.0</v>
      </c>
      <c r="N258" s="205"/>
    </row>
    <row r="259" hidden="1">
      <c r="A259" s="223"/>
      <c r="B259" s="223"/>
      <c r="C259" s="224"/>
      <c r="D259" s="223"/>
      <c r="F259" s="58" t="s">
        <v>95</v>
      </c>
      <c r="G259" s="59" t="s">
        <v>917</v>
      </c>
      <c r="H259" s="97">
        <f>140+220+40</f>
        <v>400</v>
      </c>
      <c r="I259" s="65"/>
      <c r="K259" s="166"/>
      <c r="L259" s="173" t="s">
        <v>839</v>
      </c>
      <c r="M259" s="225">
        <v>25000.0</v>
      </c>
      <c r="N259" s="226"/>
    </row>
    <row r="260" hidden="1">
      <c r="A260" s="219"/>
      <c r="B260" s="219"/>
      <c r="C260" s="220"/>
      <c r="D260" s="219"/>
      <c r="F260" s="58" t="s">
        <v>99</v>
      </c>
      <c r="G260" s="59" t="s">
        <v>647</v>
      </c>
      <c r="H260" s="96">
        <f>260+390+75+180+700+100</f>
        <v>1705</v>
      </c>
      <c r="I260" s="65"/>
      <c r="K260" s="166"/>
      <c r="L260" s="173" t="s">
        <v>918</v>
      </c>
      <c r="M260" s="225">
        <v>47200.0</v>
      </c>
      <c r="N260" s="227">
        <f>M257+M258+M259+M260</f>
        <v>150400</v>
      </c>
    </row>
    <row r="261" hidden="1">
      <c r="A261" s="219"/>
      <c r="B261" s="219"/>
      <c r="C261" s="220"/>
      <c r="D261" s="219"/>
      <c r="F261" s="62"/>
      <c r="G261" s="59" t="s">
        <v>919</v>
      </c>
      <c r="H261" s="96">
        <v>1650.0</v>
      </c>
      <c r="I261" s="65"/>
      <c r="K261" s="166"/>
      <c r="L261" s="157" t="s">
        <v>920</v>
      </c>
      <c r="M261" s="158">
        <v>3000.0</v>
      </c>
      <c r="N261" s="228"/>
    </row>
    <row r="262" hidden="1">
      <c r="A262" s="219"/>
      <c r="B262" s="219"/>
      <c r="C262" s="220"/>
      <c r="D262" s="219"/>
      <c r="F262" s="58" t="s">
        <v>921</v>
      </c>
      <c r="G262" s="59" t="s">
        <v>824</v>
      </c>
      <c r="H262" s="96">
        <f>100+240+40</f>
        <v>380</v>
      </c>
      <c r="I262" s="65"/>
      <c r="K262" s="166"/>
      <c r="L262" s="157" t="s">
        <v>330</v>
      </c>
      <c r="M262" s="158">
        <v>9000.0</v>
      </c>
      <c r="N262" s="228"/>
    </row>
    <row r="263" hidden="1">
      <c r="A263" s="219"/>
      <c r="B263" s="219"/>
      <c r="C263" s="220"/>
      <c r="D263" s="219"/>
      <c r="F263" s="62"/>
      <c r="G263" s="59" t="s">
        <v>922</v>
      </c>
      <c r="H263" s="96">
        <v>280.0</v>
      </c>
      <c r="I263" s="65"/>
      <c r="K263" s="166"/>
      <c r="L263" s="157" t="s">
        <v>331</v>
      </c>
      <c r="M263" s="158">
        <v>9000.0</v>
      </c>
      <c r="N263" s="228"/>
    </row>
    <row r="264" hidden="1">
      <c r="C264" s="30"/>
      <c r="F264" s="58" t="s">
        <v>103</v>
      </c>
      <c r="G264" s="59" t="s">
        <v>647</v>
      </c>
      <c r="H264" s="96">
        <v>575.0</v>
      </c>
      <c r="I264" s="65"/>
      <c r="K264" s="166"/>
      <c r="L264" s="157" t="s">
        <v>334</v>
      </c>
      <c r="M264" s="209">
        <v>4000.0</v>
      </c>
      <c r="N264" s="205"/>
    </row>
    <row r="265" hidden="1">
      <c r="C265" s="30"/>
      <c r="F265" s="58" t="s">
        <v>106</v>
      </c>
      <c r="G265" s="59" t="s">
        <v>923</v>
      </c>
      <c r="H265" s="97">
        <f>650+200+100+250</f>
        <v>1200</v>
      </c>
      <c r="I265" s="65"/>
      <c r="K265" s="166" t="s">
        <v>878</v>
      </c>
      <c r="L265" s="157" t="s">
        <v>345</v>
      </c>
      <c r="M265" s="209">
        <f>1500+5000+2000-5000</f>
        <v>3500</v>
      </c>
      <c r="N265" s="205" t="s">
        <v>924</v>
      </c>
    </row>
    <row r="266" hidden="1">
      <c r="C266" s="30"/>
      <c r="F266" s="62"/>
      <c r="G266" s="59" t="s">
        <v>824</v>
      </c>
      <c r="H266" s="96">
        <v>90.0</v>
      </c>
      <c r="I266" s="65"/>
      <c r="K266" s="166"/>
      <c r="L266" s="157" t="s">
        <v>925</v>
      </c>
      <c r="M266" s="209">
        <f>2400+4800</f>
        <v>7200</v>
      </c>
      <c r="N266" s="205"/>
    </row>
    <row r="267" hidden="1">
      <c r="C267" s="30"/>
      <c r="F267" s="58" t="s">
        <v>878</v>
      </c>
      <c r="G267" s="59" t="s">
        <v>926</v>
      </c>
      <c r="H267" s="97">
        <f>20+10+30+20+20</f>
        <v>100</v>
      </c>
      <c r="I267" s="65"/>
      <c r="K267" s="166"/>
      <c r="L267" s="157" t="s">
        <v>349</v>
      </c>
      <c r="M267" s="209">
        <v>3000.0</v>
      </c>
      <c r="N267" s="205"/>
    </row>
    <row r="268" hidden="1">
      <c r="C268" s="30"/>
      <c r="F268" s="62"/>
      <c r="G268" s="59" t="s">
        <v>927</v>
      </c>
      <c r="H268" s="96">
        <v>1390.0</v>
      </c>
      <c r="I268" s="65"/>
      <c r="K268" s="166"/>
      <c r="L268" s="157" t="s">
        <v>928</v>
      </c>
      <c r="M268" s="209">
        <v>20000.0</v>
      </c>
      <c r="N268" s="205"/>
    </row>
    <row r="269" hidden="1">
      <c r="C269" s="30"/>
      <c r="F269" s="62"/>
      <c r="G269" s="59" t="s">
        <v>929</v>
      </c>
      <c r="H269" s="96">
        <v>1700.0</v>
      </c>
      <c r="I269" s="65"/>
      <c r="K269" s="174" t="s">
        <v>702</v>
      </c>
      <c r="L269" s="39"/>
      <c r="M269" s="172">
        <f>SUM(M247:M268)</f>
        <v>859400</v>
      </c>
      <c r="N269" s="205"/>
    </row>
    <row r="270" hidden="1">
      <c r="C270" s="30"/>
      <c r="F270" s="62"/>
      <c r="G270" s="59" t="s">
        <v>647</v>
      </c>
      <c r="H270" s="96">
        <f>150+120+2000</f>
        <v>2270</v>
      </c>
      <c r="I270" s="65"/>
    </row>
    <row r="271" hidden="1">
      <c r="C271" s="30"/>
      <c r="F271" s="62"/>
      <c r="G271" s="59" t="s">
        <v>930</v>
      </c>
      <c r="H271" s="96">
        <v>1900.0</v>
      </c>
      <c r="I271" s="65"/>
      <c r="K271" s="152" t="s">
        <v>931</v>
      </c>
      <c r="L271" s="34"/>
      <c r="M271" s="34"/>
      <c r="N271" s="39"/>
    </row>
    <row r="272" hidden="1">
      <c r="C272" s="30"/>
      <c r="F272" s="62"/>
      <c r="G272" s="59" t="s">
        <v>345</v>
      </c>
      <c r="H272" s="96">
        <v>5000.0</v>
      </c>
      <c r="I272" s="65"/>
      <c r="K272" s="176" t="s">
        <v>232</v>
      </c>
      <c r="L272" s="177" t="s">
        <v>686</v>
      </c>
      <c r="M272" s="177" t="s">
        <v>238</v>
      </c>
      <c r="N272" s="177" t="s">
        <v>239</v>
      </c>
    </row>
    <row r="273" hidden="1">
      <c r="C273" s="30"/>
      <c r="F273" s="62"/>
      <c r="G273" s="59" t="s">
        <v>932</v>
      </c>
      <c r="H273" s="96">
        <v>10000.0</v>
      </c>
      <c r="I273" s="65"/>
      <c r="K273" s="166"/>
      <c r="L273" s="167" t="s">
        <v>638</v>
      </c>
      <c r="M273" s="168">
        <f>154500-50000</f>
        <v>104500</v>
      </c>
      <c r="N273" s="178"/>
    </row>
    <row r="274" hidden="1">
      <c r="C274" s="30"/>
      <c r="F274" s="58" t="s">
        <v>933</v>
      </c>
      <c r="G274" s="59" t="s">
        <v>824</v>
      </c>
      <c r="H274" s="96">
        <v>250.0</v>
      </c>
      <c r="I274" s="65"/>
      <c r="K274" s="166"/>
      <c r="L274" s="157" t="s">
        <v>14</v>
      </c>
      <c r="M274" s="158">
        <v>9400.0</v>
      </c>
      <c r="N274" s="178"/>
    </row>
    <row r="275" hidden="1">
      <c r="C275" s="30"/>
      <c r="F275" s="58" t="s">
        <v>934</v>
      </c>
      <c r="G275" s="59" t="s">
        <v>824</v>
      </c>
      <c r="H275" s="96">
        <v>100.0</v>
      </c>
      <c r="I275" s="65"/>
      <c r="K275" s="166"/>
      <c r="L275" s="157" t="s">
        <v>852</v>
      </c>
      <c r="M275" s="158">
        <f>30000-10000+22500</f>
        <v>42500</v>
      </c>
      <c r="N275" s="178"/>
    </row>
    <row r="276" hidden="1">
      <c r="C276" s="30"/>
      <c r="F276" s="58" t="s">
        <v>935</v>
      </c>
      <c r="G276" s="59" t="s">
        <v>824</v>
      </c>
      <c r="H276" s="96">
        <v>150.0</v>
      </c>
      <c r="I276" s="65"/>
      <c r="K276" s="166"/>
      <c r="L276" s="157" t="s">
        <v>189</v>
      </c>
      <c r="M276" s="158">
        <f>759900+32200+10000+35000+10000+35000-32200</f>
        <v>849900</v>
      </c>
      <c r="N276" s="178"/>
    </row>
    <row r="277" hidden="1">
      <c r="C277" s="30"/>
      <c r="F277" s="58" t="s">
        <v>936</v>
      </c>
      <c r="G277" s="59" t="s">
        <v>784</v>
      </c>
      <c r="H277" s="96">
        <v>320.0</v>
      </c>
      <c r="I277" s="65"/>
      <c r="K277" s="166"/>
      <c r="L277" s="157" t="s">
        <v>709</v>
      </c>
      <c r="M277" s="158">
        <f>40000-30000</f>
        <v>10000</v>
      </c>
      <c r="N277" s="178"/>
    </row>
    <row r="278" hidden="1">
      <c r="C278" s="30"/>
      <c r="F278" s="65"/>
      <c r="G278" s="59" t="s">
        <v>824</v>
      </c>
      <c r="H278" s="96">
        <f>60+20+50+30+50+30</f>
        <v>240</v>
      </c>
      <c r="I278" s="65"/>
      <c r="K278" s="166"/>
      <c r="L278" s="157" t="s">
        <v>22</v>
      </c>
      <c r="M278" s="158">
        <f>68000+36000+12500-6000-10000-30000</f>
        <v>70500</v>
      </c>
      <c r="N278" s="178"/>
    </row>
    <row r="279" hidden="1">
      <c r="C279" s="30"/>
      <c r="F279" s="59" t="s">
        <v>937</v>
      </c>
      <c r="G279" s="59" t="s">
        <v>938</v>
      </c>
      <c r="H279" s="96">
        <v>120.0</v>
      </c>
      <c r="I279" s="65"/>
      <c r="K279" s="166"/>
      <c r="L279" s="157" t="s">
        <v>57</v>
      </c>
      <c r="M279" s="158">
        <f>6800+7800+7800+52000</f>
        <v>74400</v>
      </c>
      <c r="N279" s="178"/>
    </row>
    <row r="280" hidden="1">
      <c r="C280" s="30"/>
      <c r="F280" s="59" t="s">
        <v>881</v>
      </c>
      <c r="G280" s="59" t="s">
        <v>824</v>
      </c>
      <c r="H280" s="96">
        <f>60+50</f>
        <v>110</v>
      </c>
      <c r="I280" s="65"/>
      <c r="K280" s="166"/>
      <c r="L280" s="157" t="s">
        <v>939</v>
      </c>
      <c r="M280" s="158">
        <v>3000.0</v>
      </c>
      <c r="N280" s="178"/>
    </row>
    <row r="281" hidden="1">
      <c r="C281" s="30"/>
      <c r="F281" s="66" t="s">
        <v>940</v>
      </c>
      <c r="G281" s="39"/>
      <c r="H281" s="91">
        <f>SUM(H228:H280)</f>
        <v>831120</v>
      </c>
      <c r="I281" s="68"/>
      <c r="K281" s="174" t="s">
        <v>712</v>
      </c>
      <c r="L281" s="39"/>
      <c r="M281" s="172">
        <f>SUM(M273:M280)</f>
        <v>1164200</v>
      </c>
      <c r="N281" s="181"/>
    </row>
    <row r="282" hidden="1">
      <c r="F282" s="69"/>
      <c r="G282" s="69"/>
      <c r="H282" s="109"/>
      <c r="I282" s="69"/>
    </row>
    <row r="283" hidden="1">
      <c r="F283" s="69"/>
      <c r="G283" s="69"/>
      <c r="H283" s="109"/>
      <c r="I283" s="69"/>
    </row>
    <row r="284" hidden="1">
      <c r="F284" s="69"/>
      <c r="G284" s="69"/>
      <c r="H284" s="109"/>
      <c r="I284" s="69"/>
    </row>
    <row r="285" hidden="1">
      <c r="F285" s="69"/>
      <c r="G285" s="69"/>
      <c r="H285" s="109"/>
      <c r="I285" s="69"/>
    </row>
    <row r="286" hidden="1">
      <c r="F286" s="69"/>
      <c r="G286" s="69"/>
      <c r="H286" s="109"/>
      <c r="I286" s="69"/>
    </row>
    <row r="287">
      <c r="F287" s="69"/>
      <c r="G287" s="69"/>
      <c r="H287" s="109"/>
      <c r="I287" s="69"/>
    </row>
    <row r="288">
      <c r="A288" s="139">
        <v>45017.0</v>
      </c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9"/>
    </row>
    <row r="289">
      <c r="F289" s="69"/>
      <c r="G289" s="69"/>
      <c r="H289" s="109"/>
      <c r="I289" s="69"/>
    </row>
    <row r="290" hidden="1">
      <c r="A290" s="229" t="s">
        <v>613</v>
      </c>
      <c r="B290" s="34"/>
      <c r="C290" s="34"/>
      <c r="D290" s="39"/>
      <c r="E290" s="46"/>
      <c r="F290" s="229" t="s">
        <v>614</v>
      </c>
      <c r="G290" s="34"/>
      <c r="H290" s="34"/>
      <c r="I290" s="39"/>
      <c r="K290" s="230" t="s">
        <v>941</v>
      </c>
      <c r="L290" s="34"/>
      <c r="M290" s="34"/>
      <c r="N290" s="39"/>
    </row>
    <row r="291" hidden="1">
      <c r="A291" s="143" t="s">
        <v>7</v>
      </c>
      <c r="B291" s="144" t="s">
        <v>616</v>
      </c>
      <c r="C291" s="144" t="s">
        <v>617</v>
      </c>
      <c r="D291" s="144" t="s">
        <v>618</v>
      </c>
      <c r="E291" s="145"/>
      <c r="F291" s="144" t="s">
        <v>7</v>
      </c>
      <c r="G291" s="144" t="s">
        <v>616</v>
      </c>
      <c r="H291" s="144" t="s">
        <v>617</v>
      </c>
      <c r="I291" s="146" t="s">
        <v>618</v>
      </c>
      <c r="K291" s="215" t="s">
        <v>7</v>
      </c>
      <c r="L291" s="215" t="s">
        <v>616</v>
      </c>
      <c r="M291" s="215" t="s">
        <v>617</v>
      </c>
      <c r="N291" s="215" t="s">
        <v>618</v>
      </c>
    </row>
    <row r="292" hidden="1">
      <c r="A292" s="59" t="s">
        <v>942</v>
      </c>
      <c r="B292" s="59" t="s">
        <v>93</v>
      </c>
      <c r="C292" s="96">
        <v>28000.0</v>
      </c>
      <c r="D292" s="59" t="s">
        <v>94</v>
      </c>
      <c r="F292" s="58" t="s">
        <v>942</v>
      </c>
      <c r="G292" s="59" t="s">
        <v>943</v>
      </c>
      <c r="H292" s="96">
        <v>3000.0</v>
      </c>
      <c r="I292" s="65"/>
      <c r="K292" s="58" t="s">
        <v>944</v>
      </c>
      <c r="L292" s="193" t="s">
        <v>625</v>
      </c>
      <c r="M292" s="150">
        <v>6000.0</v>
      </c>
      <c r="N292" s="65"/>
    </row>
    <row r="293" hidden="1">
      <c r="A293" s="65"/>
      <c r="B293" s="59" t="s">
        <v>104</v>
      </c>
      <c r="C293" s="96">
        <v>14000.0</v>
      </c>
      <c r="D293" s="231" t="s">
        <v>105</v>
      </c>
      <c r="F293" s="62"/>
      <c r="G293" s="59" t="s">
        <v>824</v>
      </c>
      <c r="H293" s="96">
        <v>450.0</v>
      </c>
      <c r="I293" s="65"/>
      <c r="K293" s="58" t="s">
        <v>945</v>
      </c>
      <c r="L293" s="193" t="s">
        <v>628</v>
      </c>
      <c r="M293" s="150">
        <f>28000+14000-42000</f>
        <v>0</v>
      </c>
      <c r="N293" s="59"/>
    </row>
    <row r="294" hidden="1">
      <c r="A294" s="59" t="s">
        <v>946</v>
      </c>
      <c r="B294" s="59" t="s">
        <v>96</v>
      </c>
      <c r="C294" s="96">
        <v>20000.0</v>
      </c>
      <c r="D294" s="231" t="s">
        <v>97</v>
      </c>
      <c r="F294" s="62"/>
      <c r="G294" s="59" t="s">
        <v>335</v>
      </c>
      <c r="H294" s="96">
        <v>50000.0</v>
      </c>
      <c r="I294" s="65"/>
      <c r="K294" s="58" t="s">
        <v>944</v>
      </c>
      <c r="L294" s="193" t="s">
        <v>631</v>
      </c>
      <c r="M294" s="150">
        <f>63873-12000</f>
        <v>51873</v>
      </c>
      <c r="N294" s="59"/>
    </row>
    <row r="295" hidden="1">
      <c r="A295" s="59" t="s">
        <v>112</v>
      </c>
      <c r="B295" s="59" t="s">
        <v>113</v>
      </c>
      <c r="C295" s="96">
        <v>3500.0</v>
      </c>
      <c r="D295" s="59" t="s">
        <v>114</v>
      </c>
      <c r="F295" s="62"/>
      <c r="G295" s="59" t="s">
        <v>947</v>
      </c>
      <c r="H295" s="96">
        <v>150.0</v>
      </c>
      <c r="I295" s="65"/>
    </row>
    <row r="296" hidden="1">
      <c r="A296" s="59" t="s">
        <v>945</v>
      </c>
      <c r="B296" s="59" t="s">
        <v>948</v>
      </c>
      <c r="C296" s="96">
        <v>300000.0</v>
      </c>
      <c r="D296" s="65"/>
      <c r="F296" s="58" t="s">
        <v>946</v>
      </c>
      <c r="G296" s="59" t="s">
        <v>949</v>
      </c>
      <c r="H296" s="96">
        <v>1000.0</v>
      </c>
      <c r="I296" s="65"/>
      <c r="K296" s="152" t="s">
        <v>950</v>
      </c>
      <c r="L296" s="34"/>
      <c r="M296" s="34"/>
      <c r="N296" s="39"/>
    </row>
    <row r="297" hidden="1">
      <c r="A297" s="59" t="s">
        <v>945</v>
      </c>
      <c r="B297" s="59" t="s">
        <v>91</v>
      </c>
      <c r="C297" s="96">
        <f>5000+3500</f>
        <v>8500</v>
      </c>
      <c r="D297" s="65"/>
      <c r="F297" s="62"/>
      <c r="G297" s="179" t="s">
        <v>951</v>
      </c>
      <c r="H297" s="232">
        <v>1000.0</v>
      </c>
      <c r="I297" s="65"/>
      <c r="K297" s="154" t="s">
        <v>232</v>
      </c>
      <c r="L297" s="155" t="s">
        <v>237</v>
      </c>
      <c r="M297" s="155" t="s">
        <v>238</v>
      </c>
      <c r="N297" s="155" t="s">
        <v>239</v>
      </c>
    </row>
    <row r="298" hidden="1">
      <c r="A298" s="59" t="s">
        <v>952</v>
      </c>
      <c r="B298" s="26" t="s">
        <v>116</v>
      </c>
      <c r="C298" s="96">
        <v>5000.0</v>
      </c>
      <c r="D298" s="26" t="s">
        <v>117</v>
      </c>
      <c r="F298" s="62"/>
      <c r="G298" s="179" t="s">
        <v>675</v>
      </c>
      <c r="H298" s="232">
        <v>120.0</v>
      </c>
      <c r="I298" s="65"/>
      <c r="K298" s="156"/>
      <c r="L298" s="178" t="s">
        <v>953</v>
      </c>
      <c r="M298" s="158">
        <f>19566+26900</f>
        <v>46466</v>
      </c>
      <c r="N298" s="159"/>
    </row>
    <row r="299" hidden="1">
      <c r="A299" s="59" t="s">
        <v>118</v>
      </c>
      <c r="B299" s="59" t="s">
        <v>119</v>
      </c>
      <c r="C299" s="96">
        <v>30000.0</v>
      </c>
      <c r="D299" s="26" t="s">
        <v>120</v>
      </c>
      <c r="F299" s="62"/>
      <c r="G299" s="59" t="s">
        <v>947</v>
      </c>
      <c r="H299" s="96">
        <v>80.0</v>
      </c>
      <c r="I299" s="65"/>
      <c r="K299" s="156"/>
      <c r="L299" s="178" t="s">
        <v>954</v>
      </c>
      <c r="M299" s="158">
        <v>44500.0</v>
      </c>
      <c r="N299" s="159"/>
    </row>
    <row r="300" hidden="1">
      <c r="A300" s="233" t="s">
        <v>666</v>
      </c>
      <c r="B300" s="39"/>
      <c r="C300" s="234">
        <f>SUM(C292:C299)</f>
        <v>409000</v>
      </c>
      <c r="D300" s="235"/>
      <c r="F300" s="58" t="s">
        <v>955</v>
      </c>
      <c r="G300" s="59" t="s">
        <v>947</v>
      </c>
      <c r="H300" s="96">
        <v>70.0</v>
      </c>
      <c r="I300" s="65"/>
      <c r="K300" s="156" t="s">
        <v>945</v>
      </c>
      <c r="L300" s="197" t="s">
        <v>956</v>
      </c>
      <c r="M300" s="158">
        <f>18050-2000</f>
        <v>16050</v>
      </c>
      <c r="N300" s="159" t="s">
        <v>398</v>
      </c>
      <c r="O300" s="217" t="s">
        <v>957</v>
      </c>
    </row>
    <row r="301" hidden="1">
      <c r="A301" s="69"/>
      <c r="B301" s="69"/>
      <c r="C301" s="109"/>
      <c r="D301" s="69"/>
      <c r="F301" s="58" t="s">
        <v>958</v>
      </c>
      <c r="G301" s="59" t="s">
        <v>947</v>
      </c>
      <c r="H301" s="97">
        <f>140+25</f>
        <v>165</v>
      </c>
      <c r="I301" s="65"/>
      <c r="K301" s="156" t="s">
        <v>945</v>
      </c>
      <c r="L301" s="198" t="s">
        <v>959</v>
      </c>
      <c r="M301" s="158">
        <v>20350.0</v>
      </c>
      <c r="N301" s="159" t="s">
        <v>398</v>
      </c>
    </row>
    <row r="302" hidden="1">
      <c r="A302" s="69"/>
      <c r="B302" s="69"/>
      <c r="C302" s="109"/>
      <c r="D302" s="69"/>
      <c r="F302" s="58" t="s">
        <v>960</v>
      </c>
      <c r="G302" s="59" t="s">
        <v>961</v>
      </c>
      <c r="H302" s="97">
        <f>80+50+350+200+120</f>
        <v>800</v>
      </c>
      <c r="I302" s="65"/>
      <c r="K302" s="156" t="s">
        <v>945</v>
      </c>
      <c r="L302" s="198" t="s">
        <v>962</v>
      </c>
      <c r="M302" s="158">
        <v>17100.0</v>
      </c>
      <c r="N302" s="159" t="s">
        <v>398</v>
      </c>
    </row>
    <row r="303" hidden="1">
      <c r="A303" s="69"/>
      <c r="B303" s="69"/>
      <c r="C303" s="109"/>
      <c r="D303" s="69"/>
      <c r="F303" s="58" t="s">
        <v>963</v>
      </c>
      <c r="G303" s="59" t="s">
        <v>964</v>
      </c>
      <c r="H303" s="96">
        <v>200.0</v>
      </c>
      <c r="I303" s="61"/>
      <c r="K303" s="156" t="s">
        <v>945</v>
      </c>
      <c r="L303" s="178" t="s">
        <v>965</v>
      </c>
      <c r="M303" s="158">
        <v>8567.0</v>
      </c>
      <c r="N303" s="159" t="s">
        <v>398</v>
      </c>
    </row>
    <row r="304" hidden="1">
      <c r="A304" s="69"/>
      <c r="B304" s="69"/>
      <c r="C304" s="109"/>
      <c r="D304" s="69"/>
      <c r="F304" s="58" t="s">
        <v>966</v>
      </c>
      <c r="G304" s="59" t="s">
        <v>967</v>
      </c>
      <c r="H304" s="96">
        <v>320.0</v>
      </c>
      <c r="I304" s="65"/>
      <c r="K304" s="156" t="s">
        <v>945</v>
      </c>
      <c r="L304" s="178" t="s">
        <v>895</v>
      </c>
      <c r="M304" s="158">
        <v>16500.0</v>
      </c>
      <c r="N304" s="159" t="s">
        <v>398</v>
      </c>
    </row>
    <row r="305" hidden="1">
      <c r="A305" s="69"/>
      <c r="B305" s="69"/>
      <c r="C305" s="109"/>
      <c r="D305" s="69"/>
      <c r="F305" s="62"/>
      <c r="G305" s="59" t="s">
        <v>647</v>
      </c>
      <c r="H305" s="96">
        <v>100.0</v>
      </c>
      <c r="I305" s="65"/>
      <c r="K305" s="156" t="s">
        <v>945</v>
      </c>
      <c r="L305" s="178" t="s">
        <v>896</v>
      </c>
      <c r="M305" s="158">
        <v>1700.0</v>
      </c>
      <c r="N305" s="159" t="s">
        <v>398</v>
      </c>
    </row>
    <row r="306" hidden="1">
      <c r="A306" s="69"/>
      <c r="B306" s="69"/>
      <c r="C306" s="109"/>
      <c r="D306" s="69"/>
      <c r="F306" s="62"/>
      <c r="G306" s="59" t="s">
        <v>968</v>
      </c>
      <c r="H306" s="82">
        <v>3060.0</v>
      </c>
      <c r="I306" s="65"/>
      <c r="K306" s="156" t="s">
        <v>942</v>
      </c>
      <c r="L306" s="178" t="s">
        <v>677</v>
      </c>
      <c r="M306" s="158">
        <v>3000.0</v>
      </c>
      <c r="N306" s="159" t="s">
        <v>398</v>
      </c>
    </row>
    <row r="307" hidden="1">
      <c r="A307" s="69"/>
      <c r="B307" s="69"/>
      <c r="C307" s="109"/>
      <c r="D307" s="69"/>
      <c r="F307" s="58" t="s">
        <v>969</v>
      </c>
      <c r="G307" s="59" t="s">
        <v>949</v>
      </c>
      <c r="H307" s="82">
        <v>2000.0</v>
      </c>
      <c r="I307" s="65"/>
      <c r="K307" s="156" t="s">
        <v>946</v>
      </c>
      <c r="L307" s="178" t="s">
        <v>951</v>
      </c>
      <c r="M307" s="161">
        <v>1000.0</v>
      </c>
      <c r="N307" s="159" t="s">
        <v>398</v>
      </c>
    </row>
    <row r="308" hidden="1">
      <c r="A308" s="69"/>
      <c r="B308" s="69"/>
      <c r="C308" s="109"/>
      <c r="D308" s="69"/>
      <c r="F308" s="62"/>
      <c r="G308" s="59" t="s">
        <v>824</v>
      </c>
      <c r="H308" s="96">
        <v>120.0</v>
      </c>
      <c r="I308" s="65"/>
      <c r="K308" s="156" t="s">
        <v>946</v>
      </c>
      <c r="L308" s="178" t="s">
        <v>675</v>
      </c>
      <c r="M308" s="161">
        <v>120.0</v>
      </c>
      <c r="N308" s="159" t="s">
        <v>398</v>
      </c>
    </row>
    <row r="309" hidden="1">
      <c r="A309" s="69"/>
      <c r="B309" s="69"/>
      <c r="C309" s="175"/>
      <c r="D309" s="69"/>
      <c r="F309" s="58" t="s">
        <v>970</v>
      </c>
      <c r="G309" s="59" t="s">
        <v>824</v>
      </c>
      <c r="H309" s="97">
        <f>200+160</f>
        <v>360</v>
      </c>
      <c r="I309" s="65"/>
      <c r="K309" s="163" t="s">
        <v>903</v>
      </c>
      <c r="L309" s="39"/>
      <c r="M309" s="172">
        <f>SUM(M298:M308)</f>
        <v>175353</v>
      </c>
      <c r="N309" s="164"/>
    </row>
    <row r="310" hidden="1">
      <c r="A310" s="69"/>
      <c r="B310" s="69"/>
      <c r="C310" s="175"/>
      <c r="D310" s="69"/>
      <c r="F310" s="58" t="s">
        <v>971</v>
      </c>
      <c r="G310" s="59" t="s">
        <v>938</v>
      </c>
      <c r="H310" s="96">
        <v>200.0</v>
      </c>
      <c r="I310" s="65"/>
    </row>
    <row r="311" hidden="1">
      <c r="F311" s="58" t="s">
        <v>972</v>
      </c>
      <c r="G311" s="59" t="s">
        <v>647</v>
      </c>
      <c r="H311" s="97">
        <f>250+50+310+190+140+60</f>
        <v>1000</v>
      </c>
      <c r="I311" s="65"/>
      <c r="K311" s="152" t="s">
        <v>973</v>
      </c>
      <c r="L311" s="34"/>
      <c r="M311" s="34"/>
      <c r="N311" s="39"/>
    </row>
    <row r="312" hidden="1">
      <c r="F312" s="58" t="s">
        <v>112</v>
      </c>
      <c r="G312" s="59" t="s">
        <v>350</v>
      </c>
      <c r="H312" s="97">
        <f>180+30+50+40+100+100+100</f>
        <v>600</v>
      </c>
      <c r="I312" s="65"/>
      <c r="K312" s="154" t="s">
        <v>232</v>
      </c>
      <c r="L312" s="155" t="s">
        <v>237</v>
      </c>
      <c r="M312" s="155" t="s">
        <v>238</v>
      </c>
      <c r="N312" s="155" t="s">
        <v>239</v>
      </c>
    </row>
    <row r="313" hidden="1">
      <c r="F313" s="62"/>
      <c r="G313" s="59" t="s">
        <v>823</v>
      </c>
      <c r="H313" s="96">
        <v>6000.0</v>
      </c>
      <c r="I313" s="65"/>
      <c r="K313" s="105" t="s">
        <v>945</v>
      </c>
      <c r="L313" s="236" t="s">
        <v>974</v>
      </c>
      <c r="M313" s="237">
        <f t="shared" ref="M313:M314" si="1">44000/2</f>
        <v>22000</v>
      </c>
      <c r="N313" s="105" t="s">
        <v>398</v>
      </c>
    </row>
    <row r="314" hidden="1">
      <c r="F314" s="58" t="s">
        <v>975</v>
      </c>
      <c r="G314" s="59" t="s">
        <v>976</v>
      </c>
      <c r="H314" s="96">
        <v>1000.0</v>
      </c>
      <c r="I314" s="65"/>
      <c r="K314" s="105" t="s">
        <v>945</v>
      </c>
      <c r="L314" s="236" t="s">
        <v>977</v>
      </c>
      <c r="M314" s="237">
        <f t="shared" si="1"/>
        <v>22000</v>
      </c>
      <c r="N314" s="105" t="s">
        <v>398</v>
      </c>
    </row>
    <row r="315" hidden="1">
      <c r="F315" s="62"/>
      <c r="G315" s="59" t="s">
        <v>824</v>
      </c>
      <c r="H315" s="97">
        <f>150+150+100+150</f>
        <v>550</v>
      </c>
      <c r="I315" s="65"/>
      <c r="K315" s="105" t="s">
        <v>945</v>
      </c>
      <c r="L315" s="236" t="s">
        <v>978</v>
      </c>
      <c r="M315" s="237">
        <f t="shared" ref="M315:M316" si="2">13750/2</f>
        <v>6875</v>
      </c>
      <c r="N315" s="105" t="s">
        <v>398</v>
      </c>
    </row>
    <row r="316" hidden="1">
      <c r="F316" s="58" t="s">
        <v>945</v>
      </c>
      <c r="G316" s="59" t="s">
        <v>979</v>
      </c>
      <c r="H316" s="97">
        <f>150+250+150</f>
        <v>550</v>
      </c>
      <c r="I316" s="65"/>
      <c r="K316" s="105" t="s">
        <v>945</v>
      </c>
      <c r="L316" s="236" t="s">
        <v>980</v>
      </c>
      <c r="M316" s="237">
        <f t="shared" si="2"/>
        <v>6875</v>
      </c>
      <c r="N316" s="105" t="s">
        <v>981</v>
      </c>
    </row>
    <row r="317" hidden="1">
      <c r="F317" s="62"/>
      <c r="G317" s="179" t="s">
        <v>834</v>
      </c>
      <c r="H317" s="238">
        <v>37500.0</v>
      </c>
      <c r="I317" s="65"/>
      <c r="K317" s="107"/>
      <c r="L317" s="236" t="s">
        <v>982</v>
      </c>
      <c r="M317" s="239">
        <v>0.0</v>
      </c>
      <c r="N317" s="107"/>
    </row>
    <row r="318" hidden="1">
      <c r="F318" s="130"/>
      <c r="G318" s="240" t="s">
        <v>983</v>
      </c>
      <c r="H318" s="241">
        <v>2500.0</v>
      </c>
      <c r="I318" s="98"/>
      <c r="K318" s="107"/>
      <c r="L318" s="236" t="s">
        <v>984</v>
      </c>
      <c r="M318" s="242">
        <v>0.0</v>
      </c>
      <c r="N318" s="107"/>
    </row>
    <row r="319" hidden="1">
      <c r="F319" s="130"/>
      <c r="G319" s="240" t="s">
        <v>985</v>
      </c>
      <c r="H319" s="241">
        <v>1570.0</v>
      </c>
      <c r="I319" s="98"/>
      <c r="K319" s="163" t="s">
        <v>973</v>
      </c>
      <c r="L319" s="39"/>
      <c r="M319" s="172">
        <f>SUM(M313:M318)</f>
        <v>57750</v>
      </c>
      <c r="N319" s="164"/>
    </row>
    <row r="320" hidden="1">
      <c r="F320" s="130"/>
      <c r="G320" s="243" t="s">
        <v>986</v>
      </c>
      <c r="H320" s="241">
        <v>4000.0</v>
      </c>
      <c r="I320" s="98"/>
    </row>
    <row r="321" hidden="1">
      <c r="F321" s="130"/>
      <c r="G321" s="240" t="s">
        <v>987</v>
      </c>
      <c r="H321" s="241">
        <v>2717.0</v>
      </c>
      <c r="I321" s="98"/>
      <c r="K321" s="152" t="s">
        <v>988</v>
      </c>
      <c r="L321" s="34"/>
      <c r="M321" s="34"/>
      <c r="N321" s="39"/>
    </row>
    <row r="322" hidden="1">
      <c r="F322" s="130"/>
      <c r="G322" s="244" t="s">
        <v>989</v>
      </c>
      <c r="H322" s="96">
        <v>200.0</v>
      </c>
      <c r="I322" s="98"/>
      <c r="K322" s="154" t="s">
        <v>232</v>
      </c>
      <c r="L322" s="155" t="s">
        <v>686</v>
      </c>
      <c r="M322" s="155" t="s">
        <v>238</v>
      </c>
      <c r="N322" s="155" t="s">
        <v>239</v>
      </c>
    </row>
    <row r="323" hidden="1">
      <c r="F323" s="130"/>
      <c r="G323" s="245" t="s">
        <v>687</v>
      </c>
      <c r="H323" s="246">
        <v>16000.0</v>
      </c>
      <c r="I323" s="98"/>
      <c r="K323" s="166"/>
      <c r="L323" s="247" t="s">
        <v>638</v>
      </c>
      <c r="M323" s="168">
        <f>154500-50000</f>
        <v>104500</v>
      </c>
      <c r="N323" s="178"/>
    </row>
    <row r="324" hidden="1">
      <c r="F324" s="130"/>
      <c r="G324" s="248" t="s">
        <v>909</v>
      </c>
      <c r="H324" s="246">
        <v>10000.0</v>
      </c>
      <c r="I324" s="98"/>
      <c r="K324" s="166"/>
      <c r="L324" s="178" t="s">
        <v>14</v>
      </c>
      <c r="M324" s="158">
        <v>9400.0</v>
      </c>
      <c r="N324" s="178"/>
    </row>
    <row r="325" hidden="1">
      <c r="F325" s="130"/>
      <c r="G325" s="248" t="s">
        <v>698</v>
      </c>
      <c r="H325" s="246">
        <v>10000.0</v>
      </c>
      <c r="I325" s="98"/>
      <c r="K325" s="166"/>
      <c r="L325" s="178" t="s">
        <v>852</v>
      </c>
      <c r="M325" s="158">
        <f>30000-10000+22500</f>
        <v>42500</v>
      </c>
      <c r="N325" s="178"/>
    </row>
    <row r="326" hidden="1">
      <c r="F326" s="130"/>
      <c r="G326" s="248" t="s">
        <v>345</v>
      </c>
      <c r="H326" s="246">
        <v>8500.0</v>
      </c>
      <c r="I326" s="98"/>
      <c r="K326" s="166" t="s">
        <v>112</v>
      </c>
      <c r="L326" s="178" t="s">
        <v>189</v>
      </c>
      <c r="M326" s="158">
        <f>677531+400000+100000-300000</f>
        <v>877531</v>
      </c>
      <c r="N326" s="178" t="s">
        <v>990</v>
      </c>
    </row>
    <row r="327" hidden="1">
      <c r="F327" s="98"/>
      <c r="G327" s="248" t="s">
        <v>338</v>
      </c>
      <c r="H327" s="246">
        <v>7000.0</v>
      </c>
      <c r="I327" s="98"/>
      <c r="K327" s="166" t="s">
        <v>942</v>
      </c>
      <c r="L327" s="178" t="s">
        <v>991</v>
      </c>
      <c r="M327" s="158">
        <f>27000+15000-42000</f>
        <v>0</v>
      </c>
      <c r="N327" s="178"/>
    </row>
    <row r="328" hidden="1">
      <c r="F328" s="98"/>
      <c r="G328" s="248" t="s">
        <v>992</v>
      </c>
      <c r="H328" s="246">
        <v>10000.0</v>
      </c>
      <c r="I328" s="98"/>
      <c r="K328" s="166"/>
      <c r="L328" s="178" t="s">
        <v>22</v>
      </c>
      <c r="M328" s="158">
        <f>68000+36000+12500-6000-10000-30000</f>
        <v>70500</v>
      </c>
      <c r="N328" s="178"/>
    </row>
    <row r="329" hidden="1">
      <c r="F329" s="98"/>
      <c r="G329" s="248" t="s">
        <v>993</v>
      </c>
      <c r="H329" s="246">
        <v>16000.0</v>
      </c>
      <c r="I329" s="98"/>
      <c r="K329" s="166"/>
      <c r="L329" s="178" t="s">
        <v>57</v>
      </c>
      <c r="M329" s="158">
        <f>6800+7800+7800</f>
        <v>22400</v>
      </c>
      <c r="N329" s="178"/>
    </row>
    <row r="330" hidden="1">
      <c r="F330" s="98"/>
      <c r="G330" s="248" t="s">
        <v>261</v>
      </c>
      <c r="H330" s="246">
        <v>24000.0</v>
      </c>
      <c r="I330" s="98"/>
      <c r="K330" s="166"/>
      <c r="L330" s="178" t="s">
        <v>91</v>
      </c>
      <c r="M330" s="158">
        <f>5000+2500+1250-5000-3750</f>
        <v>0</v>
      </c>
      <c r="N330" s="178"/>
    </row>
    <row r="331" hidden="1">
      <c r="F331" s="98"/>
      <c r="G331" s="248" t="s">
        <v>404</v>
      </c>
      <c r="H331" s="246">
        <v>7000.0</v>
      </c>
      <c r="I331" s="98"/>
      <c r="K331" s="166" t="s">
        <v>946</v>
      </c>
      <c r="L331" s="178" t="s">
        <v>96</v>
      </c>
      <c r="M331" s="158">
        <f>4*2*3500-20000</f>
        <v>8000</v>
      </c>
      <c r="N331" s="178"/>
    </row>
    <row r="332" hidden="1">
      <c r="F332" s="98"/>
      <c r="G332" s="248" t="s">
        <v>267</v>
      </c>
      <c r="H332" s="249">
        <v>7000.0</v>
      </c>
      <c r="I332" s="98"/>
      <c r="K332" s="166"/>
      <c r="L332" s="178"/>
      <c r="M332" s="158"/>
      <c r="N332" s="178"/>
    </row>
    <row r="333" hidden="1">
      <c r="F333" s="98"/>
      <c r="G333" s="248" t="s">
        <v>994</v>
      </c>
      <c r="H333" s="250">
        <v>8000.0</v>
      </c>
      <c r="I333" s="98"/>
      <c r="K333" s="163" t="s">
        <v>712</v>
      </c>
      <c r="L333" s="39"/>
      <c r="M333" s="172">
        <f>SUM(M323:M332)</f>
        <v>1134831</v>
      </c>
      <c r="N333" s="181"/>
    </row>
    <row r="334" hidden="1">
      <c r="F334" s="98"/>
      <c r="G334" s="248" t="s">
        <v>266</v>
      </c>
      <c r="H334" s="251">
        <v>7000.0</v>
      </c>
      <c r="I334" s="98"/>
      <c r="K334" s="252"/>
      <c r="L334" s="252"/>
      <c r="M334" s="253"/>
      <c r="N334" s="254"/>
    </row>
    <row r="335" hidden="1">
      <c r="F335" s="98"/>
      <c r="G335" s="248" t="s">
        <v>995</v>
      </c>
      <c r="H335" s="250">
        <v>10000.0</v>
      </c>
      <c r="I335" s="98"/>
      <c r="K335" s="152" t="s">
        <v>996</v>
      </c>
      <c r="L335" s="34"/>
      <c r="M335" s="34"/>
      <c r="N335" s="39"/>
    </row>
    <row r="336" hidden="1">
      <c r="F336" s="98"/>
      <c r="G336" s="248" t="s">
        <v>280</v>
      </c>
      <c r="H336" s="250">
        <v>2000.0</v>
      </c>
      <c r="I336" s="98"/>
      <c r="K336" s="154" t="s">
        <v>7</v>
      </c>
      <c r="L336" s="155" t="s">
        <v>686</v>
      </c>
      <c r="M336" s="155" t="s">
        <v>238</v>
      </c>
      <c r="N336" s="155" t="s">
        <v>239</v>
      </c>
    </row>
    <row r="337" hidden="1">
      <c r="F337" s="98"/>
      <c r="G337" s="248" t="s">
        <v>997</v>
      </c>
      <c r="H337" s="246">
        <v>18000.0</v>
      </c>
      <c r="I337" s="98"/>
      <c r="K337" s="166"/>
      <c r="L337" s="167" t="s">
        <v>687</v>
      </c>
      <c r="M337" s="168">
        <f>60000-20000+4000+2000-10000+26000+4000-16000</f>
        <v>50000</v>
      </c>
      <c r="N337" s="157"/>
    </row>
    <row r="338" hidden="1">
      <c r="F338" s="98"/>
      <c r="G338" s="248" t="s">
        <v>998</v>
      </c>
      <c r="H338" s="250">
        <v>5000.0</v>
      </c>
      <c r="I338" s="98"/>
      <c r="K338" s="166" t="s">
        <v>942</v>
      </c>
      <c r="L338" s="167" t="s">
        <v>690</v>
      </c>
      <c r="M338" s="168">
        <f>85000+6000+1000+40000-50000</f>
        <v>82000</v>
      </c>
      <c r="N338" s="164"/>
    </row>
    <row r="339" hidden="1">
      <c r="F339" s="98"/>
      <c r="G339" s="206" t="s">
        <v>999</v>
      </c>
      <c r="H339" s="246">
        <f>22000+6287</f>
        <v>28287</v>
      </c>
      <c r="I339" s="98"/>
      <c r="K339" s="166"/>
      <c r="L339" s="167" t="s">
        <v>823</v>
      </c>
      <c r="M339" s="168">
        <f>7000+12000+12000+3000+12000-3000</f>
        <v>43000</v>
      </c>
      <c r="N339" s="164"/>
    </row>
    <row r="340" hidden="1">
      <c r="F340" s="98"/>
      <c r="G340" s="206" t="s">
        <v>1000</v>
      </c>
      <c r="H340" s="246">
        <v>22000.0</v>
      </c>
      <c r="I340" s="98"/>
      <c r="K340" s="166"/>
      <c r="L340" s="157" t="s">
        <v>909</v>
      </c>
      <c r="M340" s="158">
        <f>30000-20000-10000</f>
        <v>0</v>
      </c>
      <c r="N340" s="157"/>
    </row>
    <row r="341" hidden="1">
      <c r="F341" s="98"/>
      <c r="G341" s="206" t="s">
        <v>1001</v>
      </c>
      <c r="H341" s="246">
        <v>6875.0</v>
      </c>
      <c r="I341" s="98"/>
      <c r="K341" s="166"/>
      <c r="L341" s="157" t="s">
        <v>825</v>
      </c>
      <c r="M341" s="158">
        <f>12500*2+10000</f>
        <v>35000</v>
      </c>
      <c r="N341" s="157"/>
    </row>
    <row r="342" hidden="1">
      <c r="F342" s="98"/>
      <c r="G342" s="206" t="s">
        <v>1002</v>
      </c>
      <c r="H342" s="246">
        <v>6875.0</v>
      </c>
      <c r="I342" s="98"/>
      <c r="K342" s="166"/>
      <c r="L342" s="157" t="s">
        <v>698</v>
      </c>
      <c r="M342" s="158">
        <f>45000-10000</f>
        <v>35000</v>
      </c>
      <c r="N342" s="157"/>
    </row>
    <row r="343" hidden="1">
      <c r="F343" s="98"/>
      <c r="G343" s="248" t="s">
        <v>956</v>
      </c>
      <c r="H343" s="246">
        <f>18050-2000</f>
        <v>16050</v>
      </c>
      <c r="I343" s="98"/>
      <c r="K343" s="166"/>
      <c r="L343" s="157" t="s">
        <v>828</v>
      </c>
      <c r="M343" s="158">
        <f>32000+16000</f>
        <v>48000</v>
      </c>
      <c r="N343" s="157"/>
    </row>
    <row r="344" hidden="1">
      <c r="F344" s="98"/>
      <c r="G344" s="248" t="s">
        <v>959</v>
      </c>
      <c r="H344" s="246">
        <v>20350.0</v>
      </c>
      <c r="I344" s="98"/>
      <c r="K344" s="166"/>
      <c r="L344" s="157" t="s">
        <v>831</v>
      </c>
      <c r="M344" s="158">
        <f>330000-100000-100000</f>
        <v>130000</v>
      </c>
      <c r="N344" s="157"/>
    </row>
    <row r="345" hidden="1">
      <c r="F345" s="98"/>
      <c r="G345" s="248" t="s">
        <v>962</v>
      </c>
      <c r="H345" s="246">
        <v>17100.0</v>
      </c>
      <c r="I345" s="98"/>
      <c r="K345" s="166"/>
      <c r="L345" s="173" t="s">
        <v>834</v>
      </c>
      <c r="M345" s="202">
        <f>37500-37500</f>
        <v>0</v>
      </c>
      <c r="N345" s="218"/>
    </row>
    <row r="346" hidden="1">
      <c r="F346" s="98"/>
      <c r="G346" s="248" t="s">
        <v>965</v>
      </c>
      <c r="H346" s="246">
        <v>8564.0</v>
      </c>
      <c r="I346" s="98"/>
      <c r="K346" s="166"/>
      <c r="L346" s="173" t="s">
        <v>916</v>
      </c>
      <c r="M346" s="202">
        <v>70800.0</v>
      </c>
      <c r="N346" s="255"/>
    </row>
    <row r="347" hidden="1">
      <c r="F347" s="98"/>
      <c r="G347" s="248" t="s">
        <v>895</v>
      </c>
      <c r="H347" s="246">
        <v>16500.0</v>
      </c>
      <c r="I347" s="98"/>
      <c r="K347" s="166"/>
      <c r="L347" s="173" t="s">
        <v>1003</v>
      </c>
      <c r="M347" s="202">
        <v>55656.0</v>
      </c>
      <c r="N347" s="222">
        <f>M345+M346+M347</f>
        <v>126456</v>
      </c>
    </row>
    <row r="348" hidden="1">
      <c r="F348" s="98"/>
      <c r="G348" s="248" t="s">
        <v>896</v>
      </c>
      <c r="H348" s="246">
        <v>1700.0</v>
      </c>
      <c r="I348" s="98"/>
      <c r="K348" s="166"/>
      <c r="L348" s="173" t="s">
        <v>837</v>
      </c>
      <c r="M348" s="225">
        <v>38400.0</v>
      </c>
      <c r="N348" s="205"/>
    </row>
    <row r="349" hidden="1">
      <c r="F349" s="98"/>
      <c r="G349" s="59" t="s">
        <v>403</v>
      </c>
      <c r="H349" s="97">
        <f>3500*2</f>
        <v>7000</v>
      </c>
      <c r="I349" s="98"/>
      <c r="K349" s="166"/>
      <c r="L349" s="173" t="s">
        <v>838</v>
      </c>
      <c r="M349" s="225">
        <v>39800.0</v>
      </c>
      <c r="N349" s="205"/>
    </row>
    <row r="350" hidden="1">
      <c r="F350" s="59" t="s">
        <v>952</v>
      </c>
      <c r="G350" s="157" t="s">
        <v>331</v>
      </c>
      <c r="H350" s="96">
        <v>1000.0</v>
      </c>
      <c r="I350" s="98"/>
      <c r="K350" s="166"/>
      <c r="L350" s="173" t="s">
        <v>839</v>
      </c>
      <c r="M350" s="225">
        <v>25000.0</v>
      </c>
      <c r="N350" s="226"/>
    </row>
    <row r="351" hidden="1">
      <c r="F351" s="59" t="s">
        <v>118</v>
      </c>
      <c r="G351" s="59" t="s">
        <v>1004</v>
      </c>
      <c r="H351" s="97">
        <f>1560+200+750+3000+40</f>
        <v>5550</v>
      </c>
      <c r="I351" s="98"/>
      <c r="K351" s="166"/>
      <c r="L351" s="173" t="s">
        <v>918</v>
      </c>
      <c r="M351" s="225">
        <v>47200.0</v>
      </c>
      <c r="N351" s="228"/>
    </row>
    <row r="352" hidden="1">
      <c r="F352" s="59" t="s">
        <v>1005</v>
      </c>
      <c r="G352" s="59" t="s">
        <v>824</v>
      </c>
      <c r="H352" s="97">
        <f>70</f>
        <v>70</v>
      </c>
      <c r="I352" s="98"/>
      <c r="K352" s="166"/>
      <c r="L352" s="173" t="s">
        <v>1006</v>
      </c>
      <c r="M352" s="225">
        <v>37104.0</v>
      </c>
      <c r="N352" s="227">
        <f>M348+M349+M350+M351+M352</f>
        <v>187504</v>
      </c>
    </row>
    <row r="353" hidden="1">
      <c r="F353" s="59" t="s">
        <v>1007</v>
      </c>
      <c r="G353" s="59" t="s">
        <v>824</v>
      </c>
      <c r="H353" s="97">
        <f>340+350+230+80+170+120+225+200</f>
        <v>1715</v>
      </c>
      <c r="I353" s="98"/>
      <c r="K353" s="166"/>
      <c r="L353" s="157" t="s">
        <v>1008</v>
      </c>
      <c r="M353" s="158">
        <v>100000.0</v>
      </c>
      <c r="N353" s="228"/>
    </row>
    <row r="354" hidden="1">
      <c r="F354" s="65"/>
      <c r="G354" s="59" t="s">
        <v>1009</v>
      </c>
      <c r="H354" s="96">
        <v>2000.0</v>
      </c>
      <c r="I354" s="99" t="s">
        <v>605</v>
      </c>
      <c r="K354" s="166"/>
      <c r="L354" s="157" t="s">
        <v>330</v>
      </c>
      <c r="M354" s="158">
        <f>9000+12000</f>
        <v>21000</v>
      </c>
      <c r="N354" s="228"/>
    </row>
    <row r="355" hidden="1">
      <c r="F355" s="256" t="s">
        <v>1010</v>
      </c>
      <c r="G355" s="39"/>
      <c r="H355" s="257">
        <f>SUM(H292:H354)</f>
        <v>448518</v>
      </c>
      <c r="I355" s="258"/>
      <c r="K355" s="166"/>
      <c r="L355" s="157" t="s">
        <v>331</v>
      </c>
      <c r="M355" s="158">
        <f>9000+14000-1000</f>
        <v>22000</v>
      </c>
      <c r="N355" s="228"/>
    </row>
    <row r="356" hidden="1">
      <c r="F356" s="69"/>
      <c r="G356" s="69"/>
      <c r="H356" s="109"/>
      <c r="I356" s="120"/>
      <c r="K356" s="166"/>
      <c r="L356" s="157" t="s">
        <v>334</v>
      </c>
      <c r="M356" s="158">
        <f>4000+12000</f>
        <v>16000</v>
      </c>
      <c r="N356" s="205"/>
    </row>
    <row r="357" hidden="1">
      <c r="F357" s="69"/>
      <c r="G357" s="69"/>
      <c r="H357" s="109"/>
      <c r="I357" s="120"/>
      <c r="K357" s="166"/>
      <c r="L357" s="157" t="s">
        <v>345</v>
      </c>
      <c r="M357" s="158">
        <f>1500+5000+2000-5000+15000-8500</f>
        <v>10000</v>
      </c>
      <c r="N357" s="205"/>
    </row>
    <row r="358" hidden="1">
      <c r="F358" s="69"/>
      <c r="G358" s="69"/>
      <c r="H358" s="109"/>
      <c r="I358" s="120"/>
      <c r="K358" s="166"/>
      <c r="L358" s="157" t="s">
        <v>925</v>
      </c>
      <c r="M358" s="158">
        <f>2400+4800-7200</f>
        <v>0</v>
      </c>
      <c r="N358" s="205"/>
    </row>
    <row r="359" hidden="1">
      <c r="F359" s="69"/>
      <c r="G359" s="69"/>
      <c r="H359" s="109"/>
      <c r="I359" s="120"/>
      <c r="K359" s="166"/>
      <c r="L359" s="157" t="s">
        <v>349</v>
      </c>
      <c r="M359" s="158">
        <v>3000.0</v>
      </c>
      <c r="N359" s="205"/>
    </row>
    <row r="360" hidden="1">
      <c r="F360" s="69"/>
      <c r="G360" s="69"/>
      <c r="H360" s="109"/>
      <c r="I360" s="120"/>
      <c r="K360" s="166"/>
      <c r="L360" s="157" t="s">
        <v>1011</v>
      </c>
      <c r="M360" s="158">
        <f>20000+3000-10000</f>
        <v>13000</v>
      </c>
      <c r="N360" s="205"/>
    </row>
    <row r="361" hidden="1">
      <c r="F361" s="69"/>
      <c r="G361" s="69"/>
      <c r="H361" s="109"/>
      <c r="I361" s="120"/>
      <c r="K361" s="166"/>
      <c r="L361" s="59" t="s">
        <v>399</v>
      </c>
      <c r="M361" s="90">
        <f>16000-16000</f>
        <v>0</v>
      </c>
      <c r="N361" s="205"/>
    </row>
    <row r="362" hidden="1">
      <c r="F362" s="69"/>
      <c r="G362" s="69"/>
      <c r="H362" s="109"/>
      <c r="I362" s="120"/>
      <c r="K362" s="166"/>
      <c r="L362" s="59" t="s">
        <v>192</v>
      </c>
      <c r="M362" s="91">
        <f>4*6000-24000</f>
        <v>0</v>
      </c>
      <c r="N362" s="205"/>
    </row>
    <row r="363" hidden="1">
      <c r="F363" s="69"/>
      <c r="G363" s="69"/>
      <c r="H363" s="109"/>
      <c r="I363" s="120"/>
      <c r="K363" s="166"/>
      <c r="L363" s="59" t="s">
        <v>278</v>
      </c>
      <c r="M363" s="90">
        <v>2000.0</v>
      </c>
      <c r="N363" s="205"/>
    </row>
    <row r="364" hidden="1">
      <c r="F364" s="69"/>
      <c r="G364" s="69"/>
      <c r="H364" s="109"/>
      <c r="I364" s="120"/>
      <c r="K364" s="166"/>
      <c r="L364" s="59" t="s">
        <v>401</v>
      </c>
      <c r="M364" s="91">
        <f>3*3000</f>
        <v>9000</v>
      </c>
      <c r="N364" s="205"/>
    </row>
    <row r="365" hidden="1">
      <c r="F365" s="69"/>
      <c r="G365" s="69"/>
      <c r="H365" s="109"/>
      <c r="I365" s="120"/>
      <c r="K365" s="166"/>
      <c r="L365" s="59" t="s">
        <v>402</v>
      </c>
      <c r="M365" s="91">
        <f>2*3000</f>
        <v>6000</v>
      </c>
      <c r="N365" s="205"/>
    </row>
    <row r="366" hidden="1">
      <c r="F366" s="69"/>
      <c r="G366" s="69"/>
      <c r="H366" s="109"/>
      <c r="I366" s="120"/>
      <c r="K366" s="166"/>
      <c r="L366" s="59" t="s">
        <v>267</v>
      </c>
      <c r="M366" s="91">
        <f t="shared" ref="M366:M368" si="3">3500*2-7000</f>
        <v>0</v>
      </c>
      <c r="N366" s="205"/>
    </row>
    <row r="367" hidden="1">
      <c r="F367" s="69"/>
      <c r="G367" s="69"/>
      <c r="H367" s="109"/>
      <c r="I367" s="120"/>
      <c r="K367" s="65"/>
      <c r="L367" s="59" t="s">
        <v>403</v>
      </c>
      <c r="M367" s="91">
        <f t="shared" si="3"/>
        <v>0</v>
      </c>
      <c r="N367" s="65"/>
    </row>
    <row r="368" hidden="1">
      <c r="F368" s="69"/>
      <c r="G368" s="69"/>
      <c r="H368" s="109"/>
      <c r="I368" s="120"/>
      <c r="K368" s="65"/>
      <c r="L368" s="59" t="s">
        <v>404</v>
      </c>
      <c r="M368" s="91">
        <f t="shared" si="3"/>
        <v>0</v>
      </c>
      <c r="N368" s="65"/>
    </row>
    <row r="369" hidden="1">
      <c r="F369" s="69"/>
      <c r="G369" s="69"/>
      <c r="H369" s="109"/>
      <c r="I369" s="120"/>
      <c r="K369" s="65"/>
      <c r="L369" s="59" t="s">
        <v>405</v>
      </c>
      <c r="M369" s="91">
        <f t="shared" ref="M369:M371" si="4">3000*2</f>
        <v>6000</v>
      </c>
      <c r="N369" s="65"/>
    </row>
    <row r="370" hidden="1">
      <c r="F370" s="69"/>
      <c r="G370" s="69"/>
      <c r="H370" s="109"/>
      <c r="I370" s="120"/>
      <c r="K370" s="65"/>
      <c r="L370" s="59" t="s">
        <v>406</v>
      </c>
      <c r="M370" s="91">
        <f t="shared" si="4"/>
        <v>6000</v>
      </c>
      <c r="N370" s="65"/>
    </row>
    <row r="371" hidden="1">
      <c r="F371" s="69"/>
      <c r="G371" s="69"/>
      <c r="H371" s="109"/>
      <c r="I371" s="120"/>
      <c r="K371" s="65"/>
      <c r="L371" s="59" t="s">
        <v>407</v>
      </c>
      <c r="M371" s="91">
        <f t="shared" si="4"/>
        <v>6000</v>
      </c>
      <c r="N371" s="65"/>
    </row>
    <row r="372" hidden="1">
      <c r="F372" s="69"/>
      <c r="G372" s="69"/>
      <c r="H372" s="109"/>
      <c r="I372" s="120"/>
      <c r="K372" s="65"/>
      <c r="L372" s="59" t="s">
        <v>266</v>
      </c>
      <c r="M372" s="91">
        <f>3500*2-7000</f>
        <v>0</v>
      </c>
      <c r="N372" s="65"/>
    </row>
    <row r="373" hidden="1">
      <c r="F373" s="69"/>
      <c r="G373" s="69"/>
      <c r="H373" s="109"/>
      <c r="I373" s="120"/>
      <c r="K373" s="65"/>
      <c r="L373" s="59" t="s">
        <v>409</v>
      </c>
      <c r="M373" s="91">
        <f>3500*2</f>
        <v>7000</v>
      </c>
      <c r="N373" s="65"/>
    </row>
    <row r="374" hidden="1">
      <c r="F374" s="69"/>
      <c r="G374" s="69"/>
      <c r="H374" s="109"/>
      <c r="I374" s="120"/>
      <c r="K374" s="65"/>
      <c r="L374" s="59" t="s">
        <v>410</v>
      </c>
      <c r="M374" s="90">
        <v>10000.0</v>
      </c>
      <c r="N374" s="65"/>
    </row>
    <row r="375" hidden="1">
      <c r="F375" s="69"/>
      <c r="G375" s="69"/>
      <c r="H375" s="109"/>
      <c r="I375" s="120"/>
      <c r="K375" s="65"/>
      <c r="L375" s="59" t="s">
        <v>412</v>
      </c>
      <c r="M375" s="91">
        <f>4000*2+4500-4500-8000</f>
        <v>0</v>
      </c>
      <c r="N375" s="65"/>
    </row>
    <row r="376" hidden="1">
      <c r="F376" s="69"/>
      <c r="G376" s="69"/>
      <c r="H376" s="109"/>
      <c r="I376" s="120"/>
      <c r="K376" s="65"/>
      <c r="L376" s="59" t="s">
        <v>414</v>
      </c>
      <c r="M376" s="91">
        <f>4000*2</f>
        <v>8000</v>
      </c>
      <c r="N376" s="65"/>
    </row>
    <row r="377" hidden="1">
      <c r="F377" s="69"/>
      <c r="G377" s="69"/>
      <c r="H377" s="109"/>
      <c r="I377" s="120"/>
      <c r="K377" s="65"/>
      <c r="L377" s="59" t="s">
        <v>415</v>
      </c>
      <c r="M377" s="91">
        <f>3000*2</f>
        <v>6000</v>
      </c>
      <c r="N377" s="65"/>
    </row>
    <row r="378" hidden="1">
      <c r="G378" s="219"/>
      <c r="H378" s="259"/>
      <c r="K378" s="65"/>
      <c r="L378" s="59" t="s">
        <v>416</v>
      </c>
      <c r="M378" s="90">
        <f>10000-5000</f>
        <v>5000</v>
      </c>
      <c r="N378" s="65"/>
    </row>
    <row r="379" hidden="1">
      <c r="G379" s="219"/>
      <c r="H379" s="259"/>
      <c r="K379" s="65"/>
      <c r="L379" s="59" t="s">
        <v>317</v>
      </c>
      <c r="M379" s="91">
        <f>2*4*5000-10000</f>
        <v>30000</v>
      </c>
      <c r="N379" s="65"/>
    </row>
    <row r="380" hidden="1">
      <c r="H380" s="259"/>
      <c r="K380" s="65"/>
      <c r="L380" s="59" t="s">
        <v>995</v>
      </c>
      <c r="M380" s="91">
        <f>4*20*250+5*250-10000</f>
        <v>11250</v>
      </c>
      <c r="N380" s="65"/>
    </row>
    <row r="381" hidden="1">
      <c r="H381" s="259"/>
      <c r="K381" s="65"/>
      <c r="L381" s="59" t="s">
        <v>280</v>
      </c>
      <c r="M381" s="90">
        <f>2000-2000</f>
        <v>0</v>
      </c>
      <c r="N381" s="65"/>
    </row>
    <row r="382" hidden="1">
      <c r="H382" s="259"/>
      <c r="K382" s="65"/>
      <c r="L382" s="59" t="s">
        <v>1012</v>
      </c>
      <c r="M382" s="260">
        <v>5000.0</v>
      </c>
      <c r="N382" s="261"/>
    </row>
    <row r="383" hidden="1">
      <c r="H383" s="259"/>
      <c r="K383" s="65"/>
      <c r="L383" s="59" t="s">
        <v>997</v>
      </c>
      <c r="M383" s="260">
        <f>2*9000-18000</f>
        <v>0</v>
      </c>
      <c r="N383" s="261"/>
    </row>
    <row r="384" hidden="1">
      <c r="H384" s="259"/>
      <c r="K384" s="163" t="s">
        <v>702</v>
      </c>
      <c r="L384" s="39"/>
      <c r="M384" s="172">
        <f>SUM(M337:M382)</f>
        <v>1039210</v>
      </c>
      <c r="N384" s="262"/>
    </row>
    <row r="385" hidden="1">
      <c r="H385" s="259"/>
      <c r="K385" s="69"/>
      <c r="L385" s="69"/>
      <c r="M385" s="175"/>
      <c r="N385" s="69"/>
    </row>
    <row r="386" hidden="1">
      <c r="H386" s="30"/>
      <c r="K386" s="69"/>
      <c r="L386" s="69"/>
      <c r="M386" s="69"/>
      <c r="N386" s="69"/>
    </row>
    <row r="387" hidden="1">
      <c r="H387" s="30"/>
      <c r="K387" s="69"/>
      <c r="L387" s="59" t="s">
        <v>633</v>
      </c>
      <c r="M387" s="69"/>
      <c r="N387" s="69"/>
    </row>
    <row r="388" hidden="1"/>
    <row r="389" hidden="1"/>
    <row r="390" hidden="1"/>
    <row r="392">
      <c r="A392" s="139">
        <v>45047.0</v>
      </c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9"/>
    </row>
    <row r="393">
      <c r="F393" s="69"/>
      <c r="G393" s="69"/>
      <c r="H393" s="109"/>
      <c r="I393" s="69"/>
    </row>
    <row r="394" hidden="1">
      <c r="A394" s="229" t="s">
        <v>613</v>
      </c>
      <c r="B394" s="34"/>
      <c r="C394" s="34"/>
      <c r="D394" s="39"/>
      <c r="E394" s="46"/>
      <c r="F394" s="229" t="s">
        <v>614</v>
      </c>
      <c r="G394" s="34"/>
      <c r="H394" s="34"/>
      <c r="I394" s="39"/>
      <c r="K394" s="230" t="s">
        <v>1013</v>
      </c>
      <c r="L394" s="34"/>
      <c r="M394" s="34"/>
      <c r="N394" s="39"/>
    </row>
    <row r="395" hidden="1">
      <c r="A395" s="143" t="s">
        <v>7</v>
      </c>
      <c r="B395" s="144" t="s">
        <v>616</v>
      </c>
      <c r="C395" s="144" t="s">
        <v>617</v>
      </c>
      <c r="D395" s="144" t="s">
        <v>618</v>
      </c>
      <c r="E395" s="145"/>
      <c r="F395" s="144" t="s">
        <v>7</v>
      </c>
      <c r="G395" s="144" t="s">
        <v>616</v>
      </c>
      <c r="H395" s="144" t="s">
        <v>617</v>
      </c>
      <c r="I395" s="146" t="s">
        <v>618</v>
      </c>
      <c r="K395" s="215" t="s">
        <v>7</v>
      </c>
      <c r="L395" s="215" t="s">
        <v>616</v>
      </c>
      <c r="M395" s="215" t="s">
        <v>617</v>
      </c>
      <c r="N395" s="215" t="s">
        <v>618</v>
      </c>
    </row>
    <row r="396" hidden="1">
      <c r="A396" s="59" t="s">
        <v>1014</v>
      </c>
      <c r="B396" s="231" t="s">
        <v>125</v>
      </c>
      <c r="C396" s="96">
        <v>13500.0</v>
      </c>
      <c r="D396" s="26" t="s">
        <v>126</v>
      </c>
      <c r="F396" s="58" t="s">
        <v>1015</v>
      </c>
      <c r="G396" s="59" t="s">
        <v>1016</v>
      </c>
      <c r="H396" s="90">
        <v>3000.0</v>
      </c>
      <c r="I396" s="65"/>
      <c r="K396" s="58" t="s">
        <v>1015</v>
      </c>
      <c r="L396" s="193" t="s">
        <v>625</v>
      </c>
      <c r="M396" s="150">
        <v>6000.0</v>
      </c>
      <c r="N396" s="65"/>
    </row>
    <row r="397" hidden="1">
      <c r="A397" s="59" t="s">
        <v>439</v>
      </c>
      <c r="B397" s="59" t="s">
        <v>430</v>
      </c>
      <c r="C397" s="96">
        <v>100000.0</v>
      </c>
      <c r="D397" s="26" t="s">
        <v>130</v>
      </c>
      <c r="F397" s="62"/>
      <c r="G397" s="59" t="s">
        <v>1017</v>
      </c>
      <c r="H397" s="91">
        <f>250+200+200</f>
        <v>650</v>
      </c>
      <c r="I397" s="65"/>
      <c r="K397" s="58" t="s">
        <v>439</v>
      </c>
      <c r="L397" s="193" t="s">
        <v>628</v>
      </c>
      <c r="M397" s="150">
        <v>8000.0</v>
      </c>
      <c r="N397" s="59"/>
    </row>
    <row r="398" hidden="1">
      <c r="A398" s="59" t="s">
        <v>467</v>
      </c>
      <c r="B398" s="59" t="s">
        <v>430</v>
      </c>
      <c r="C398" s="96">
        <v>100000.0</v>
      </c>
      <c r="D398" s="26" t="s">
        <v>133</v>
      </c>
      <c r="F398" s="58" t="s">
        <v>1018</v>
      </c>
      <c r="G398" s="59" t="s">
        <v>472</v>
      </c>
      <c r="H398" s="90">
        <v>700.0</v>
      </c>
      <c r="I398" s="65"/>
      <c r="K398" s="58" t="s">
        <v>1015</v>
      </c>
      <c r="L398" s="193" t="s">
        <v>631</v>
      </c>
      <c r="M398" s="150">
        <v>12355.0</v>
      </c>
      <c r="N398" s="59"/>
    </row>
    <row r="399" hidden="1">
      <c r="A399" s="59" t="s">
        <v>134</v>
      </c>
      <c r="B399" s="59" t="s">
        <v>49</v>
      </c>
      <c r="C399" s="96">
        <v>20000.0</v>
      </c>
      <c r="D399" s="26" t="s">
        <v>135</v>
      </c>
      <c r="F399" s="62"/>
      <c r="G399" s="59" t="s">
        <v>1019</v>
      </c>
      <c r="H399" s="90">
        <f>505+30+250+50</f>
        <v>835</v>
      </c>
      <c r="I399" s="65"/>
    </row>
    <row r="400" hidden="1">
      <c r="A400" s="65"/>
      <c r="B400" s="65"/>
      <c r="C400" s="97">
        <f>SUM(C396:C399)</f>
        <v>233500</v>
      </c>
      <c r="D400" s="65"/>
      <c r="F400" s="58" t="s">
        <v>121</v>
      </c>
      <c r="G400" s="59" t="s">
        <v>1020</v>
      </c>
      <c r="H400" s="90">
        <v>650.0</v>
      </c>
      <c r="I400" s="65"/>
    </row>
    <row r="401" hidden="1">
      <c r="A401" s="69"/>
      <c r="B401" s="69"/>
      <c r="C401" s="109"/>
      <c r="D401" s="69"/>
      <c r="F401" s="62"/>
      <c r="G401" s="59" t="s">
        <v>647</v>
      </c>
      <c r="H401" s="90">
        <f>100+190</f>
        <v>290</v>
      </c>
      <c r="I401" s="65"/>
      <c r="K401" s="152" t="s">
        <v>1021</v>
      </c>
      <c r="L401" s="34"/>
      <c r="M401" s="34"/>
      <c r="N401" s="39"/>
    </row>
    <row r="402" hidden="1">
      <c r="A402" s="69"/>
      <c r="B402" s="69"/>
      <c r="C402" s="109"/>
      <c r="D402" s="69"/>
      <c r="F402" s="58" t="s">
        <v>1022</v>
      </c>
      <c r="G402" s="179" t="s">
        <v>331</v>
      </c>
      <c r="H402" s="263">
        <v>2000.0</v>
      </c>
      <c r="I402" s="65"/>
      <c r="K402" s="154" t="s">
        <v>232</v>
      </c>
      <c r="L402" s="155" t="s">
        <v>237</v>
      </c>
      <c r="M402" s="155" t="s">
        <v>238</v>
      </c>
      <c r="N402" s="155" t="s">
        <v>239</v>
      </c>
    </row>
    <row r="403" hidden="1">
      <c r="A403" s="69"/>
      <c r="B403" s="69"/>
      <c r="C403" s="109"/>
      <c r="D403" s="69"/>
      <c r="F403" s="62"/>
      <c r="G403" s="59" t="s">
        <v>647</v>
      </c>
      <c r="H403" s="90">
        <v>100.0</v>
      </c>
      <c r="I403" s="65"/>
      <c r="K403" s="156"/>
      <c r="L403" s="178" t="s">
        <v>1023</v>
      </c>
      <c r="M403" s="158">
        <f>19566+26900+44500</f>
        <v>90966</v>
      </c>
      <c r="N403" s="159"/>
    </row>
    <row r="404" hidden="1">
      <c r="A404" s="69"/>
      <c r="B404" s="69"/>
      <c r="C404" s="109"/>
      <c r="D404" s="69"/>
      <c r="F404" s="62"/>
      <c r="G404" s="59" t="s">
        <v>1024</v>
      </c>
      <c r="H404" s="90">
        <v>405.0</v>
      </c>
      <c r="I404" s="65"/>
      <c r="K404" s="156"/>
      <c r="L404" s="178" t="s">
        <v>1025</v>
      </c>
      <c r="M404" s="158">
        <f>44500+44500</f>
        <v>89000</v>
      </c>
      <c r="N404" s="159"/>
    </row>
    <row r="405" hidden="1">
      <c r="A405" s="69"/>
      <c r="B405" s="69"/>
      <c r="C405" s="109"/>
      <c r="D405" s="69"/>
      <c r="F405" s="58" t="s">
        <v>1014</v>
      </c>
      <c r="G405" s="59" t="s">
        <v>1024</v>
      </c>
      <c r="H405" s="90">
        <v>200.0</v>
      </c>
      <c r="I405" s="65"/>
      <c r="K405" s="156" t="s">
        <v>439</v>
      </c>
      <c r="L405" s="197" t="s">
        <v>1026</v>
      </c>
      <c r="M405" s="158">
        <f>13550-1000</f>
        <v>12550</v>
      </c>
      <c r="N405" s="159" t="s">
        <v>398</v>
      </c>
      <c r="O405" s="217" t="s">
        <v>957</v>
      </c>
    </row>
    <row r="406" hidden="1">
      <c r="A406" s="69"/>
      <c r="B406" s="69"/>
      <c r="C406" s="109"/>
      <c r="D406" s="69"/>
      <c r="F406" s="62"/>
      <c r="G406" s="59" t="s">
        <v>824</v>
      </c>
      <c r="H406" s="91">
        <f>116+295+210+240+250+200</f>
        <v>1311</v>
      </c>
      <c r="I406" s="65"/>
      <c r="K406" s="156" t="s">
        <v>439</v>
      </c>
      <c r="L406" s="198" t="s">
        <v>1027</v>
      </c>
      <c r="M406" s="158">
        <v>14650.0</v>
      </c>
      <c r="N406" s="159" t="s">
        <v>398</v>
      </c>
    </row>
    <row r="407" hidden="1">
      <c r="A407" s="69"/>
      <c r="B407" s="69"/>
      <c r="C407" s="109"/>
      <c r="D407" s="69"/>
      <c r="F407" s="62"/>
      <c r="G407" s="59" t="s">
        <v>1028</v>
      </c>
      <c r="H407" s="90">
        <v>2445.0</v>
      </c>
      <c r="I407" s="65"/>
      <c r="K407" s="156" t="s">
        <v>439</v>
      </c>
      <c r="L407" s="198" t="s">
        <v>1029</v>
      </c>
      <c r="M407" s="158">
        <v>13700.0</v>
      </c>
      <c r="N407" s="159" t="s">
        <v>398</v>
      </c>
    </row>
    <row r="408" hidden="1">
      <c r="A408" s="69"/>
      <c r="B408" s="69"/>
      <c r="C408" s="109"/>
      <c r="D408" s="69"/>
      <c r="F408" s="58" t="s">
        <v>439</v>
      </c>
      <c r="G408" s="59" t="s">
        <v>1030</v>
      </c>
      <c r="H408" s="90">
        <v>1000.0</v>
      </c>
      <c r="I408" s="65"/>
      <c r="K408" s="156" t="s">
        <v>439</v>
      </c>
      <c r="L408" s="178" t="s">
        <v>1031</v>
      </c>
      <c r="M408" s="158">
        <v>10300.0</v>
      </c>
      <c r="N408" s="159" t="s">
        <v>398</v>
      </c>
    </row>
    <row r="409" hidden="1">
      <c r="A409" s="219"/>
      <c r="B409" s="219"/>
      <c r="C409" s="259"/>
      <c r="D409" s="219"/>
      <c r="F409" s="62"/>
      <c r="G409" s="206" t="s">
        <v>1026</v>
      </c>
      <c r="H409" s="158">
        <f>13550-1000</f>
        <v>12550</v>
      </c>
      <c r="I409" s="65"/>
      <c r="K409" s="156" t="s">
        <v>467</v>
      </c>
      <c r="L409" s="178" t="s">
        <v>1032</v>
      </c>
      <c r="M409" s="158">
        <v>25500.0</v>
      </c>
      <c r="N409" s="159" t="s">
        <v>398</v>
      </c>
    </row>
    <row r="410" hidden="1">
      <c r="A410" s="219"/>
      <c r="B410" s="219"/>
      <c r="C410" s="259"/>
      <c r="D410" s="219"/>
      <c r="F410" s="62"/>
      <c r="G410" s="264" t="s">
        <v>1027</v>
      </c>
      <c r="H410" s="158">
        <v>14650.0</v>
      </c>
      <c r="I410" s="65"/>
      <c r="K410" s="156" t="s">
        <v>469</v>
      </c>
      <c r="L410" s="178" t="s">
        <v>1033</v>
      </c>
      <c r="M410" s="158">
        <v>1700.0</v>
      </c>
      <c r="N410" s="159" t="s">
        <v>398</v>
      </c>
    </row>
    <row r="411" hidden="1">
      <c r="A411" s="219"/>
      <c r="B411" s="219"/>
      <c r="C411" s="259"/>
      <c r="D411" s="219"/>
      <c r="F411" s="62"/>
      <c r="G411" s="264" t="s">
        <v>1029</v>
      </c>
      <c r="H411" s="158">
        <v>13700.0</v>
      </c>
      <c r="I411" s="65"/>
      <c r="K411" s="156" t="s">
        <v>1015</v>
      </c>
      <c r="L411" s="178" t="s">
        <v>1016</v>
      </c>
      <c r="M411" s="158">
        <v>3000.0</v>
      </c>
      <c r="N411" s="159" t="s">
        <v>398</v>
      </c>
    </row>
    <row r="412" hidden="1">
      <c r="A412" s="219"/>
      <c r="B412" s="219"/>
      <c r="C412" s="259"/>
      <c r="D412" s="219"/>
      <c r="F412" s="62"/>
      <c r="G412" s="157" t="s">
        <v>1031</v>
      </c>
      <c r="H412" s="158">
        <v>10300.0</v>
      </c>
      <c r="I412" s="65"/>
      <c r="K412" s="156" t="s">
        <v>439</v>
      </c>
      <c r="L412" s="178" t="s">
        <v>951</v>
      </c>
      <c r="M412" s="161">
        <v>1000.0</v>
      </c>
      <c r="N412" s="159" t="s">
        <v>398</v>
      </c>
    </row>
    <row r="413" hidden="1">
      <c r="A413" s="219"/>
      <c r="B413" s="219"/>
      <c r="C413" s="219"/>
      <c r="D413" s="219"/>
      <c r="F413" s="62"/>
      <c r="G413" s="157" t="s">
        <v>951</v>
      </c>
      <c r="H413" s="161">
        <v>1000.0</v>
      </c>
      <c r="I413" s="65"/>
      <c r="K413" s="156"/>
      <c r="L413" s="178" t="s">
        <v>675</v>
      </c>
      <c r="M413" s="161">
        <v>120.0</v>
      </c>
      <c r="N413" s="159"/>
    </row>
    <row r="414" hidden="1">
      <c r="A414" s="219"/>
      <c r="B414" s="219"/>
      <c r="C414" s="219"/>
      <c r="D414" s="219"/>
      <c r="F414" s="62"/>
      <c r="G414" s="59" t="s">
        <v>825</v>
      </c>
      <c r="H414" s="90">
        <v>10000.0</v>
      </c>
      <c r="I414" s="65"/>
      <c r="K414" s="163" t="s">
        <v>1034</v>
      </c>
      <c r="L414" s="39"/>
      <c r="M414" s="172">
        <f>SUM(M403:M413)</f>
        <v>262486</v>
      </c>
      <c r="N414" s="164"/>
    </row>
    <row r="415" hidden="1">
      <c r="A415" s="219"/>
      <c r="B415" s="219"/>
      <c r="C415" s="219"/>
      <c r="D415" s="219"/>
      <c r="F415" s="62"/>
      <c r="G415" s="59" t="s">
        <v>824</v>
      </c>
      <c r="H415" s="90">
        <f>380+1500</f>
        <v>1880</v>
      </c>
      <c r="I415" s="65"/>
    </row>
    <row r="416" hidden="1">
      <c r="A416" s="219"/>
      <c r="B416" s="219"/>
      <c r="C416" s="219"/>
      <c r="D416" s="219"/>
      <c r="F416" s="62"/>
      <c r="G416" s="59" t="s">
        <v>1035</v>
      </c>
      <c r="H416" s="90">
        <f>21550+1000</f>
        <v>22550</v>
      </c>
      <c r="I416" s="59" t="s">
        <v>1036</v>
      </c>
      <c r="K416" s="152" t="s">
        <v>1037</v>
      </c>
      <c r="L416" s="34"/>
      <c r="M416" s="34"/>
      <c r="N416" s="39"/>
    </row>
    <row r="417" hidden="1">
      <c r="A417" s="219"/>
      <c r="B417" s="219"/>
      <c r="C417" s="219"/>
      <c r="D417" s="219"/>
      <c r="F417" s="58" t="s">
        <v>444</v>
      </c>
      <c r="G417" s="59" t="s">
        <v>1038</v>
      </c>
      <c r="H417" s="90">
        <v>8000.0</v>
      </c>
      <c r="I417" s="65"/>
      <c r="K417" s="154" t="s">
        <v>232</v>
      </c>
      <c r="L417" s="155" t="s">
        <v>686</v>
      </c>
      <c r="M417" s="155" t="s">
        <v>238</v>
      </c>
      <c r="N417" s="155" t="s">
        <v>239</v>
      </c>
    </row>
    <row r="418" hidden="1">
      <c r="A418" s="219"/>
      <c r="B418" s="219"/>
      <c r="C418" s="219"/>
      <c r="D418" s="219"/>
      <c r="F418" s="58" t="s">
        <v>1039</v>
      </c>
      <c r="G418" s="59" t="s">
        <v>1040</v>
      </c>
      <c r="H418" s="90">
        <v>295.0</v>
      </c>
      <c r="I418" s="65"/>
      <c r="K418" s="166"/>
      <c r="L418" s="247" t="s">
        <v>638</v>
      </c>
      <c r="M418" s="168">
        <f>154500-50000</f>
        <v>104500</v>
      </c>
      <c r="N418" s="178"/>
    </row>
    <row r="419" hidden="1">
      <c r="A419" s="219"/>
      <c r="B419" s="219"/>
      <c r="C419" s="219"/>
      <c r="D419" s="219"/>
      <c r="F419" s="62"/>
      <c r="G419" s="59" t="s">
        <v>824</v>
      </c>
      <c r="H419" s="91">
        <f>400+150+45+100</f>
        <v>695</v>
      </c>
      <c r="I419" s="65"/>
      <c r="K419" s="166"/>
      <c r="L419" s="178" t="s">
        <v>14</v>
      </c>
      <c r="M419" s="158">
        <v>9400.0</v>
      </c>
      <c r="N419" s="178"/>
    </row>
    <row r="420" hidden="1">
      <c r="A420" s="219"/>
      <c r="B420" s="219"/>
      <c r="C420" s="219"/>
      <c r="D420" s="219"/>
      <c r="F420" s="58" t="s">
        <v>469</v>
      </c>
      <c r="G420" s="59" t="s">
        <v>1041</v>
      </c>
      <c r="H420" s="265">
        <v>24430.0</v>
      </c>
      <c r="I420" s="59" t="s">
        <v>1042</v>
      </c>
      <c r="K420" s="166"/>
      <c r="L420" s="178" t="s">
        <v>852</v>
      </c>
      <c r="M420" s="158">
        <f>30000-10000+22500</f>
        <v>42500</v>
      </c>
      <c r="N420" s="178"/>
    </row>
    <row r="421" hidden="1">
      <c r="A421" s="219"/>
      <c r="B421" s="219"/>
      <c r="C421" s="219"/>
      <c r="D421" s="219"/>
      <c r="F421" s="58" t="s">
        <v>469</v>
      </c>
      <c r="G421" s="59" t="s">
        <v>1043</v>
      </c>
      <c r="H421" s="90">
        <v>1700.0</v>
      </c>
      <c r="I421" s="65"/>
      <c r="K421" s="166"/>
      <c r="L421" s="178" t="s">
        <v>189</v>
      </c>
      <c r="M421" s="158">
        <f>677531+400000+100000-300000</f>
        <v>877531</v>
      </c>
      <c r="N421" s="178"/>
    </row>
    <row r="422" hidden="1">
      <c r="A422" s="219"/>
      <c r="B422" s="219"/>
      <c r="C422" s="219"/>
      <c r="D422" s="219"/>
      <c r="F422" s="62"/>
      <c r="G422" s="59" t="s">
        <v>1044</v>
      </c>
      <c r="H422" s="90">
        <v>32550.0</v>
      </c>
      <c r="I422" s="266"/>
      <c r="K422" s="166"/>
      <c r="L422" s="178" t="s">
        <v>22</v>
      </c>
      <c r="M422" s="158">
        <f>68000+36000+12500-6000-10000-30000</f>
        <v>70500</v>
      </c>
      <c r="N422" s="178"/>
    </row>
    <row r="423" hidden="1">
      <c r="A423" s="219"/>
      <c r="B423" s="219"/>
      <c r="C423" s="219"/>
      <c r="D423" s="219"/>
      <c r="F423" s="62"/>
      <c r="G423" s="59" t="s">
        <v>1045</v>
      </c>
      <c r="H423" s="90">
        <v>25500.0</v>
      </c>
      <c r="I423" s="266"/>
      <c r="K423" s="166"/>
      <c r="L423" s="178" t="s">
        <v>57</v>
      </c>
      <c r="M423" s="158">
        <f>6800+7800+7800+10500</f>
        <v>32900</v>
      </c>
      <c r="N423" s="178"/>
    </row>
    <row r="424" hidden="1">
      <c r="A424" s="219"/>
      <c r="B424" s="219"/>
      <c r="C424" s="219"/>
      <c r="D424" s="219"/>
      <c r="F424" s="62"/>
      <c r="G424" s="59" t="s">
        <v>1046</v>
      </c>
      <c r="H424" s="90">
        <v>3000.0</v>
      </c>
      <c r="I424" s="266"/>
      <c r="K424" s="166"/>
      <c r="L424" s="178" t="s">
        <v>96</v>
      </c>
      <c r="M424" s="158">
        <f>4*2*3500-20000</f>
        <v>8000</v>
      </c>
      <c r="N424" s="178"/>
    </row>
    <row r="425" hidden="1">
      <c r="A425" s="219"/>
      <c r="B425" s="219"/>
      <c r="C425" s="219"/>
      <c r="D425" s="219"/>
      <c r="F425" s="62"/>
      <c r="G425" s="59" t="s">
        <v>831</v>
      </c>
      <c r="H425" s="90">
        <v>50000.0</v>
      </c>
      <c r="I425" s="267" t="s">
        <v>974</v>
      </c>
      <c r="K425" s="163" t="s">
        <v>712</v>
      </c>
      <c r="L425" s="39"/>
      <c r="M425" s="172">
        <f>SUM(M418:M424)</f>
        <v>1145331</v>
      </c>
      <c r="N425" s="181"/>
    </row>
    <row r="426" hidden="1">
      <c r="A426" s="219"/>
      <c r="B426" s="219"/>
      <c r="C426" s="219"/>
      <c r="D426" s="219"/>
      <c r="F426" s="62"/>
      <c r="G426" s="268" t="s">
        <v>916</v>
      </c>
      <c r="H426" s="90">
        <v>70800.0</v>
      </c>
      <c r="I426" s="269"/>
    </row>
    <row r="427" hidden="1">
      <c r="A427" s="219"/>
      <c r="B427" s="219"/>
      <c r="C427" s="219"/>
      <c r="D427" s="219"/>
      <c r="F427" s="62"/>
      <c r="G427" s="268" t="s">
        <v>1003</v>
      </c>
      <c r="H427" s="90">
        <v>55660.0</v>
      </c>
      <c r="I427" s="269"/>
    </row>
    <row r="428" hidden="1">
      <c r="A428" s="219"/>
      <c r="B428" s="219"/>
      <c r="C428" s="219"/>
      <c r="D428" s="219"/>
      <c r="F428" s="62"/>
      <c r="G428" s="268" t="s">
        <v>1047</v>
      </c>
      <c r="H428" s="90">
        <v>11700.0</v>
      </c>
      <c r="I428" s="269"/>
      <c r="K428" s="152" t="s">
        <v>1048</v>
      </c>
      <c r="L428" s="34"/>
      <c r="M428" s="34"/>
      <c r="N428" s="39"/>
    </row>
    <row r="429" hidden="1">
      <c r="F429" s="62"/>
      <c r="G429" s="268" t="s">
        <v>1049</v>
      </c>
      <c r="H429" s="90">
        <v>114240.0</v>
      </c>
      <c r="I429" s="270"/>
      <c r="K429" s="154" t="s">
        <v>7</v>
      </c>
      <c r="L429" s="155" t="s">
        <v>686</v>
      </c>
      <c r="M429" s="155" t="s">
        <v>238</v>
      </c>
      <c r="N429" s="155" t="s">
        <v>239</v>
      </c>
    </row>
    <row r="430" hidden="1">
      <c r="F430" s="58" t="s">
        <v>474</v>
      </c>
      <c r="G430" s="59" t="s">
        <v>1050</v>
      </c>
      <c r="H430" s="90">
        <v>16000.0</v>
      </c>
      <c r="I430" s="65"/>
      <c r="K430" s="166"/>
      <c r="L430" s="167" t="s">
        <v>687</v>
      </c>
      <c r="M430" s="168">
        <f>60000-20000+4000+2000-10000+26000+4000-16000</f>
        <v>50000</v>
      </c>
      <c r="N430" s="157"/>
    </row>
    <row r="431" hidden="1">
      <c r="F431" s="62"/>
      <c r="G431" s="59" t="s">
        <v>401</v>
      </c>
      <c r="H431" s="90">
        <v>3000.0</v>
      </c>
      <c r="I431" s="65"/>
      <c r="K431" s="166"/>
      <c r="L431" s="167" t="s">
        <v>690</v>
      </c>
      <c r="M431" s="168">
        <f>85000+6000+1000+40000-50000</f>
        <v>82000</v>
      </c>
      <c r="N431" s="164"/>
    </row>
    <row r="432" hidden="1">
      <c r="F432" s="58" t="s">
        <v>134</v>
      </c>
      <c r="G432" s="59" t="s">
        <v>1051</v>
      </c>
      <c r="H432" s="91">
        <f>4000+3000+700</f>
        <v>7700</v>
      </c>
      <c r="I432" s="65"/>
      <c r="K432" s="166"/>
      <c r="L432" s="167" t="s">
        <v>823</v>
      </c>
      <c r="M432" s="168">
        <f>7000+12000+12000+3000+12000-3000</f>
        <v>43000</v>
      </c>
      <c r="N432" s="164"/>
    </row>
    <row r="433" hidden="1">
      <c r="F433" s="62"/>
      <c r="G433" s="59" t="s">
        <v>1052</v>
      </c>
      <c r="H433" s="90">
        <v>2906.0</v>
      </c>
      <c r="I433" s="65"/>
      <c r="K433" s="166"/>
      <c r="L433" s="157" t="s">
        <v>825</v>
      </c>
      <c r="M433" s="158">
        <f>15000*2+10000-10000</f>
        <v>30000</v>
      </c>
      <c r="N433" s="157"/>
    </row>
    <row r="434" hidden="1">
      <c r="F434" s="62"/>
      <c r="G434" s="59" t="s">
        <v>1053</v>
      </c>
      <c r="H434" s="90">
        <v>2000.0</v>
      </c>
      <c r="I434" s="65"/>
      <c r="K434" s="166"/>
      <c r="L434" s="157" t="s">
        <v>698</v>
      </c>
      <c r="M434" s="158">
        <f>45000-10000</f>
        <v>35000</v>
      </c>
      <c r="N434" s="157"/>
    </row>
    <row r="435" hidden="1">
      <c r="F435" s="62"/>
      <c r="G435" s="59" t="s">
        <v>1052</v>
      </c>
      <c r="H435" s="90">
        <v>3344.0</v>
      </c>
      <c r="I435" s="65"/>
      <c r="K435" s="166"/>
      <c r="L435" s="157" t="s">
        <v>828</v>
      </c>
      <c r="M435" s="158">
        <f>32000+16000</f>
        <v>48000</v>
      </c>
      <c r="N435" s="157"/>
    </row>
    <row r="436" hidden="1">
      <c r="F436" s="194"/>
      <c r="G436" s="69"/>
      <c r="H436" s="92">
        <f>SUM(H396:H435)</f>
        <v>533736</v>
      </c>
      <c r="I436" s="69"/>
      <c r="K436" s="166"/>
      <c r="L436" s="157" t="s">
        <v>831</v>
      </c>
      <c r="M436" s="158">
        <f>330000-100000-100000-50000</f>
        <v>80000</v>
      </c>
      <c r="N436" s="157"/>
    </row>
    <row r="437" hidden="1">
      <c r="F437" s="194"/>
      <c r="G437" s="69"/>
      <c r="H437" s="92"/>
      <c r="I437" s="69"/>
      <c r="K437" s="166"/>
      <c r="L437" s="173" t="s">
        <v>916</v>
      </c>
      <c r="M437" s="202">
        <f>70800-70800</f>
        <v>0</v>
      </c>
      <c r="N437" s="255"/>
    </row>
    <row r="438" hidden="1">
      <c r="F438" s="194"/>
      <c r="G438" s="69"/>
      <c r="H438" s="92"/>
      <c r="I438" s="69"/>
      <c r="K438" s="166"/>
      <c r="L438" s="173" t="s">
        <v>1003</v>
      </c>
      <c r="M438" s="202">
        <f>55656-55656</f>
        <v>0</v>
      </c>
      <c r="N438" s="255"/>
    </row>
    <row r="439" hidden="1">
      <c r="F439" s="194"/>
      <c r="G439" s="69"/>
      <c r="H439" s="92"/>
      <c r="I439" s="69"/>
      <c r="K439" s="166"/>
      <c r="L439" s="173" t="s">
        <v>1047</v>
      </c>
      <c r="M439" s="202">
        <f>11700-11700</f>
        <v>0</v>
      </c>
      <c r="N439" s="271">
        <f>M437+M438+M439</f>
        <v>0</v>
      </c>
    </row>
    <row r="440" hidden="1">
      <c r="F440" s="194"/>
      <c r="G440" s="69"/>
      <c r="H440" s="92"/>
      <c r="I440" s="69"/>
      <c r="K440" s="166"/>
      <c r="L440" s="173" t="s">
        <v>837</v>
      </c>
      <c r="M440" s="225">
        <v>38400.0</v>
      </c>
      <c r="N440" s="205"/>
    </row>
    <row r="441" hidden="1">
      <c r="F441" s="194"/>
      <c r="G441" s="69"/>
      <c r="H441" s="92"/>
      <c r="I441" s="69"/>
      <c r="K441" s="166"/>
      <c r="L441" s="173" t="s">
        <v>838</v>
      </c>
      <c r="M441" s="225">
        <v>39800.0</v>
      </c>
      <c r="N441" s="205"/>
    </row>
    <row r="442" hidden="1">
      <c r="F442" s="194"/>
      <c r="G442" s="69"/>
      <c r="H442" s="272"/>
      <c r="I442" s="69"/>
      <c r="K442" s="166"/>
      <c r="L442" s="173" t="s">
        <v>839</v>
      </c>
      <c r="M442" s="225">
        <v>25000.0</v>
      </c>
      <c r="N442" s="226"/>
    </row>
    <row r="443" hidden="1">
      <c r="F443" s="194"/>
      <c r="G443" s="69"/>
      <c r="H443" s="200"/>
      <c r="I443" s="69"/>
      <c r="K443" s="166"/>
      <c r="L443" s="173" t="s">
        <v>918</v>
      </c>
      <c r="M443" s="225">
        <v>47200.0</v>
      </c>
      <c r="N443" s="228"/>
    </row>
    <row r="444" hidden="1">
      <c r="F444" s="194"/>
      <c r="G444" s="69"/>
      <c r="H444" s="200"/>
      <c r="I444" s="69"/>
      <c r="K444" s="166"/>
      <c r="L444" s="173" t="s">
        <v>1054</v>
      </c>
      <c r="M444" s="225">
        <v>37104.0</v>
      </c>
      <c r="N444" s="228"/>
    </row>
    <row r="445" hidden="1">
      <c r="F445" s="194"/>
      <c r="G445" s="69"/>
      <c r="H445" s="200"/>
      <c r="I445" s="69"/>
      <c r="K445" s="166"/>
      <c r="L445" s="173" t="s">
        <v>1006</v>
      </c>
      <c r="M445" s="225">
        <v>7800.0</v>
      </c>
      <c r="N445" s="227">
        <f>M440+M441+M442+M443+M444+M445</f>
        <v>195304</v>
      </c>
    </row>
    <row r="446" hidden="1">
      <c r="F446" s="194"/>
      <c r="G446" s="69"/>
      <c r="H446" s="200"/>
      <c r="I446" s="69"/>
      <c r="K446" s="166"/>
      <c r="L446" s="157" t="s">
        <v>1008</v>
      </c>
      <c r="M446" s="158">
        <v>100000.0</v>
      </c>
      <c r="N446" s="228"/>
    </row>
    <row r="447" hidden="1">
      <c r="F447" s="194"/>
      <c r="G447" s="69"/>
      <c r="H447" s="200"/>
      <c r="I447" s="69"/>
      <c r="K447" s="166"/>
      <c r="L447" s="157" t="s">
        <v>330</v>
      </c>
      <c r="M447" s="158">
        <f>9000+12000</f>
        <v>21000</v>
      </c>
      <c r="N447" s="228"/>
    </row>
    <row r="448" hidden="1">
      <c r="F448" s="194"/>
      <c r="G448" s="69"/>
      <c r="H448" s="109"/>
      <c r="I448" s="69"/>
      <c r="K448" s="166"/>
      <c r="L448" s="157" t="s">
        <v>331</v>
      </c>
      <c r="M448" s="158">
        <f>9000+14000-1000-2000</f>
        <v>20000</v>
      </c>
      <c r="N448" s="228"/>
    </row>
    <row r="449" hidden="1">
      <c r="F449" s="194"/>
      <c r="G449" s="69"/>
      <c r="H449" s="200"/>
      <c r="I449" s="69"/>
      <c r="K449" s="166"/>
      <c r="L449" s="157" t="s">
        <v>334</v>
      </c>
      <c r="M449" s="158">
        <f>4000+12000</f>
        <v>16000</v>
      </c>
      <c r="N449" s="205"/>
    </row>
    <row r="450" hidden="1">
      <c r="F450" s="194"/>
      <c r="G450" s="69"/>
      <c r="H450" s="109"/>
      <c r="I450" s="69"/>
      <c r="K450" s="166"/>
      <c r="L450" s="157" t="s">
        <v>345</v>
      </c>
      <c r="M450" s="158">
        <f>1500+5000+2000-5000+15000-8500</f>
        <v>10000</v>
      </c>
      <c r="N450" s="205"/>
    </row>
    <row r="451" hidden="1">
      <c r="F451" s="194"/>
      <c r="G451" s="69"/>
      <c r="H451" s="109"/>
      <c r="I451" s="69"/>
      <c r="K451" s="166"/>
      <c r="L451" s="157" t="s">
        <v>349</v>
      </c>
      <c r="M451" s="158">
        <v>3000.0</v>
      </c>
      <c r="N451" s="205"/>
    </row>
    <row r="452" hidden="1">
      <c r="F452" s="194"/>
      <c r="G452" s="69"/>
      <c r="H452" s="200"/>
      <c r="I452" s="69"/>
      <c r="K452" s="166"/>
      <c r="L452" s="157" t="s">
        <v>1011</v>
      </c>
      <c r="M452" s="158">
        <f>20000+3000-10000</f>
        <v>13000</v>
      </c>
      <c r="N452" s="205"/>
    </row>
    <row r="453" hidden="1">
      <c r="F453" s="194"/>
      <c r="G453" s="69"/>
      <c r="H453" s="200"/>
      <c r="I453" s="69"/>
      <c r="K453" s="166"/>
      <c r="L453" s="59" t="s">
        <v>278</v>
      </c>
      <c r="M453" s="90">
        <v>2000.0</v>
      </c>
      <c r="N453" s="205"/>
    </row>
    <row r="454" hidden="1">
      <c r="F454" s="194"/>
      <c r="G454" s="69"/>
      <c r="H454" s="200"/>
      <c r="I454" s="69"/>
      <c r="K454" s="166"/>
      <c r="L454" s="59" t="s">
        <v>401</v>
      </c>
      <c r="M454" s="91">
        <f>3*3000-3000</f>
        <v>6000</v>
      </c>
      <c r="N454" s="205"/>
    </row>
    <row r="455" hidden="1">
      <c r="F455" s="194"/>
      <c r="G455" s="69"/>
      <c r="H455" s="200"/>
      <c r="I455" s="69"/>
      <c r="K455" s="166"/>
      <c r="L455" s="59" t="s">
        <v>402</v>
      </c>
      <c r="M455" s="91">
        <f>2*3000</f>
        <v>6000</v>
      </c>
      <c r="N455" s="205"/>
    </row>
    <row r="456" hidden="1">
      <c r="F456" s="194"/>
      <c r="G456" s="69"/>
      <c r="H456" s="200"/>
      <c r="I456" s="69"/>
      <c r="K456" s="65"/>
      <c r="L456" s="59" t="s">
        <v>405</v>
      </c>
      <c r="M456" s="91">
        <f t="shared" ref="M456:M458" si="5">3000*2</f>
        <v>6000</v>
      </c>
      <c r="N456" s="65"/>
    </row>
    <row r="457" hidden="1">
      <c r="F457" s="194"/>
      <c r="G457" s="69"/>
      <c r="H457" s="109"/>
      <c r="I457" s="69"/>
      <c r="K457" s="65"/>
      <c r="L457" s="59" t="s">
        <v>406</v>
      </c>
      <c r="M457" s="91">
        <f t="shared" si="5"/>
        <v>6000</v>
      </c>
      <c r="N457" s="65"/>
    </row>
    <row r="458" hidden="1">
      <c r="F458" s="194"/>
      <c r="G458" s="69"/>
      <c r="H458" s="109"/>
      <c r="I458" s="69"/>
      <c r="K458" s="65"/>
      <c r="L458" s="59" t="s">
        <v>407</v>
      </c>
      <c r="M458" s="91">
        <f t="shared" si="5"/>
        <v>6000</v>
      </c>
      <c r="N458" s="65"/>
    </row>
    <row r="459" hidden="1">
      <c r="F459" s="194"/>
      <c r="G459" s="69"/>
      <c r="H459" s="109"/>
      <c r="I459" s="69"/>
      <c r="K459" s="65"/>
      <c r="L459" s="59" t="s">
        <v>409</v>
      </c>
      <c r="M459" s="91">
        <f>3500*2</f>
        <v>7000</v>
      </c>
      <c r="N459" s="65"/>
    </row>
    <row r="460" hidden="1">
      <c r="F460" s="194"/>
      <c r="G460" s="69"/>
      <c r="H460" s="109"/>
      <c r="I460" s="69"/>
      <c r="K460" s="65"/>
      <c r="L460" s="59" t="s">
        <v>410</v>
      </c>
      <c r="M460" s="90">
        <v>10000.0</v>
      </c>
      <c r="N460" s="65"/>
    </row>
    <row r="461" hidden="1">
      <c r="F461" s="194"/>
      <c r="G461" s="69"/>
      <c r="H461" s="109"/>
      <c r="I461" s="69"/>
      <c r="K461" s="65"/>
      <c r="L461" s="59" t="s">
        <v>414</v>
      </c>
      <c r="M461" s="91">
        <f>4000*2</f>
        <v>8000</v>
      </c>
      <c r="N461" s="65"/>
    </row>
    <row r="462" hidden="1">
      <c r="F462" s="194"/>
      <c r="G462" s="69"/>
      <c r="H462" s="109"/>
      <c r="I462" s="69"/>
      <c r="K462" s="65"/>
      <c r="L462" s="59" t="s">
        <v>415</v>
      </c>
      <c r="M462" s="91">
        <f>3000*2</f>
        <v>6000</v>
      </c>
      <c r="N462" s="65"/>
    </row>
    <row r="463" hidden="1">
      <c r="F463" s="194"/>
      <c r="G463" s="69"/>
      <c r="H463" s="109"/>
      <c r="I463" s="69"/>
      <c r="K463" s="65"/>
      <c r="L463" s="59" t="s">
        <v>416</v>
      </c>
      <c r="M463" s="90">
        <f>10000-5000</f>
        <v>5000</v>
      </c>
      <c r="N463" s="65"/>
    </row>
    <row r="464" hidden="1">
      <c r="F464" s="194"/>
      <c r="G464" s="69"/>
      <c r="H464" s="109"/>
      <c r="I464" s="69"/>
      <c r="K464" s="65"/>
      <c r="L464" s="59" t="s">
        <v>317</v>
      </c>
      <c r="M464" s="91">
        <f>2*4*5000-10000</f>
        <v>30000</v>
      </c>
      <c r="N464" s="65"/>
    </row>
    <row r="465" hidden="1">
      <c r="F465" s="194"/>
      <c r="G465" s="69"/>
      <c r="H465" s="109"/>
      <c r="I465" s="69"/>
      <c r="K465" s="65"/>
      <c r="L465" s="59" t="s">
        <v>995</v>
      </c>
      <c r="M465" s="91">
        <f>4*20*250+5*250-10000</f>
        <v>11250</v>
      </c>
      <c r="N465" s="65"/>
    </row>
    <row r="466" hidden="1">
      <c r="F466" s="194"/>
      <c r="G466" s="69"/>
      <c r="H466" s="109"/>
      <c r="I466" s="69"/>
      <c r="K466" s="65"/>
      <c r="L466" s="59" t="s">
        <v>1012</v>
      </c>
      <c r="M466" s="260">
        <v>5000.0</v>
      </c>
      <c r="N466" s="261"/>
    </row>
    <row r="467" hidden="1">
      <c r="F467" s="194"/>
      <c r="G467" s="69"/>
      <c r="H467" s="109"/>
      <c r="I467" s="69"/>
      <c r="K467" s="163" t="s">
        <v>702</v>
      </c>
      <c r="L467" s="39"/>
      <c r="M467" s="172">
        <f>SUM(M430:M466)</f>
        <v>860554</v>
      </c>
      <c r="N467" s="262"/>
    </row>
    <row r="468" hidden="1"/>
    <row r="469" hidden="1"/>
    <row r="470" hidden="1"/>
    <row r="471" hidden="1"/>
    <row r="472" hidden="1"/>
    <row r="474">
      <c r="A474" s="139">
        <v>45078.0</v>
      </c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9"/>
    </row>
    <row r="475">
      <c r="F475" s="69"/>
      <c r="G475" s="69"/>
      <c r="H475" s="109"/>
      <c r="I475" s="69"/>
    </row>
    <row r="476" hidden="1">
      <c r="A476" s="229" t="s">
        <v>613</v>
      </c>
      <c r="B476" s="34"/>
      <c r="C476" s="34"/>
      <c r="D476" s="39"/>
      <c r="E476" s="46"/>
      <c r="F476" s="229" t="s">
        <v>614</v>
      </c>
      <c r="G476" s="34"/>
      <c r="H476" s="34"/>
      <c r="I476" s="39"/>
      <c r="K476" s="230" t="s">
        <v>1055</v>
      </c>
      <c r="L476" s="34"/>
      <c r="M476" s="34"/>
      <c r="N476" s="39"/>
    </row>
    <row r="477" hidden="1">
      <c r="A477" s="143" t="s">
        <v>7</v>
      </c>
      <c r="B477" s="144" t="s">
        <v>616</v>
      </c>
      <c r="C477" s="144" t="s">
        <v>617</v>
      </c>
      <c r="D477" s="144" t="s">
        <v>618</v>
      </c>
      <c r="E477" s="145"/>
      <c r="F477" s="144" t="s">
        <v>7</v>
      </c>
      <c r="G477" s="144" t="s">
        <v>616</v>
      </c>
      <c r="H477" s="144" t="s">
        <v>617</v>
      </c>
      <c r="I477" s="146" t="s">
        <v>618</v>
      </c>
      <c r="K477" s="215" t="s">
        <v>7</v>
      </c>
      <c r="L477" s="215" t="s">
        <v>616</v>
      </c>
      <c r="M477" s="215" t="s">
        <v>617</v>
      </c>
      <c r="N477" s="215" t="s">
        <v>618</v>
      </c>
    </row>
    <row r="478" hidden="1">
      <c r="A478" s="59" t="s">
        <v>476</v>
      </c>
      <c r="B478" s="59" t="s">
        <v>136</v>
      </c>
      <c r="C478" s="273">
        <v>20000.0</v>
      </c>
      <c r="D478" s="59" t="s">
        <v>137</v>
      </c>
      <c r="F478" s="64" t="s">
        <v>476</v>
      </c>
      <c r="G478" s="64" t="s">
        <v>1056</v>
      </c>
      <c r="H478" s="274">
        <f>10500+300+600+250+50+7450</f>
        <v>19150</v>
      </c>
      <c r="I478" s="94"/>
      <c r="K478" s="58" t="s">
        <v>1057</v>
      </c>
      <c r="L478" s="193" t="s">
        <v>625</v>
      </c>
      <c r="M478" s="150">
        <f>6000+50000-50000+40000+45000-85000+31800</f>
        <v>37800</v>
      </c>
      <c r="N478" s="59" t="s">
        <v>1058</v>
      </c>
    </row>
    <row r="479" hidden="1">
      <c r="A479" s="59" t="s">
        <v>480</v>
      </c>
      <c r="B479" s="59" t="s">
        <v>1059</v>
      </c>
      <c r="C479" s="273">
        <v>20000.0</v>
      </c>
      <c r="D479" s="275" t="s">
        <v>1060</v>
      </c>
      <c r="F479" s="94"/>
      <c r="G479" s="64" t="s">
        <v>1061</v>
      </c>
      <c r="H479" s="274">
        <v>200.0</v>
      </c>
      <c r="I479" s="94"/>
      <c r="K479" s="58" t="s">
        <v>1057</v>
      </c>
      <c r="L479" s="193" t="s">
        <v>628</v>
      </c>
      <c r="M479" s="150">
        <v>0.0</v>
      </c>
      <c r="N479" s="59"/>
    </row>
    <row r="480" hidden="1">
      <c r="A480" s="59" t="s">
        <v>142</v>
      </c>
      <c r="B480" s="59" t="s">
        <v>113</v>
      </c>
      <c r="C480" s="273">
        <v>3000.0</v>
      </c>
      <c r="D480" s="59" t="s">
        <v>130</v>
      </c>
      <c r="F480" s="94"/>
      <c r="G480" s="64" t="s">
        <v>685</v>
      </c>
      <c r="H480" s="274">
        <v>1400.0</v>
      </c>
      <c r="I480" s="94"/>
      <c r="K480" s="58" t="s">
        <v>1057</v>
      </c>
      <c r="L480" s="193" t="s">
        <v>631</v>
      </c>
      <c r="M480" s="276">
        <f>C495-H550</f>
        <v>-2386</v>
      </c>
      <c r="N480" s="59" t="s">
        <v>241</v>
      </c>
    </row>
    <row r="481" hidden="1">
      <c r="A481" s="59" t="s">
        <v>138</v>
      </c>
      <c r="B481" s="59" t="s">
        <v>143</v>
      </c>
      <c r="C481" s="274">
        <v>50000.0</v>
      </c>
      <c r="D481" s="26" t="s">
        <v>133</v>
      </c>
      <c r="F481" s="64" t="s">
        <v>138</v>
      </c>
      <c r="G481" s="64" t="s">
        <v>1062</v>
      </c>
      <c r="H481" s="274">
        <v>13750.0</v>
      </c>
      <c r="I481" s="64"/>
    </row>
    <row r="482" hidden="1">
      <c r="A482" s="59" t="s">
        <v>145</v>
      </c>
      <c r="B482" s="59" t="s">
        <v>430</v>
      </c>
      <c r="C482" s="274">
        <v>200000.0</v>
      </c>
      <c r="D482" s="65"/>
      <c r="F482" s="64" t="s">
        <v>480</v>
      </c>
      <c r="G482" s="64" t="s">
        <v>1041</v>
      </c>
      <c r="H482" s="274">
        <f>12375+3200</f>
        <v>15575</v>
      </c>
      <c r="I482" s="64"/>
    </row>
    <row r="483" hidden="1">
      <c r="A483" s="65"/>
      <c r="B483" s="59" t="s">
        <v>1063</v>
      </c>
      <c r="C483" s="274">
        <v>40000.0</v>
      </c>
      <c r="D483" s="65"/>
      <c r="F483" s="64" t="s">
        <v>138</v>
      </c>
      <c r="G483" s="64" t="s">
        <v>1064</v>
      </c>
      <c r="H483" s="274">
        <v>7850.0</v>
      </c>
      <c r="I483" s="94"/>
      <c r="K483" s="152" t="s">
        <v>1065</v>
      </c>
      <c r="L483" s="34"/>
      <c r="M483" s="34"/>
      <c r="N483" s="39"/>
    </row>
    <row r="484" hidden="1">
      <c r="A484" s="65"/>
      <c r="B484" s="59" t="s">
        <v>136</v>
      </c>
      <c r="C484" s="274">
        <v>23000.0</v>
      </c>
      <c r="D484" s="65"/>
      <c r="F484" s="64" t="s">
        <v>142</v>
      </c>
      <c r="G484" s="64" t="s">
        <v>1066</v>
      </c>
      <c r="H484" s="274">
        <v>300.0</v>
      </c>
      <c r="I484" s="94"/>
      <c r="K484" s="154" t="s">
        <v>232</v>
      </c>
      <c r="L484" s="155" t="s">
        <v>237</v>
      </c>
      <c r="M484" s="155" t="s">
        <v>238</v>
      </c>
      <c r="N484" s="155" t="s">
        <v>239</v>
      </c>
    </row>
    <row r="485" hidden="1">
      <c r="A485" s="59" t="s">
        <v>151</v>
      </c>
      <c r="B485" s="26" t="s">
        <v>149</v>
      </c>
      <c r="C485" s="274">
        <v>15000.0</v>
      </c>
      <c r="D485" s="26" t="s">
        <v>150</v>
      </c>
      <c r="F485" s="64" t="s">
        <v>480</v>
      </c>
      <c r="G485" s="64" t="s">
        <v>1067</v>
      </c>
      <c r="H485" s="274">
        <v>24230.0</v>
      </c>
      <c r="I485" s="94"/>
      <c r="K485" s="156" t="s">
        <v>1057</v>
      </c>
      <c r="L485" s="178" t="s">
        <v>1068</v>
      </c>
      <c r="M485" s="158">
        <f>19566+26900+44500+44500</f>
        <v>135466</v>
      </c>
      <c r="N485" s="159" t="s">
        <v>398</v>
      </c>
    </row>
    <row r="486" hidden="1">
      <c r="A486" s="59" t="s">
        <v>151</v>
      </c>
      <c r="B486" s="26" t="s">
        <v>152</v>
      </c>
      <c r="C486" s="274">
        <v>15000.0</v>
      </c>
      <c r="D486" s="26" t="s">
        <v>153</v>
      </c>
      <c r="F486" s="64" t="s">
        <v>480</v>
      </c>
      <c r="G486" s="64" t="s">
        <v>1069</v>
      </c>
      <c r="H486" s="274">
        <v>3390.0</v>
      </c>
      <c r="I486" s="94"/>
      <c r="K486" s="156" t="s">
        <v>1057</v>
      </c>
      <c r="L486" s="178" t="s">
        <v>1070</v>
      </c>
      <c r="M486" s="158">
        <f>44500+44500+44500-16000-93670-19500</f>
        <v>4330</v>
      </c>
      <c r="N486" s="159" t="s">
        <v>398</v>
      </c>
    </row>
    <row r="487" hidden="1">
      <c r="A487" s="59" t="s">
        <v>151</v>
      </c>
      <c r="B487" s="26" t="s">
        <v>1071</v>
      </c>
      <c r="C487" s="274">
        <v>15000.0</v>
      </c>
      <c r="D487" s="26" t="s">
        <v>155</v>
      </c>
      <c r="F487" s="94"/>
      <c r="G487" s="64" t="s">
        <v>1072</v>
      </c>
      <c r="H487" s="274">
        <v>2000.0</v>
      </c>
      <c r="I487" s="94"/>
      <c r="K487" s="156" t="s">
        <v>481</v>
      </c>
      <c r="L487" s="277" t="s">
        <v>1073</v>
      </c>
      <c r="M487" s="158">
        <v>32300.0</v>
      </c>
      <c r="N487" s="159" t="s">
        <v>398</v>
      </c>
    </row>
    <row r="488" hidden="1">
      <c r="A488" s="59" t="s">
        <v>156</v>
      </c>
      <c r="B488" s="59" t="s">
        <v>539</v>
      </c>
      <c r="C488" s="274">
        <f>22000+20000</f>
        <v>42000</v>
      </c>
      <c r="D488" s="26" t="s">
        <v>158</v>
      </c>
      <c r="F488" s="64" t="s">
        <v>519</v>
      </c>
      <c r="G488" s="64" t="s">
        <v>1074</v>
      </c>
      <c r="H488" s="274">
        <v>160.0</v>
      </c>
      <c r="I488" s="94"/>
      <c r="K488" s="156" t="s">
        <v>481</v>
      </c>
      <c r="L488" s="197" t="s">
        <v>1075</v>
      </c>
      <c r="M488" s="158">
        <v>21950.0</v>
      </c>
      <c r="N488" s="159" t="s">
        <v>398</v>
      </c>
    </row>
    <row r="489" hidden="1">
      <c r="A489" s="59" t="s">
        <v>163</v>
      </c>
      <c r="B489" s="59" t="s">
        <v>164</v>
      </c>
      <c r="C489" s="274">
        <v>27000.0</v>
      </c>
      <c r="D489" s="26" t="s">
        <v>165</v>
      </c>
      <c r="F489" s="208" t="s">
        <v>481</v>
      </c>
      <c r="G489" s="278" t="s">
        <v>1073</v>
      </c>
      <c r="H489" s="279">
        <v>32300.0</v>
      </c>
      <c r="I489" s="94"/>
      <c r="K489" s="156" t="s">
        <v>481</v>
      </c>
      <c r="L489" s="198" t="s">
        <v>1076</v>
      </c>
      <c r="M489" s="158">
        <v>23050.0</v>
      </c>
      <c r="N489" s="159" t="s">
        <v>398</v>
      </c>
    </row>
    <row r="490" hidden="1">
      <c r="A490" s="59" t="s">
        <v>486</v>
      </c>
      <c r="B490" s="59" t="s">
        <v>430</v>
      </c>
      <c r="C490" s="273">
        <v>200000.0</v>
      </c>
      <c r="D490" s="65"/>
      <c r="F490" s="208" t="s">
        <v>481</v>
      </c>
      <c r="G490" s="278" t="s">
        <v>1075</v>
      </c>
      <c r="H490" s="279">
        <v>21950.0</v>
      </c>
      <c r="I490" s="94"/>
      <c r="K490" s="156" t="s">
        <v>481</v>
      </c>
      <c r="L490" s="198" t="s">
        <v>1077</v>
      </c>
      <c r="M490" s="158">
        <v>18300.0</v>
      </c>
      <c r="N490" s="159" t="s">
        <v>398</v>
      </c>
    </row>
    <row r="491" hidden="1">
      <c r="A491" s="59" t="s">
        <v>485</v>
      </c>
      <c r="B491" s="59" t="s">
        <v>1078</v>
      </c>
      <c r="C491" s="273">
        <v>310000.0</v>
      </c>
      <c r="D491" s="65"/>
      <c r="F491" s="208" t="s">
        <v>481</v>
      </c>
      <c r="G491" s="278" t="s">
        <v>1076</v>
      </c>
      <c r="H491" s="279">
        <v>23050.0</v>
      </c>
      <c r="I491" s="94"/>
      <c r="K491" s="156" t="s">
        <v>481</v>
      </c>
      <c r="L491" s="178" t="s">
        <v>1079</v>
      </c>
      <c r="M491" s="158">
        <v>15200.0</v>
      </c>
      <c r="N491" s="159" t="s">
        <v>398</v>
      </c>
    </row>
    <row r="492" hidden="1">
      <c r="A492" s="59" t="s">
        <v>486</v>
      </c>
      <c r="B492" s="59" t="s">
        <v>49</v>
      </c>
      <c r="C492" s="273">
        <v>15000.0</v>
      </c>
      <c r="D492" s="65"/>
      <c r="F492" s="208" t="s">
        <v>481</v>
      </c>
      <c r="G492" s="278" t="s">
        <v>1077</v>
      </c>
      <c r="H492" s="279">
        <v>18300.0</v>
      </c>
      <c r="I492" s="94"/>
      <c r="K492" s="156" t="s">
        <v>481</v>
      </c>
      <c r="L492" s="178" t="s">
        <v>1032</v>
      </c>
      <c r="M492" s="158">
        <v>25500.0</v>
      </c>
      <c r="N492" s="159" t="s">
        <v>398</v>
      </c>
    </row>
    <row r="493" hidden="1">
      <c r="A493" s="59" t="s">
        <v>1080</v>
      </c>
      <c r="B493" s="26" t="s">
        <v>159</v>
      </c>
      <c r="C493" s="273">
        <v>15000.0</v>
      </c>
      <c r="D493" s="26" t="s">
        <v>160</v>
      </c>
      <c r="F493" s="208" t="s">
        <v>481</v>
      </c>
      <c r="G493" s="179" t="s">
        <v>1079</v>
      </c>
      <c r="H493" s="279">
        <v>15200.0</v>
      </c>
      <c r="I493" s="94"/>
      <c r="K493" s="156"/>
      <c r="L493" s="178" t="s">
        <v>1081</v>
      </c>
      <c r="M493" s="158">
        <v>1700.0</v>
      </c>
      <c r="N493" s="159"/>
    </row>
    <row r="494" hidden="1">
      <c r="A494" s="59" t="s">
        <v>1080</v>
      </c>
      <c r="B494" s="26" t="s">
        <v>91</v>
      </c>
      <c r="C494" s="273">
        <v>4500.0</v>
      </c>
      <c r="D494" s="26" t="s">
        <v>162</v>
      </c>
      <c r="F494" s="94"/>
      <c r="G494" s="64" t="s">
        <v>1082</v>
      </c>
      <c r="H494" s="274">
        <v>1000.0</v>
      </c>
      <c r="I494" s="94"/>
      <c r="K494" s="156"/>
      <c r="L494" s="178" t="s">
        <v>1083</v>
      </c>
      <c r="M494" s="158">
        <v>3000.0</v>
      </c>
      <c r="N494" s="159"/>
    </row>
    <row r="495" hidden="1">
      <c r="A495" s="69"/>
      <c r="B495" s="69"/>
      <c r="C495" s="89">
        <f>SUM(C478:C494)</f>
        <v>1014500</v>
      </c>
      <c r="D495" s="69"/>
      <c r="F495" s="94"/>
      <c r="G495" s="64" t="s">
        <v>1084</v>
      </c>
      <c r="H495" s="274">
        <v>1000.0</v>
      </c>
      <c r="I495" s="94"/>
      <c r="K495" s="156" t="s">
        <v>151</v>
      </c>
      <c r="L495" s="178" t="s">
        <v>675</v>
      </c>
      <c r="M495" s="161">
        <v>240.0</v>
      </c>
      <c r="N495" s="159" t="s">
        <v>398</v>
      </c>
    </row>
    <row r="496" hidden="1">
      <c r="A496" s="69"/>
      <c r="B496" s="69"/>
      <c r="C496" s="89"/>
      <c r="D496" s="69"/>
      <c r="F496" s="94"/>
      <c r="G496" s="64" t="s">
        <v>1085</v>
      </c>
      <c r="H496" s="274">
        <v>1300.0</v>
      </c>
      <c r="I496" s="94"/>
      <c r="K496" s="163" t="s">
        <v>1034</v>
      </c>
      <c r="L496" s="39"/>
      <c r="M496" s="172">
        <f>SUM(M485:M495)</f>
        <v>281036</v>
      </c>
      <c r="N496" s="164"/>
    </row>
    <row r="497" hidden="1">
      <c r="A497" s="69"/>
      <c r="B497" s="69"/>
      <c r="C497" s="89"/>
      <c r="D497" s="69"/>
      <c r="F497" s="94"/>
      <c r="G497" s="64" t="s">
        <v>1086</v>
      </c>
      <c r="H497" s="274">
        <v>38000.0</v>
      </c>
      <c r="I497" s="94"/>
    </row>
    <row r="498" hidden="1">
      <c r="A498" s="69"/>
      <c r="B498" s="69"/>
      <c r="C498" s="89"/>
      <c r="D498" s="69"/>
      <c r="F498" s="94"/>
      <c r="G498" s="64" t="s">
        <v>1087</v>
      </c>
      <c r="H498" s="274">
        <v>20000.0</v>
      </c>
      <c r="I498" s="94"/>
    </row>
    <row r="499" hidden="1">
      <c r="A499" s="69"/>
      <c r="B499" s="69"/>
      <c r="C499" s="69"/>
      <c r="D499" s="69"/>
      <c r="F499" s="94"/>
      <c r="G499" s="64" t="s">
        <v>1088</v>
      </c>
      <c r="H499" s="274">
        <v>18000.0</v>
      </c>
      <c r="I499" s="94"/>
      <c r="K499" s="152" t="s">
        <v>1089</v>
      </c>
      <c r="L499" s="34"/>
      <c r="M499" s="34"/>
      <c r="N499" s="39"/>
    </row>
    <row r="500" hidden="1">
      <c r="A500" s="69"/>
      <c r="B500" s="69"/>
      <c r="C500" s="69"/>
      <c r="D500" s="69"/>
      <c r="F500" s="94"/>
      <c r="G500" s="64" t="s">
        <v>1090</v>
      </c>
      <c r="H500" s="274">
        <v>20000.0</v>
      </c>
      <c r="I500" s="94"/>
      <c r="K500" s="154" t="s">
        <v>232</v>
      </c>
      <c r="L500" s="155" t="s">
        <v>686</v>
      </c>
      <c r="M500" s="155" t="s">
        <v>238</v>
      </c>
      <c r="N500" s="155" t="s">
        <v>239</v>
      </c>
    </row>
    <row r="501" hidden="1">
      <c r="A501" s="69"/>
      <c r="B501" s="69"/>
      <c r="C501" s="69"/>
      <c r="D501" s="69"/>
      <c r="F501" s="94"/>
      <c r="G501" s="280" t="s">
        <v>1091</v>
      </c>
      <c r="H501" s="274">
        <v>25500.0</v>
      </c>
      <c r="I501" s="94"/>
      <c r="K501" s="166"/>
      <c r="L501" s="247" t="s">
        <v>638</v>
      </c>
      <c r="M501" s="168">
        <f>154500-50000</f>
        <v>104500</v>
      </c>
      <c r="N501" s="178"/>
    </row>
    <row r="502" hidden="1">
      <c r="A502" s="69"/>
      <c r="B502" s="69"/>
      <c r="C502" s="69"/>
      <c r="D502" s="69"/>
      <c r="F502" s="94"/>
      <c r="G502" s="64" t="s">
        <v>1092</v>
      </c>
      <c r="H502" s="274">
        <v>13000.0</v>
      </c>
      <c r="I502" s="94"/>
      <c r="K502" s="166"/>
      <c r="L502" s="178" t="s">
        <v>14</v>
      </c>
      <c r="M502" s="158">
        <v>9400.0</v>
      </c>
      <c r="N502" s="178"/>
    </row>
    <row r="503" hidden="1">
      <c r="A503" s="69"/>
      <c r="B503" s="69"/>
      <c r="C503" s="69"/>
      <c r="D503" s="69"/>
      <c r="F503" s="94"/>
      <c r="G503" s="64" t="s">
        <v>1093</v>
      </c>
      <c r="H503" s="274">
        <v>28800.0</v>
      </c>
      <c r="I503" s="94"/>
      <c r="K503" s="166"/>
      <c r="L503" s="178" t="s">
        <v>852</v>
      </c>
      <c r="M503" s="158">
        <f>30000-10000+22500</f>
        <v>42500</v>
      </c>
      <c r="N503" s="178"/>
    </row>
    <row r="504" hidden="1">
      <c r="A504" s="69"/>
      <c r="B504" s="69"/>
      <c r="C504" s="69"/>
      <c r="D504" s="69"/>
      <c r="F504" s="94"/>
      <c r="G504" s="64" t="s">
        <v>1094</v>
      </c>
      <c r="H504" s="274">
        <v>1575.0</v>
      </c>
      <c r="I504" s="94"/>
      <c r="K504" s="166"/>
      <c r="L504" s="178" t="s">
        <v>189</v>
      </c>
      <c r="M504" s="158">
        <f>677531+400000+100000-300000-310000</f>
        <v>567531</v>
      </c>
      <c r="N504" s="178"/>
    </row>
    <row r="505" hidden="1">
      <c r="A505" s="69"/>
      <c r="B505" s="69"/>
      <c r="C505" s="69"/>
      <c r="D505" s="69"/>
      <c r="F505" s="94"/>
      <c r="G505" s="64" t="s">
        <v>1095</v>
      </c>
      <c r="H505" s="274">
        <v>4090.0</v>
      </c>
      <c r="I505" s="94"/>
      <c r="K505" s="166"/>
      <c r="L505" s="178" t="s">
        <v>22</v>
      </c>
      <c r="M505" s="158">
        <f>68000+36000+12500-6000-10000-30000</f>
        <v>70500</v>
      </c>
      <c r="N505" s="178"/>
    </row>
    <row r="506" hidden="1">
      <c r="A506" s="69"/>
      <c r="B506" s="69"/>
      <c r="C506" s="69"/>
      <c r="D506" s="69"/>
      <c r="F506" s="94"/>
      <c r="G506" s="64" t="s">
        <v>1096</v>
      </c>
      <c r="H506" s="274">
        <v>3760.0</v>
      </c>
      <c r="I506" s="94"/>
      <c r="K506" s="166"/>
      <c r="L506" s="178" t="s">
        <v>57</v>
      </c>
      <c r="M506" s="158">
        <f>6800+7800+7800+10500-31800</f>
        <v>1100</v>
      </c>
      <c r="N506" s="178"/>
    </row>
    <row r="507" hidden="1">
      <c r="A507" s="69"/>
      <c r="B507" s="69"/>
      <c r="C507" s="69"/>
      <c r="D507" s="69"/>
      <c r="F507" s="94"/>
      <c r="G507" s="179" t="s">
        <v>1083</v>
      </c>
      <c r="H507" s="274">
        <v>500.0</v>
      </c>
      <c r="I507" s="94"/>
      <c r="K507" s="166"/>
      <c r="L507" s="178" t="s">
        <v>96</v>
      </c>
      <c r="M507" s="158">
        <f>4*2*3500-20000</f>
        <v>8000</v>
      </c>
      <c r="N507" s="178"/>
    </row>
    <row r="508" hidden="1">
      <c r="A508" s="69"/>
      <c r="B508" s="69"/>
      <c r="C508" s="69"/>
      <c r="D508" s="69"/>
      <c r="F508" s="94"/>
      <c r="G508" s="179" t="s">
        <v>675</v>
      </c>
      <c r="H508" s="274">
        <v>240.0</v>
      </c>
      <c r="I508" s="94"/>
      <c r="K508" s="163" t="s">
        <v>712</v>
      </c>
      <c r="L508" s="39"/>
      <c r="M508" s="172">
        <f>SUM(M501:M507)</f>
        <v>803531</v>
      </c>
      <c r="N508" s="181"/>
    </row>
    <row r="509" hidden="1">
      <c r="A509" s="69"/>
      <c r="B509" s="69"/>
      <c r="C509" s="69"/>
      <c r="D509" s="69"/>
      <c r="F509" s="64" t="s">
        <v>156</v>
      </c>
      <c r="G509" s="64" t="s">
        <v>1097</v>
      </c>
      <c r="H509" s="274">
        <v>7000.0</v>
      </c>
      <c r="I509" s="94"/>
    </row>
    <row r="510" hidden="1">
      <c r="F510" s="94"/>
      <c r="G510" s="64" t="s">
        <v>1098</v>
      </c>
      <c r="H510" s="274">
        <v>400.0</v>
      </c>
      <c r="I510" s="94"/>
    </row>
    <row r="511" hidden="1">
      <c r="F511" s="64" t="s">
        <v>483</v>
      </c>
      <c r="G511" s="179" t="s">
        <v>330</v>
      </c>
      <c r="H511" s="274">
        <v>15000.0</v>
      </c>
      <c r="I511" s="94"/>
      <c r="K511" s="152" t="s">
        <v>1099</v>
      </c>
      <c r="L511" s="34"/>
      <c r="M511" s="34"/>
      <c r="N511" s="39"/>
    </row>
    <row r="512" hidden="1">
      <c r="F512" s="94"/>
      <c r="G512" s="179" t="s">
        <v>331</v>
      </c>
      <c r="H512" s="274">
        <v>15000.0</v>
      </c>
      <c r="I512" s="94"/>
      <c r="K512" s="154" t="s">
        <v>7</v>
      </c>
      <c r="L512" s="155" t="s">
        <v>686</v>
      </c>
      <c r="M512" s="155" t="s">
        <v>238</v>
      </c>
      <c r="N512" s="155" t="s">
        <v>239</v>
      </c>
    </row>
    <row r="513" hidden="1">
      <c r="F513" s="94"/>
      <c r="G513" s="179" t="s">
        <v>334</v>
      </c>
      <c r="H513" s="274">
        <v>16000.0</v>
      </c>
      <c r="I513" s="94"/>
      <c r="K513" s="166"/>
      <c r="L513" s="167" t="s">
        <v>687</v>
      </c>
      <c r="M513" s="168">
        <f>60000-20000+4000+2000-10000+26000+4000-16000-20000</f>
        <v>30000</v>
      </c>
      <c r="N513" s="157"/>
      <c r="O513" s="41">
        <v>20000.0</v>
      </c>
    </row>
    <row r="514" hidden="1">
      <c r="F514" s="94"/>
      <c r="G514" s="64" t="s">
        <v>405</v>
      </c>
      <c r="H514" s="274">
        <v>10000.0</v>
      </c>
      <c r="I514" s="94"/>
      <c r="K514" s="166"/>
      <c r="L514" s="167" t="s">
        <v>690</v>
      </c>
      <c r="M514" s="168">
        <f>85000+6000+1000+40000-50000+6000+8000+12000+6000+6000-50000</f>
        <v>70000</v>
      </c>
      <c r="N514" s="164"/>
      <c r="O514" s="41">
        <v>30000.0</v>
      </c>
    </row>
    <row r="515" hidden="1">
      <c r="F515" s="94"/>
      <c r="G515" s="64" t="s">
        <v>824</v>
      </c>
      <c r="H515" s="274">
        <v>200.0</v>
      </c>
      <c r="I515" s="94"/>
      <c r="K515" s="166"/>
      <c r="L515" s="167" t="s">
        <v>823</v>
      </c>
      <c r="M515" s="168">
        <f>7000+12000+12000+3000+12000-3000</f>
        <v>43000</v>
      </c>
      <c r="N515" s="164"/>
    </row>
    <row r="516" hidden="1">
      <c r="F516" s="94"/>
      <c r="G516" s="179" t="s">
        <v>1083</v>
      </c>
      <c r="H516" s="274">
        <v>500.0</v>
      </c>
      <c r="I516" s="94"/>
      <c r="K516" s="166"/>
      <c r="L516" s="157" t="s">
        <v>825</v>
      </c>
      <c r="M516" s="158">
        <f>15000*2+10000-10000-10000</f>
        <v>20000</v>
      </c>
      <c r="N516" s="157"/>
      <c r="O516" s="41">
        <v>15000.0</v>
      </c>
    </row>
    <row r="517" hidden="1">
      <c r="F517" s="94"/>
      <c r="G517" s="64" t="s">
        <v>1100</v>
      </c>
      <c r="H517" s="281">
        <f>140+50+95+250</f>
        <v>535</v>
      </c>
      <c r="I517" s="94"/>
      <c r="K517" s="166"/>
      <c r="L517" s="157" t="s">
        <v>698</v>
      </c>
      <c r="M517" s="158">
        <f>45000-10000-10000</f>
        <v>25000</v>
      </c>
      <c r="N517" s="157"/>
      <c r="O517" s="41">
        <v>15000.0</v>
      </c>
    </row>
    <row r="518" hidden="1">
      <c r="F518" s="64" t="s">
        <v>163</v>
      </c>
      <c r="G518" s="280" t="s">
        <v>1101</v>
      </c>
      <c r="H518" s="274">
        <v>12020.0</v>
      </c>
      <c r="I518" s="64"/>
      <c r="K518" s="166"/>
      <c r="L518" s="157" t="s">
        <v>828</v>
      </c>
      <c r="M518" s="158">
        <f>32000+16000-10000</f>
        <v>38000</v>
      </c>
      <c r="N518" s="157"/>
      <c r="O518" s="41">
        <v>10000.0</v>
      </c>
    </row>
    <row r="519" hidden="1">
      <c r="F519" s="64" t="s">
        <v>1102</v>
      </c>
      <c r="G519" s="64" t="s">
        <v>1103</v>
      </c>
      <c r="H519" s="274">
        <v>500.0</v>
      </c>
      <c r="I519" s="94"/>
      <c r="K519" s="166"/>
      <c r="L519" s="157" t="s">
        <v>831</v>
      </c>
      <c r="M519" s="158">
        <f>330000-100000-100000-50000</f>
        <v>80000</v>
      </c>
      <c r="N519" s="157"/>
    </row>
    <row r="520" hidden="1">
      <c r="F520" s="64" t="s">
        <v>486</v>
      </c>
      <c r="G520" s="64" t="s">
        <v>1104</v>
      </c>
      <c r="H520" s="274">
        <v>1000.0</v>
      </c>
      <c r="I520" s="94"/>
      <c r="K520" s="282"/>
      <c r="L520" s="173" t="s">
        <v>1008</v>
      </c>
      <c r="M520" s="172">
        <f>100000+50000+252400</f>
        <v>402400</v>
      </c>
      <c r="N520" s="283"/>
    </row>
    <row r="521" hidden="1">
      <c r="F521" s="64" t="s">
        <v>1057</v>
      </c>
      <c r="G521" s="64" t="s">
        <v>1105</v>
      </c>
      <c r="H521" s="274">
        <v>1700.0</v>
      </c>
      <c r="I521" s="94"/>
      <c r="K521" s="166"/>
      <c r="L521" s="284" t="s">
        <v>330</v>
      </c>
      <c r="M521" s="158">
        <f>9000+12000-15000</f>
        <v>6000</v>
      </c>
      <c r="N521" s="228"/>
      <c r="O521" s="41">
        <v>15000.0</v>
      </c>
    </row>
    <row r="522" hidden="1">
      <c r="F522" s="94"/>
      <c r="G522" s="64" t="s">
        <v>1086</v>
      </c>
      <c r="H522" s="274">
        <v>20600.0</v>
      </c>
      <c r="I522" s="94"/>
      <c r="K522" s="166"/>
      <c r="L522" s="284" t="s">
        <v>331</v>
      </c>
      <c r="M522" s="158">
        <f>9000+14000-1000-2000+3000-15000</f>
        <v>8000</v>
      </c>
      <c r="N522" s="228"/>
      <c r="O522" s="41">
        <v>15000.0</v>
      </c>
    </row>
    <row r="523" hidden="1">
      <c r="F523" s="94"/>
      <c r="G523" s="64" t="s">
        <v>1087</v>
      </c>
      <c r="H523" s="274">
        <v>29800.0</v>
      </c>
      <c r="I523" s="94"/>
      <c r="K523" s="166"/>
      <c r="L523" s="284" t="s">
        <v>334</v>
      </c>
      <c r="M523" s="158">
        <f>4000+12000-16000</f>
        <v>0</v>
      </c>
      <c r="N523" s="205"/>
      <c r="O523" s="41">
        <v>16000.0</v>
      </c>
    </row>
    <row r="524" hidden="1">
      <c r="F524" s="94"/>
      <c r="G524" s="64" t="s">
        <v>1088</v>
      </c>
      <c r="H524" s="274">
        <v>15200.0</v>
      </c>
      <c r="I524" s="94"/>
      <c r="K524" s="166"/>
      <c r="L524" s="157" t="s">
        <v>345</v>
      </c>
      <c r="M524" s="158">
        <f>1500+5000+2000-5000+15000-8500</f>
        <v>10000</v>
      </c>
      <c r="N524" s="205"/>
      <c r="O524" s="41">
        <v>5000.0</v>
      </c>
    </row>
    <row r="525" hidden="1">
      <c r="F525" s="94"/>
      <c r="G525" s="278" t="s">
        <v>1106</v>
      </c>
      <c r="H525" s="274">
        <v>8000.0</v>
      </c>
      <c r="I525" s="94"/>
      <c r="K525" s="166"/>
      <c r="L525" s="157" t="s">
        <v>349</v>
      </c>
      <c r="M525" s="158">
        <v>3000.0</v>
      </c>
      <c r="N525" s="205"/>
      <c r="O525" s="41">
        <v>0.0</v>
      </c>
    </row>
    <row r="526" hidden="1">
      <c r="F526" s="94"/>
      <c r="G526" s="278" t="s">
        <v>1107</v>
      </c>
      <c r="H526" s="274">
        <v>6875.0</v>
      </c>
      <c r="I526" s="94"/>
      <c r="K526" s="166"/>
      <c r="L526" s="157" t="s">
        <v>1108</v>
      </c>
      <c r="M526" s="158">
        <f>20000+3000-10000+6000-10000</f>
        <v>9000</v>
      </c>
      <c r="N526" s="205"/>
      <c r="O526" s="41">
        <v>10000.0</v>
      </c>
    </row>
    <row r="527" hidden="1">
      <c r="F527" s="94"/>
      <c r="G527" s="278" t="s">
        <v>1109</v>
      </c>
      <c r="H527" s="274">
        <v>6875.0</v>
      </c>
      <c r="I527" s="94"/>
      <c r="K527" s="166"/>
      <c r="L527" s="59" t="s">
        <v>278</v>
      </c>
      <c r="M527" s="90">
        <f>2000-2000</f>
        <v>0</v>
      </c>
      <c r="N527" s="205"/>
      <c r="O527" s="41">
        <v>2000.0</v>
      </c>
    </row>
    <row r="528" hidden="1">
      <c r="F528" s="94"/>
      <c r="G528" s="278" t="s">
        <v>1110</v>
      </c>
      <c r="H528" s="274">
        <v>6500.0</v>
      </c>
      <c r="I528" s="94"/>
      <c r="K528" s="166"/>
      <c r="L528" s="59" t="s">
        <v>401</v>
      </c>
      <c r="M528" s="91">
        <f>3*3000-3000-6000</f>
        <v>0</v>
      </c>
      <c r="N528" s="205"/>
      <c r="O528" s="41">
        <v>6000.0</v>
      </c>
    </row>
    <row r="529" hidden="1">
      <c r="F529" s="94"/>
      <c r="G529" s="179" t="s">
        <v>1111</v>
      </c>
      <c r="H529" s="274">
        <v>5000.0</v>
      </c>
      <c r="I529" s="94"/>
      <c r="K529" s="166"/>
      <c r="L529" s="59" t="s">
        <v>402</v>
      </c>
      <c r="M529" s="91">
        <f>2*3000+3000</f>
        <v>9000</v>
      </c>
      <c r="N529" s="205"/>
      <c r="O529" s="41">
        <v>6000.0</v>
      </c>
    </row>
    <row r="530" hidden="1">
      <c r="F530" s="94"/>
      <c r="G530" s="64" t="s">
        <v>1112</v>
      </c>
      <c r="H530" s="274">
        <v>20000.0</v>
      </c>
      <c r="I530" s="94"/>
      <c r="K530" s="65"/>
      <c r="L530" s="285" t="s">
        <v>405</v>
      </c>
      <c r="M530" s="91">
        <f>3000*2+4*2500-10000</f>
        <v>6000</v>
      </c>
      <c r="N530" s="65"/>
      <c r="O530" s="41">
        <v>6000.0</v>
      </c>
    </row>
    <row r="531" hidden="1">
      <c r="F531" s="94"/>
      <c r="G531" s="64" t="s">
        <v>1113</v>
      </c>
      <c r="H531" s="274">
        <v>5000.0</v>
      </c>
      <c r="I531" s="94"/>
      <c r="K531" s="65"/>
      <c r="L531" s="59" t="s">
        <v>406</v>
      </c>
      <c r="M531" s="91">
        <f t="shared" ref="M531:M532" si="6">3000*2-6000</f>
        <v>0</v>
      </c>
      <c r="N531" s="65"/>
      <c r="O531" s="41">
        <v>6000.0</v>
      </c>
    </row>
    <row r="532" hidden="1">
      <c r="F532" s="94"/>
      <c r="G532" s="179" t="s">
        <v>687</v>
      </c>
      <c r="H532" s="274">
        <v>20000.0</v>
      </c>
      <c r="I532" s="94"/>
      <c r="K532" s="65"/>
      <c r="L532" s="59" t="s">
        <v>407</v>
      </c>
      <c r="M532" s="91">
        <f t="shared" si="6"/>
        <v>0</v>
      </c>
      <c r="N532" s="65"/>
      <c r="O532" s="41">
        <v>6000.0</v>
      </c>
    </row>
    <row r="533" hidden="1">
      <c r="F533" s="94"/>
      <c r="G533" s="179" t="s">
        <v>690</v>
      </c>
      <c r="H533" s="274">
        <v>50000.0</v>
      </c>
      <c r="I533" s="94"/>
      <c r="K533" s="65"/>
      <c r="L533" s="59" t="s">
        <v>409</v>
      </c>
      <c r="M533" s="91">
        <f>3500*2-7000</f>
        <v>0</v>
      </c>
      <c r="N533" s="65"/>
      <c r="O533" s="41">
        <v>7000.0</v>
      </c>
    </row>
    <row r="534" hidden="1">
      <c r="F534" s="94"/>
      <c r="G534" s="179" t="s">
        <v>825</v>
      </c>
      <c r="H534" s="274">
        <v>10000.0</v>
      </c>
      <c r="I534" s="94"/>
      <c r="K534" s="65"/>
      <c r="L534" s="59" t="s">
        <v>410</v>
      </c>
      <c r="M534" s="90">
        <v>10000.0</v>
      </c>
      <c r="N534" s="65"/>
      <c r="O534" s="41">
        <v>10000.0</v>
      </c>
    </row>
    <row r="535" hidden="1">
      <c r="F535" s="94"/>
      <c r="G535" s="179" t="s">
        <v>698</v>
      </c>
      <c r="H535" s="274">
        <v>10000.0</v>
      </c>
      <c r="I535" s="94"/>
      <c r="K535" s="65"/>
      <c r="L535" s="59" t="s">
        <v>414</v>
      </c>
      <c r="M535" s="91">
        <f>4000*2-8000</f>
        <v>0</v>
      </c>
      <c r="N535" s="65"/>
      <c r="O535" s="41">
        <v>8000.0</v>
      </c>
    </row>
    <row r="536" hidden="1">
      <c r="F536" s="94"/>
      <c r="G536" s="179" t="s">
        <v>828</v>
      </c>
      <c r="H536" s="274">
        <v>10000.0</v>
      </c>
      <c r="I536" s="94"/>
      <c r="K536" s="65"/>
      <c r="L536" s="59" t="s">
        <v>415</v>
      </c>
      <c r="M536" s="91">
        <f>3000*2-6000</f>
        <v>0</v>
      </c>
      <c r="N536" s="65"/>
      <c r="O536" s="41">
        <v>6000.0</v>
      </c>
    </row>
    <row r="537" hidden="1">
      <c r="F537" s="94"/>
      <c r="G537" s="64" t="s">
        <v>1114</v>
      </c>
      <c r="H537" s="274">
        <v>10000.0</v>
      </c>
      <c r="I537" s="94"/>
      <c r="K537" s="65"/>
      <c r="L537" s="59" t="s">
        <v>416</v>
      </c>
      <c r="M537" s="90">
        <f>10000-5000</f>
        <v>5000</v>
      </c>
      <c r="N537" s="65"/>
      <c r="O537" s="41">
        <v>5000.0</v>
      </c>
    </row>
    <row r="538" hidden="1">
      <c r="F538" s="94"/>
      <c r="G538" s="64" t="s">
        <v>278</v>
      </c>
      <c r="H538" s="274">
        <v>2000.0</v>
      </c>
      <c r="I538" s="94"/>
      <c r="K538" s="65"/>
      <c r="L538" s="59" t="s">
        <v>317</v>
      </c>
      <c r="M538" s="91">
        <f>2*4*5000-10000+4000+4500-20000+2500+4500+4500-15500</f>
        <v>14500</v>
      </c>
      <c r="N538" s="65"/>
      <c r="O538" s="41">
        <v>20000.0</v>
      </c>
    </row>
    <row r="539" hidden="1">
      <c r="F539" s="94"/>
      <c r="G539" s="64" t="s">
        <v>401</v>
      </c>
      <c r="H539" s="274">
        <v>6000.0</v>
      </c>
      <c r="I539" s="94"/>
      <c r="K539" s="65"/>
      <c r="L539" s="59" t="s">
        <v>995</v>
      </c>
      <c r="M539" s="91">
        <f>4*20*250+5*250-10000-11250</f>
        <v>0</v>
      </c>
      <c r="N539" s="65"/>
      <c r="O539" s="41">
        <v>11250.0</v>
      </c>
    </row>
    <row r="540" hidden="1">
      <c r="F540" s="94"/>
      <c r="G540" s="64" t="s">
        <v>406</v>
      </c>
      <c r="H540" s="274">
        <v>6000.0</v>
      </c>
      <c r="I540" s="94"/>
      <c r="K540" s="65"/>
      <c r="L540" s="59" t="s">
        <v>1012</v>
      </c>
      <c r="M540" s="260">
        <v>5000.0</v>
      </c>
      <c r="N540" s="261"/>
      <c r="O540" s="41">
        <v>5000.0</v>
      </c>
    </row>
    <row r="541" hidden="1">
      <c r="F541" s="94"/>
      <c r="G541" s="64" t="s">
        <v>407</v>
      </c>
      <c r="H541" s="274">
        <v>6000.0</v>
      </c>
      <c r="I541" s="94"/>
      <c r="K541" s="163" t="s">
        <v>702</v>
      </c>
      <c r="L541" s="39"/>
      <c r="M541" s="172">
        <f>SUM(M513:M540)</f>
        <v>793900</v>
      </c>
      <c r="N541" s="262"/>
      <c r="O541" s="286">
        <f>SUM(O513:O540)</f>
        <v>255250</v>
      </c>
    </row>
    <row r="542" hidden="1">
      <c r="F542" s="94"/>
      <c r="G542" s="64" t="s">
        <v>409</v>
      </c>
      <c r="H542" s="274">
        <v>7000.0</v>
      </c>
      <c r="I542" s="94"/>
    </row>
    <row r="543" hidden="1">
      <c r="F543" s="94"/>
      <c r="G543" s="64" t="s">
        <v>414</v>
      </c>
      <c r="H543" s="274">
        <v>8000.0</v>
      </c>
      <c r="I543" s="94"/>
    </row>
    <row r="544" hidden="1">
      <c r="F544" s="94"/>
      <c r="G544" s="64" t="s">
        <v>415</v>
      </c>
      <c r="H544" s="274">
        <v>6000.0</v>
      </c>
      <c r="I544" s="94"/>
      <c r="K544" s="152" t="s">
        <v>1115</v>
      </c>
      <c r="L544" s="34"/>
      <c r="M544" s="34"/>
      <c r="N544" s="39"/>
    </row>
    <row r="545" hidden="1">
      <c r="F545" s="94"/>
      <c r="G545" s="64" t="s">
        <v>317</v>
      </c>
      <c r="H545" s="274">
        <v>15500.0</v>
      </c>
      <c r="I545" s="94"/>
      <c r="K545" s="154" t="s">
        <v>7</v>
      </c>
      <c r="L545" s="155" t="s">
        <v>686</v>
      </c>
      <c r="M545" s="155" t="s">
        <v>238</v>
      </c>
      <c r="N545" s="155" t="s">
        <v>239</v>
      </c>
    </row>
    <row r="546" hidden="1">
      <c r="F546" s="94"/>
      <c r="G546" s="64" t="s">
        <v>995</v>
      </c>
      <c r="H546" s="274">
        <v>11250.0</v>
      </c>
      <c r="I546" s="94"/>
      <c r="K546" s="59" t="s">
        <v>481</v>
      </c>
      <c r="L546" s="59" t="s">
        <v>267</v>
      </c>
      <c r="M546" s="273">
        <f>40000-2000</f>
        <v>38000</v>
      </c>
      <c r="N546" s="59" t="s">
        <v>398</v>
      </c>
      <c r="O546" s="41" t="s">
        <v>1116</v>
      </c>
    </row>
    <row r="547" hidden="1">
      <c r="F547" s="94"/>
      <c r="G547" s="64" t="s">
        <v>1041</v>
      </c>
      <c r="H547" s="274">
        <v>11225.0</v>
      </c>
      <c r="I547" s="94"/>
      <c r="K547" s="59" t="s">
        <v>481</v>
      </c>
      <c r="L547" s="59" t="s">
        <v>263</v>
      </c>
      <c r="M547" s="273">
        <v>40000.0</v>
      </c>
      <c r="N547" s="59" t="s">
        <v>1117</v>
      </c>
      <c r="O547" s="41" t="s">
        <v>1116</v>
      </c>
    </row>
    <row r="548" hidden="1">
      <c r="F548" s="94"/>
      <c r="G548" s="179" t="s">
        <v>1068</v>
      </c>
      <c r="H548" s="287">
        <f>19566+26900+44500+44500</f>
        <v>135466</v>
      </c>
      <c r="I548" s="94"/>
      <c r="K548" s="59" t="s">
        <v>481</v>
      </c>
      <c r="L548" s="59" t="s">
        <v>1118</v>
      </c>
      <c r="M548" s="273">
        <v>18000.0</v>
      </c>
      <c r="N548" s="59" t="s">
        <v>398</v>
      </c>
      <c r="O548" s="41" t="s">
        <v>1119</v>
      </c>
    </row>
    <row r="549" hidden="1">
      <c r="F549" s="94"/>
      <c r="G549" s="179" t="s">
        <v>1070</v>
      </c>
      <c r="H549" s="287">
        <f>44500+44500+44500-16000-23830+19500</f>
        <v>113170</v>
      </c>
      <c r="I549" s="94"/>
      <c r="K549" s="69"/>
      <c r="L549" s="69"/>
      <c r="M549" s="89"/>
      <c r="N549" s="69"/>
    </row>
    <row r="550" hidden="1">
      <c r="F550" s="94"/>
      <c r="G550" s="94"/>
      <c r="H550" s="281">
        <f>SUM(H478:H549)</f>
        <v>1016886</v>
      </c>
      <c r="I550" s="94"/>
      <c r="K550" s="120"/>
      <c r="L550" s="120"/>
      <c r="M550" s="136"/>
      <c r="N550" s="120"/>
    </row>
    <row r="551" hidden="1">
      <c r="F551" s="94"/>
      <c r="G551" s="94"/>
      <c r="H551" s="281"/>
      <c r="I551" s="94"/>
      <c r="K551" s="152" t="s">
        <v>1115</v>
      </c>
      <c r="L551" s="34"/>
      <c r="M551" s="34"/>
      <c r="N551" s="39"/>
    </row>
    <row r="552" hidden="1">
      <c r="F552" s="94"/>
      <c r="G552" s="94"/>
      <c r="H552" s="281"/>
      <c r="I552" s="94"/>
      <c r="K552" s="154" t="s">
        <v>7</v>
      </c>
      <c r="L552" s="155" t="s">
        <v>686</v>
      </c>
      <c r="M552" s="155" t="s">
        <v>238</v>
      </c>
      <c r="N552" s="155" t="s">
        <v>239</v>
      </c>
    </row>
    <row r="553" hidden="1">
      <c r="F553" s="94"/>
      <c r="G553" s="94"/>
      <c r="H553" s="281"/>
      <c r="I553" s="94"/>
      <c r="K553" s="59" t="s">
        <v>1057</v>
      </c>
      <c r="L553" s="59" t="s">
        <v>267</v>
      </c>
      <c r="M553" s="273">
        <v>20600.0</v>
      </c>
      <c r="N553" s="59"/>
    </row>
    <row r="554" hidden="1">
      <c r="F554" s="94"/>
      <c r="G554" s="94"/>
      <c r="H554" s="281"/>
      <c r="I554" s="94"/>
      <c r="K554" s="59" t="s">
        <v>1057</v>
      </c>
      <c r="L554" s="59" t="s">
        <v>263</v>
      </c>
      <c r="M554" s="273">
        <v>29800.0</v>
      </c>
      <c r="N554" s="59"/>
    </row>
    <row r="555" hidden="1">
      <c r="F555" s="94"/>
      <c r="G555" s="94"/>
      <c r="H555" s="281"/>
      <c r="I555" s="94"/>
      <c r="K555" s="59" t="s">
        <v>1057</v>
      </c>
      <c r="L555" s="59" t="s">
        <v>1118</v>
      </c>
      <c r="M555" s="273">
        <v>15200.0</v>
      </c>
      <c r="N555" s="59"/>
    </row>
    <row r="556" hidden="1">
      <c r="F556" s="69"/>
      <c r="G556" s="69"/>
      <c r="H556" s="69"/>
      <c r="I556" s="69"/>
    </row>
    <row r="557" hidden="1">
      <c r="F557" s="69"/>
      <c r="G557" s="69"/>
      <c r="H557" s="69"/>
      <c r="I557" s="69"/>
    </row>
    <row r="558" hidden="1">
      <c r="F558" s="69"/>
      <c r="G558" s="69"/>
      <c r="H558" s="69"/>
      <c r="I558" s="69"/>
    </row>
    <row r="559" hidden="1">
      <c r="F559" s="69"/>
      <c r="G559" s="69"/>
      <c r="H559" s="69"/>
      <c r="I559" s="69"/>
    </row>
    <row r="560" hidden="1">
      <c r="F560" s="69"/>
      <c r="G560" s="69"/>
      <c r="H560" s="69"/>
      <c r="I560" s="69"/>
    </row>
    <row r="561">
      <c r="F561" s="69"/>
      <c r="G561" s="69"/>
      <c r="H561" s="69"/>
      <c r="I561" s="69"/>
    </row>
    <row r="562">
      <c r="A562" s="139">
        <v>45108.0</v>
      </c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9"/>
    </row>
    <row r="563">
      <c r="F563" s="69"/>
      <c r="G563" s="69"/>
      <c r="H563" s="109"/>
      <c r="I563" s="69"/>
    </row>
    <row r="564" hidden="1">
      <c r="A564" s="229" t="s">
        <v>613</v>
      </c>
      <c r="B564" s="34"/>
      <c r="C564" s="34"/>
      <c r="D564" s="39"/>
      <c r="E564" s="46"/>
      <c r="F564" s="229" t="s">
        <v>614</v>
      </c>
      <c r="G564" s="34"/>
      <c r="H564" s="34"/>
      <c r="I564" s="39"/>
      <c r="K564" s="230" t="s">
        <v>1120</v>
      </c>
      <c r="L564" s="34"/>
      <c r="M564" s="34"/>
      <c r="N564" s="39"/>
      <c r="P564" s="41" t="s">
        <v>1121</v>
      </c>
    </row>
    <row r="565" hidden="1">
      <c r="A565" s="143" t="s">
        <v>7</v>
      </c>
      <c r="B565" s="144" t="s">
        <v>616</v>
      </c>
      <c r="C565" s="144" t="s">
        <v>617</v>
      </c>
      <c r="D565" s="144" t="s">
        <v>618</v>
      </c>
      <c r="E565" s="145"/>
      <c r="F565" s="144" t="s">
        <v>7</v>
      </c>
      <c r="G565" s="144" t="s">
        <v>616</v>
      </c>
      <c r="H565" s="144" t="s">
        <v>617</v>
      </c>
      <c r="I565" s="146" t="s">
        <v>618</v>
      </c>
      <c r="K565" s="215" t="s">
        <v>7</v>
      </c>
      <c r="L565" s="215" t="s">
        <v>616</v>
      </c>
      <c r="M565" s="215" t="s">
        <v>617</v>
      </c>
      <c r="N565" s="215" t="s">
        <v>618</v>
      </c>
      <c r="P565" s="41" t="s">
        <v>616</v>
      </c>
      <c r="Q565" s="41" t="s">
        <v>238</v>
      </c>
    </row>
    <row r="566" hidden="1">
      <c r="A566" s="59" t="s">
        <v>1122</v>
      </c>
      <c r="B566" s="59" t="s">
        <v>1123</v>
      </c>
      <c r="C566" s="273">
        <v>30000.0</v>
      </c>
      <c r="D566" s="65"/>
      <c r="F566" s="59" t="s">
        <v>1122</v>
      </c>
      <c r="G566" s="59" t="s">
        <v>1124</v>
      </c>
      <c r="H566" s="96">
        <v>5000.0</v>
      </c>
      <c r="I566" s="65"/>
      <c r="K566" s="58" t="s">
        <v>1125</v>
      </c>
      <c r="L566" s="193" t="s">
        <v>625</v>
      </c>
      <c r="M566" s="150">
        <f>6000+50000-50000+40000+45000-85000+31800-35000</f>
        <v>2800</v>
      </c>
      <c r="N566" s="59" t="s">
        <v>1058</v>
      </c>
      <c r="P566" s="41" t="s">
        <v>1126</v>
      </c>
      <c r="Q566" s="41">
        <v>45000.0</v>
      </c>
    </row>
    <row r="567" hidden="1">
      <c r="A567" s="59" t="s">
        <v>566</v>
      </c>
      <c r="B567" s="59" t="s">
        <v>1127</v>
      </c>
      <c r="C567" s="273">
        <v>85000.0</v>
      </c>
      <c r="D567" s="26" t="s">
        <v>171</v>
      </c>
      <c r="F567" s="59" t="s">
        <v>1122</v>
      </c>
      <c r="G567" s="59" t="s">
        <v>1128</v>
      </c>
      <c r="H567" s="96">
        <v>4330.0</v>
      </c>
      <c r="I567" s="65"/>
      <c r="K567" s="58" t="s">
        <v>172</v>
      </c>
      <c r="L567" s="193" t="s">
        <v>628</v>
      </c>
      <c r="M567" s="150">
        <v>0.0</v>
      </c>
      <c r="N567" s="59"/>
      <c r="P567" s="41" t="s">
        <v>1129</v>
      </c>
      <c r="Q567" s="288">
        <v>3000.0</v>
      </c>
    </row>
    <row r="568" hidden="1">
      <c r="A568" s="59" t="s">
        <v>172</v>
      </c>
      <c r="B568" s="59" t="s">
        <v>173</v>
      </c>
      <c r="C568" s="273">
        <v>15000.0</v>
      </c>
      <c r="D568" s="26" t="s">
        <v>174</v>
      </c>
      <c r="F568" s="98"/>
      <c r="G568" s="59" t="s">
        <v>1130</v>
      </c>
      <c r="H568" s="96">
        <v>2386.0</v>
      </c>
      <c r="I568" s="98"/>
      <c r="K568" s="58" t="s">
        <v>1125</v>
      </c>
      <c r="L568" s="193" t="s">
        <v>631</v>
      </c>
      <c r="M568" s="276">
        <v>0.0</v>
      </c>
      <c r="N568" s="59"/>
      <c r="P568" s="41" t="s">
        <v>1131</v>
      </c>
      <c r="Q568" s="288">
        <v>5000.0</v>
      </c>
    </row>
    <row r="569" hidden="1">
      <c r="A569" s="59" t="s">
        <v>175</v>
      </c>
      <c r="B569" s="59" t="s">
        <v>176</v>
      </c>
      <c r="C569" s="273">
        <v>11000.0</v>
      </c>
      <c r="D569" s="26" t="s">
        <v>177</v>
      </c>
      <c r="F569" s="59"/>
      <c r="G569" s="59"/>
      <c r="H569" s="96"/>
      <c r="I569" s="65"/>
      <c r="P569" s="41" t="s">
        <v>1132</v>
      </c>
      <c r="Q569" s="288">
        <v>500.0</v>
      </c>
    </row>
    <row r="570" hidden="1">
      <c r="A570" s="59" t="s">
        <v>178</v>
      </c>
      <c r="B570" s="59" t="s">
        <v>179</v>
      </c>
      <c r="C570" s="273">
        <v>15000.0</v>
      </c>
      <c r="D570" s="26" t="s">
        <v>180</v>
      </c>
      <c r="F570" s="59" t="s">
        <v>1133</v>
      </c>
      <c r="G570" s="59" t="s">
        <v>1134</v>
      </c>
      <c r="H570" s="96">
        <v>250.0</v>
      </c>
      <c r="I570" s="65"/>
      <c r="P570" s="41" t="s">
        <v>1132</v>
      </c>
      <c r="Q570" s="138">
        <f>30+30+20+60+30+30+20</f>
        <v>220</v>
      </c>
    </row>
    <row r="571" hidden="1">
      <c r="A571" s="59" t="s">
        <v>594</v>
      </c>
      <c r="B571" s="59" t="s">
        <v>182</v>
      </c>
      <c r="C571" s="273">
        <v>20000.0</v>
      </c>
      <c r="D571" s="26" t="s">
        <v>183</v>
      </c>
      <c r="F571" s="65"/>
      <c r="G571" s="59" t="s">
        <v>1135</v>
      </c>
      <c r="H571" s="97">
        <f>150+200+250</f>
        <v>600</v>
      </c>
      <c r="I571" s="65"/>
      <c r="K571" s="152" t="s">
        <v>1136</v>
      </c>
      <c r="L571" s="34"/>
      <c r="M571" s="34"/>
      <c r="N571" s="39"/>
      <c r="Q571" s="138">
        <f>SUM(Q566:Q570)</f>
        <v>53720</v>
      </c>
    </row>
    <row r="572" hidden="1">
      <c r="A572" s="289" t="s">
        <v>1137</v>
      </c>
      <c r="B572" s="39"/>
      <c r="C572" s="88">
        <f>SUM(C566:C571)</f>
        <v>176000</v>
      </c>
      <c r="D572" s="65"/>
      <c r="F572" s="59" t="s">
        <v>1138</v>
      </c>
      <c r="G572" s="59" t="s">
        <v>1083</v>
      </c>
      <c r="H572" s="96">
        <v>3000.0</v>
      </c>
      <c r="I572" s="65"/>
      <c r="K572" s="154" t="s">
        <v>232</v>
      </c>
      <c r="L572" s="155" t="s">
        <v>237</v>
      </c>
      <c r="M572" s="155" t="s">
        <v>238</v>
      </c>
      <c r="N572" s="155" t="s">
        <v>239</v>
      </c>
      <c r="P572" s="41" t="s">
        <v>1139</v>
      </c>
      <c r="Q572" s="138">
        <f>2500+13000</f>
        <v>15500</v>
      </c>
    </row>
    <row r="573" hidden="1">
      <c r="A573" s="69"/>
      <c r="B573" s="69"/>
      <c r="C573" s="89"/>
      <c r="D573" s="69"/>
      <c r="F573" s="59" t="s">
        <v>1140</v>
      </c>
      <c r="G573" s="59" t="s">
        <v>1134</v>
      </c>
      <c r="H573" s="97">
        <f>900-200</f>
        <v>700</v>
      </c>
      <c r="I573" s="65"/>
      <c r="K573" s="156"/>
      <c r="L573" s="178" t="s">
        <v>1141</v>
      </c>
      <c r="M573" s="158">
        <v>66500.0</v>
      </c>
      <c r="N573" s="159"/>
      <c r="P573" s="41" t="s">
        <v>241</v>
      </c>
      <c r="Q573" s="138">
        <f>Q571-Q572</f>
        <v>38220</v>
      </c>
    </row>
    <row r="574" hidden="1">
      <c r="A574" s="69"/>
      <c r="B574" s="69"/>
      <c r="C574" s="89"/>
      <c r="D574" s="69"/>
      <c r="F574" s="65"/>
      <c r="G574" s="59"/>
      <c r="H574" s="96"/>
      <c r="I574" s="65"/>
      <c r="K574" s="156"/>
      <c r="L574" s="178" t="s">
        <v>1142</v>
      </c>
      <c r="M574" s="158">
        <f>66500</f>
        <v>66500</v>
      </c>
      <c r="N574" s="159"/>
    </row>
    <row r="575" hidden="1">
      <c r="A575" s="69"/>
      <c r="B575" s="69"/>
      <c r="C575" s="89"/>
      <c r="D575" s="69"/>
      <c r="F575" s="65"/>
      <c r="G575" s="59" t="s">
        <v>1135</v>
      </c>
      <c r="H575" s="97">
        <f>250+20+300</f>
        <v>570</v>
      </c>
      <c r="I575" s="65"/>
      <c r="K575" s="156"/>
      <c r="L575" s="277" t="s">
        <v>1143</v>
      </c>
      <c r="M575" s="158">
        <v>32300.0</v>
      </c>
      <c r="N575" s="159"/>
      <c r="P575" s="41" t="s">
        <v>1144</v>
      </c>
      <c r="Q575" s="41">
        <v>15000.0</v>
      </c>
      <c r="R575" s="41" t="s">
        <v>1145</v>
      </c>
    </row>
    <row r="576" hidden="1">
      <c r="A576" s="69"/>
      <c r="B576" s="69"/>
      <c r="C576" s="89"/>
      <c r="D576" s="69"/>
      <c r="F576" s="59" t="s">
        <v>1146</v>
      </c>
      <c r="G576" s="59" t="s">
        <v>1147</v>
      </c>
      <c r="H576" s="96">
        <v>550.0</v>
      </c>
      <c r="I576" s="65"/>
      <c r="K576" s="156" t="s">
        <v>566</v>
      </c>
      <c r="L576" s="197" t="s">
        <v>1148</v>
      </c>
      <c r="M576" s="158">
        <v>20300.0</v>
      </c>
      <c r="N576" s="159" t="s">
        <v>398</v>
      </c>
      <c r="Q576" s="138">
        <f>Q573+Q575</f>
        <v>53220</v>
      </c>
    </row>
    <row r="577" hidden="1">
      <c r="A577" s="69"/>
      <c r="B577" s="69"/>
      <c r="C577" s="89"/>
      <c r="D577" s="69"/>
      <c r="F577" s="65"/>
      <c r="G577" s="59" t="s">
        <v>1149</v>
      </c>
      <c r="H577" s="96">
        <v>300.0</v>
      </c>
      <c r="I577" s="65"/>
      <c r="K577" s="156" t="s">
        <v>566</v>
      </c>
      <c r="L577" s="198" t="s">
        <v>1150</v>
      </c>
      <c r="M577" s="158">
        <v>21700.0</v>
      </c>
      <c r="N577" s="159" t="s">
        <v>398</v>
      </c>
      <c r="Q577" s="41">
        <v>1300.0</v>
      </c>
    </row>
    <row r="578" hidden="1">
      <c r="A578" s="69"/>
      <c r="B578" s="69"/>
      <c r="C578" s="89"/>
      <c r="D578" s="69"/>
      <c r="F578" s="59" t="s">
        <v>1151</v>
      </c>
      <c r="G578" s="59" t="s">
        <v>1152</v>
      </c>
      <c r="H578" s="96">
        <f>28325+2000</f>
        <v>30325</v>
      </c>
      <c r="I578" s="59" t="s">
        <v>1153</v>
      </c>
      <c r="K578" s="156" t="s">
        <v>566</v>
      </c>
      <c r="L578" s="198" t="s">
        <v>1154</v>
      </c>
      <c r="M578" s="158">
        <v>17550.0</v>
      </c>
      <c r="N578" s="159" t="s">
        <v>398</v>
      </c>
    </row>
    <row r="579" hidden="1">
      <c r="A579" s="69"/>
      <c r="B579" s="69"/>
      <c r="C579" s="89"/>
      <c r="D579" s="69"/>
      <c r="F579" s="65"/>
      <c r="G579" s="59" t="s">
        <v>1155</v>
      </c>
      <c r="H579" s="96">
        <v>2000.0</v>
      </c>
      <c r="I579" s="65"/>
      <c r="K579" s="156"/>
      <c r="L579" s="178" t="s">
        <v>1079</v>
      </c>
      <c r="M579" s="158">
        <v>14450.0</v>
      </c>
      <c r="N579" s="159"/>
    </row>
    <row r="580" hidden="1">
      <c r="A580" s="69"/>
      <c r="B580" s="69"/>
      <c r="C580" s="89"/>
      <c r="D580" s="69"/>
      <c r="F580" s="65"/>
      <c r="G580" s="59" t="s">
        <v>1156</v>
      </c>
      <c r="H580" s="96">
        <v>150.0</v>
      </c>
      <c r="I580" s="65"/>
      <c r="K580" s="156" t="s">
        <v>566</v>
      </c>
      <c r="L580" s="178" t="s">
        <v>1157</v>
      </c>
      <c r="M580" s="158">
        <v>25500.0</v>
      </c>
      <c r="N580" s="159" t="s">
        <v>398</v>
      </c>
    </row>
    <row r="581" hidden="1">
      <c r="A581" s="69"/>
      <c r="B581" s="69"/>
      <c r="C581" s="89"/>
      <c r="D581" s="69"/>
      <c r="F581" s="65"/>
      <c r="G581" s="59" t="s">
        <v>1158</v>
      </c>
      <c r="H581" s="96">
        <v>120.0</v>
      </c>
      <c r="I581" s="65"/>
      <c r="K581" s="156" t="s">
        <v>1159</v>
      </c>
      <c r="L581" s="178" t="s">
        <v>1081</v>
      </c>
      <c r="M581" s="158">
        <v>1700.0</v>
      </c>
      <c r="N581" s="159"/>
    </row>
    <row r="582" hidden="1">
      <c r="A582" s="69"/>
      <c r="B582" s="69"/>
      <c r="C582" s="89"/>
      <c r="D582" s="69"/>
      <c r="F582" s="65"/>
      <c r="G582" s="59"/>
      <c r="H582" s="96"/>
      <c r="I582" s="65"/>
      <c r="K582" s="156" t="s">
        <v>1138</v>
      </c>
      <c r="L582" s="178" t="s">
        <v>1160</v>
      </c>
      <c r="M582" s="158">
        <v>3000.0</v>
      </c>
      <c r="N582" s="159" t="s">
        <v>398</v>
      </c>
    </row>
    <row r="583" hidden="1">
      <c r="A583" s="69"/>
      <c r="B583" s="69"/>
      <c r="C583" s="89"/>
      <c r="D583" s="69"/>
      <c r="F583" s="65"/>
      <c r="G583" s="59" t="s">
        <v>1135</v>
      </c>
      <c r="H583" s="97">
        <f>200+250</f>
        <v>450</v>
      </c>
      <c r="I583" s="65"/>
      <c r="K583" s="156" t="s">
        <v>1161</v>
      </c>
      <c r="L583" s="178" t="s">
        <v>675</v>
      </c>
      <c r="M583" s="161">
        <v>120.0</v>
      </c>
      <c r="N583" s="159" t="s">
        <v>398</v>
      </c>
    </row>
    <row r="584" hidden="1">
      <c r="A584" s="69"/>
      <c r="B584" s="69"/>
      <c r="C584" s="89"/>
      <c r="D584" s="69"/>
      <c r="F584" s="59" t="s">
        <v>566</v>
      </c>
      <c r="G584" s="59" t="s">
        <v>1162</v>
      </c>
      <c r="H584" s="96">
        <v>25500.0</v>
      </c>
      <c r="I584" s="65"/>
      <c r="K584" s="163" t="s">
        <v>1163</v>
      </c>
      <c r="L584" s="39"/>
      <c r="M584" s="172">
        <f>SUM(M573:M583)</f>
        <v>269620</v>
      </c>
      <c r="N584" s="164"/>
    </row>
    <row r="585" hidden="1">
      <c r="A585" s="69"/>
      <c r="B585" s="69"/>
      <c r="C585" s="89"/>
      <c r="D585" s="69"/>
      <c r="F585" s="65"/>
      <c r="G585" s="206" t="s">
        <v>1154</v>
      </c>
      <c r="H585" s="96">
        <v>17550.0</v>
      </c>
      <c r="I585" s="65"/>
    </row>
    <row r="586" hidden="1">
      <c r="A586" s="69"/>
      <c r="B586" s="69"/>
      <c r="C586" s="89"/>
      <c r="D586" s="69"/>
      <c r="F586" s="65"/>
      <c r="G586" s="206" t="s">
        <v>1150</v>
      </c>
      <c r="H586" s="96">
        <v>21700.0</v>
      </c>
      <c r="I586" s="65"/>
    </row>
    <row r="587" hidden="1">
      <c r="A587" s="69"/>
      <c r="B587" s="69"/>
      <c r="C587" s="89"/>
      <c r="D587" s="69"/>
      <c r="F587" s="65"/>
      <c r="G587" s="59" t="s">
        <v>1148</v>
      </c>
      <c r="H587" s="96">
        <v>20300.0</v>
      </c>
      <c r="I587" s="65"/>
      <c r="K587" s="152" t="s">
        <v>1164</v>
      </c>
      <c r="L587" s="34"/>
      <c r="M587" s="34"/>
      <c r="N587" s="39"/>
    </row>
    <row r="588" hidden="1">
      <c r="A588" s="69"/>
      <c r="B588" s="69"/>
      <c r="C588" s="89"/>
      <c r="D588" s="69"/>
      <c r="F588" s="59" t="s">
        <v>172</v>
      </c>
      <c r="G588" s="59" t="s">
        <v>1165</v>
      </c>
      <c r="H588" s="96">
        <v>3090.0</v>
      </c>
      <c r="I588" s="65"/>
      <c r="K588" s="154" t="s">
        <v>232</v>
      </c>
      <c r="L588" s="155" t="s">
        <v>686</v>
      </c>
      <c r="M588" s="155" t="s">
        <v>238</v>
      </c>
      <c r="N588" s="155" t="s">
        <v>239</v>
      </c>
    </row>
    <row r="589" hidden="1">
      <c r="A589" s="69"/>
      <c r="B589" s="69"/>
      <c r="C589" s="89"/>
      <c r="D589" s="69"/>
      <c r="F589" s="59" t="s">
        <v>175</v>
      </c>
      <c r="G589" s="59" t="s">
        <v>1166</v>
      </c>
      <c r="H589" s="96">
        <v>14883.0</v>
      </c>
      <c r="I589" s="65"/>
      <c r="K589" s="166"/>
      <c r="L589" s="247" t="s">
        <v>638</v>
      </c>
      <c r="M589" s="168">
        <f>154500-50000</f>
        <v>104500</v>
      </c>
      <c r="N589" s="178"/>
    </row>
    <row r="590" hidden="1">
      <c r="A590" s="69"/>
      <c r="B590" s="69"/>
      <c r="C590" s="89"/>
      <c r="D590" s="69"/>
      <c r="F590" s="59" t="s">
        <v>1167</v>
      </c>
      <c r="G590" s="59" t="s">
        <v>824</v>
      </c>
      <c r="H590" s="97">
        <f>100+30+110+250+60+80</f>
        <v>630</v>
      </c>
      <c r="I590" s="65"/>
      <c r="K590" s="166"/>
      <c r="L590" s="178" t="s">
        <v>14</v>
      </c>
      <c r="M590" s="158">
        <v>9400.0</v>
      </c>
      <c r="N590" s="178"/>
      <c r="Q590" s="41">
        <v>104500.0</v>
      </c>
      <c r="R590" s="41" t="s">
        <v>1168</v>
      </c>
    </row>
    <row r="591" hidden="1">
      <c r="A591" s="69"/>
      <c r="B591" s="69"/>
      <c r="C591" s="89"/>
      <c r="D591" s="69"/>
      <c r="F591" s="65"/>
      <c r="G591" s="59" t="s">
        <v>577</v>
      </c>
      <c r="H591" s="96">
        <v>120.0</v>
      </c>
      <c r="I591" s="65"/>
      <c r="K591" s="166"/>
      <c r="L591" s="178" t="s">
        <v>852</v>
      </c>
      <c r="M591" s="158">
        <f>30000-10000+22500+57000+474000+80000</f>
        <v>653500</v>
      </c>
      <c r="N591" s="178"/>
      <c r="Q591" s="41">
        <v>43000.0</v>
      </c>
      <c r="R591" s="41" t="s">
        <v>1169</v>
      </c>
    </row>
    <row r="592" hidden="1">
      <c r="A592" s="69"/>
      <c r="B592" s="69"/>
      <c r="C592" s="89"/>
      <c r="D592" s="69"/>
      <c r="F592" s="59" t="s">
        <v>1170</v>
      </c>
      <c r="G592" s="59" t="s">
        <v>1171</v>
      </c>
      <c r="H592" s="96">
        <v>3290.0</v>
      </c>
      <c r="I592" s="65"/>
      <c r="K592" s="166"/>
      <c r="L592" s="178" t="s">
        <v>189</v>
      </c>
      <c r="M592" s="158">
        <f>345831+691000-320000</f>
        <v>716831</v>
      </c>
      <c r="N592" s="178"/>
      <c r="Q592" s="138">
        <f>Q590-Q591</f>
        <v>61500</v>
      </c>
      <c r="R592" s="41" t="s">
        <v>1172</v>
      </c>
    </row>
    <row r="593" hidden="1">
      <c r="A593" s="69"/>
      <c r="B593" s="69"/>
      <c r="C593" s="89"/>
      <c r="D593" s="69"/>
      <c r="F593" s="65"/>
      <c r="G593" s="59" t="s">
        <v>330</v>
      </c>
      <c r="H593" s="96">
        <v>2000.0</v>
      </c>
      <c r="I593" s="65"/>
      <c r="K593" s="166"/>
      <c r="L593" s="178" t="s">
        <v>22</v>
      </c>
      <c r="M593" s="158">
        <f>68000+36000+12500-6000-10000-30000+1000</f>
        <v>71500</v>
      </c>
      <c r="N593" s="178"/>
      <c r="Q593" s="41">
        <v>11500.0</v>
      </c>
      <c r="R593" s="41" t="s">
        <v>1173</v>
      </c>
    </row>
    <row r="594" hidden="1">
      <c r="A594" s="69"/>
      <c r="B594" s="69"/>
      <c r="C594" s="89"/>
      <c r="D594" s="69"/>
      <c r="F594" s="59" t="s">
        <v>1159</v>
      </c>
      <c r="G594" s="59" t="s">
        <v>267</v>
      </c>
      <c r="H594" s="96">
        <v>3000.0</v>
      </c>
      <c r="I594" s="65"/>
      <c r="K594" s="166"/>
      <c r="L594" s="178" t="s">
        <v>113</v>
      </c>
      <c r="M594" s="158">
        <v>3000.0</v>
      </c>
      <c r="N594" s="178"/>
      <c r="Q594" s="138">
        <f>Q592-Q593</f>
        <v>50000</v>
      </c>
      <c r="R594" s="41" t="s">
        <v>1174</v>
      </c>
    </row>
    <row r="595" hidden="1">
      <c r="A595" s="69"/>
      <c r="B595" s="69"/>
      <c r="C595" s="89"/>
      <c r="D595" s="69"/>
      <c r="F595" s="65"/>
      <c r="G595" s="59" t="s">
        <v>1175</v>
      </c>
      <c r="H595" s="97">
        <f>350+60</f>
        <v>410</v>
      </c>
      <c r="I595" s="65"/>
      <c r="K595" s="166"/>
      <c r="L595" s="290" t="s">
        <v>49</v>
      </c>
      <c r="M595" s="158">
        <v>5000.0</v>
      </c>
      <c r="N595" s="178"/>
      <c r="Q595" s="41">
        <v>30000.0</v>
      </c>
      <c r="R595" s="41" t="s">
        <v>1176</v>
      </c>
    </row>
    <row r="596" hidden="1">
      <c r="A596" s="69"/>
      <c r="B596" s="69"/>
      <c r="C596" s="89"/>
      <c r="D596" s="69"/>
      <c r="F596" s="65"/>
      <c r="G596" s="59" t="s">
        <v>1105</v>
      </c>
      <c r="H596" s="96">
        <v>1700.0</v>
      </c>
      <c r="I596" s="65"/>
      <c r="K596" s="163" t="s">
        <v>712</v>
      </c>
      <c r="L596" s="39"/>
      <c r="M596" s="172">
        <f>SUM(M589:M595)</f>
        <v>1563731</v>
      </c>
      <c r="N596" s="181"/>
      <c r="Q596" s="138">
        <f>Q594-Q595</f>
        <v>20000</v>
      </c>
      <c r="R596" s="41" t="s">
        <v>1177</v>
      </c>
    </row>
    <row r="597" hidden="1">
      <c r="A597" s="69"/>
      <c r="B597" s="69"/>
      <c r="C597" s="89"/>
      <c r="D597" s="69"/>
      <c r="F597" s="65"/>
      <c r="G597" s="59" t="s">
        <v>1135</v>
      </c>
      <c r="H597" s="97">
        <f>300+300</f>
        <v>600</v>
      </c>
      <c r="I597" s="65"/>
    </row>
    <row r="598" hidden="1">
      <c r="A598" s="69"/>
      <c r="B598" s="69"/>
      <c r="C598" s="89"/>
      <c r="D598" s="69"/>
      <c r="F598" s="59" t="s">
        <v>181</v>
      </c>
      <c r="G598" s="59" t="s">
        <v>1178</v>
      </c>
      <c r="H598" s="96">
        <v>1380.0</v>
      </c>
      <c r="I598" s="59" t="s">
        <v>1179</v>
      </c>
    </row>
    <row r="599" hidden="1">
      <c r="A599" s="69"/>
      <c r="B599" s="69"/>
      <c r="C599" s="89"/>
      <c r="D599" s="69"/>
      <c r="F599" s="59" t="s">
        <v>594</v>
      </c>
      <c r="G599" s="59" t="s">
        <v>1180</v>
      </c>
      <c r="H599" s="97">
        <f>3360+400+11000+7500+1300</f>
        <v>23560</v>
      </c>
      <c r="I599" s="65"/>
      <c r="K599" s="152" t="s">
        <v>1181</v>
      </c>
      <c r="L599" s="34"/>
      <c r="M599" s="34"/>
      <c r="N599" s="39"/>
    </row>
    <row r="600" hidden="1">
      <c r="A600" s="69"/>
      <c r="B600" s="69"/>
      <c r="C600" s="89"/>
      <c r="D600" s="69"/>
      <c r="F600" s="65"/>
      <c r="G600" s="59" t="s">
        <v>1160</v>
      </c>
      <c r="H600" s="96">
        <v>1000.0</v>
      </c>
      <c r="I600" s="65"/>
      <c r="K600" s="154" t="s">
        <v>7</v>
      </c>
      <c r="L600" s="155" t="s">
        <v>686</v>
      </c>
      <c r="M600" s="155" t="s">
        <v>238</v>
      </c>
      <c r="N600" s="155" t="s">
        <v>239</v>
      </c>
    </row>
    <row r="601" hidden="1">
      <c r="A601" s="69"/>
      <c r="B601" s="69"/>
      <c r="C601" s="89"/>
      <c r="D601" s="69"/>
      <c r="F601" s="65"/>
      <c r="G601" s="59" t="s">
        <v>1182</v>
      </c>
      <c r="H601" s="96">
        <v>15000.0</v>
      </c>
      <c r="I601" s="59">
        <f>42890-15000</f>
        <v>27890</v>
      </c>
      <c r="J601" s="41" t="s">
        <v>241</v>
      </c>
      <c r="K601" s="166"/>
      <c r="L601" s="157" t="s">
        <v>1183</v>
      </c>
      <c r="M601" s="158">
        <v>110280.0</v>
      </c>
      <c r="N601" s="157"/>
    </row>
    <row r="602" hidden="1">
      <c r="A602" s="69"/>
      <c r="B602" s="69"/>
      <c r="C602" s="89"/>
      <c r="D602" s="69"/>
      <c r="F602" s="65"/>
      <c r="G602" s="59" t="s">
        <v>1184</v>
      </c>
      <c r="H602" s="96">
        <v>45000.0</v>
      </c>
      <c r="I602" s="59" t="s">
        <v>500</v>
      </c>
      <c r="K602" s="166"/>
      <c r="L602" s="157" t="s">
        <v>687</v>
      </c>
      <c r="M602" s="158">
        <f>60000-20000+4000+2000-10000+26000+4000-16000-20000</f>
        <v>30000</v>
      </c>
      <c r="N602" s="157"/>
    </row>
    <row r="603" hidden="1">
      <c r="A603" s="69"/>
      <c r="B603" s="69"/>
      <c r="C603" s="89"/>
      <c r="D603" s="69"/>
      <c r="F603" s="291" t="s">
        <v>1185</v>
      </c>
      <c r="G603" s="39"/>
      <c r="H603" s="97">
        <f>SUM(H566:H602)</f>
        <v>251444</v>
      </c>
      <c r="I603" s="65"/>
      <c r="K603" s="166"/>
      <c r="L603" s="157" t="s">
        <v>690</v>
      </c>
      <c r="M603" s="158">
        <f>85000+6000+1000+40000-50000+6000+8000+12000+6000+6000-50000</f>
        <v>70000</v>
      </c>
      <c r="N603" s="164"/>
    </row>
    <row r="604" hidden="1">
      <c r="A604" s="69"/>
      <c r="B604" s="69"/>
      <c r="C604" s="89"/>
      <c r="D604" s="69"/>
      <c r="F604" s="69"/>
      <c r="G604" s="69"/>
      <c r="H604" s="109"/>
      <c r="I604" s="69"/>
      <c r="K604" s="166"/>
      <c r="L604" s="157" t="s">
        <v>823</v>
      </c>
      <c r="M604" s="158">
        <f>7000+12000+12000+3000+12000-3000</f>
        <v>43000</v>
      </c>
      <c r="N604" s="164"/>
    </row>
    <row r="605" hidden="1">
      <c r="A605" s="69"/>
      <c r="B605" s="69"/>
      <c r="C605" s="89"/>
      <c r="D605" s="69"/>
      <c r="F605" s="69"/>
      <c r="G605" s="69"/>
      <c r="H605" s="109"/>
      <c r="I605" s="69"/>
      <c r="K605" s="166"/>
      <c r="L605" s="157" t="s">
        <v>825</v>
      </c>
      <c r="M605" s="158">
        <f>15000*2+10000-10000-10000</f>
        <v>20000</v>
      </c>
      <c r="N605" s="157"/>
    </row>
    <row r="606" hidden="1">
      <c r="A606" s="69"/>
      <c r="B606" s="69"/>
      <c r="C606" s="89"/>
      <c r="D606" s="69"/>
      <c r="F606" s="69"/>
      <c r="G606" s="69"/>
      <c r="H606" s="109"/>
      <c r="I606" s="69"/>
      <c r="K606" s="166"/>
      <c r="L606" s="157" t="s">
        <v>698</v>
      </c>
      <c r="M606" s="158">
        <f>45000-10000-10000</f>
        <v>25000</v>
      </c>
      <c r="N606" s="157"/>
    </row>
    <row r="607" hidden="1">
      <c r="A607" s="69"/>
      <c r="B607" s="69"/>
      <c r="C607" s="89"/>
      <c r="D607" s="69"/>
      <c r="F607" s="69"/>
      <c r="G607" s="69"/>
      <c r="H607" s="109"/>
      <c r="I607" s="69"/>
      <c r="K607" s="166"/>
      <c r="L607" s="157" t="s">
        <v>828</v>
      </c>
      <c r="M607" s="158">
        <f>32000+16000-10000</f>
        <v>38000</v>
      </c>
      <c r="N607" s="157"/>
    </row>
    <row r="608" hidden="1">
      <c r="A608" s="69"/>
      <c r="B608" s="69"/>
      <c r="C608" s="89"/>
      <c r="D608" s="69"/>
      <c r="F608" s="69"/>
      <c r="G608" s="69"/>
      <c r="H608" s="109"/>
      <c r="I608" s="69"/>
      <c r="K608" s="166" t="s">
        <v>172</v>
      </c>
      <c r="L608" s="157" t="s">
        <v>831</v>
      </c>
      <c r="M608" s="158">
        <f>330000-100000-100000-50000-80000</f>
        <v>0</v>
      </c>
      <c r="N608" s="157" t="s">
        <v>1186</v>
      </c>
    </row>
    <row r="609" hidden="1">
      <c r="A609" s="69"/>
      <c r="B609" s="69"/>
      <c r="C609" s="89"/>
      <c r="D609" s="69"/>
      <c r="F609" s="69"/>
      <c r="G609" s="69"/>
      <c r="H609" s="109"/>
      <c r="I609" s="69"/>
      <c r="K609" s="166"/>
      <c r="L609" s="157" t="s">
        <v>1008</v>
      </c>
      <c r="M609" s="158">
        <f>100000+50000+252400</f>
        <v>402400</v>
      </c>
      <c r="N609" s="283"/>
    </row>
    <row r="610" hidden="1">
      <c r="A610" s="69"/>
      <c r="B610" s="69"/>
      <c r="C610" s="69"/>
      <c r="D610" s="69"/>
      <c r="F610" s="69"/>
      <c r="G610" s="69"/>
      <c r="H610" s="109"/>
      <c r="I610" s="69"/>
      <c r="K610" s="166"/>
      <c r="L610" s="157" t="s">
        <v>330</v>
      </c>
      <c r="M610" s="158">
        <f>9000+12000-15000</f>
        <v>6000</v>
      </c>
      <c r="N610" s="228"/>
    </row>
    <row r="611" hidden="1">
      <c r="A611" s="69"/>
      <c r="B611" s="69"/>
      <c r="C611" s="69"/>
      <c r="D611" s="69"/>
      <c r="F611" s="69"/>
      <c r="G611" s="69"/>
      <c r="H611" s="109"/>
      <c r="I611" s="69"/>
      <c r="K611" s="166"/>
      <c r="L611" s="157" t="s">
        <v>331</v>
      </c>
      <c r="M611" s="158">
        <f>9000+14000-1000-2000+3000-15000</f>
        <v>8000</v>
      </c>
      <c r="N611" s="228"/>
    </row>
    <row r="612" hidden="1">
      <c r="A612" s="69"/>
      <c r="B612" s="69"/>
      <c r="C612" s="69"/>
      <c r="D612" s="69"/>
      <c r="F612" s="69"/>
      <c r="G612" s="69"/>
      <c r="H612" s="109"/>
      <c r="I612" s="69"/>
      <c r="K612" s="166"/>
      <c r="L612" s="157" t="s">
        <v>345</v>
      </c>
      <c r="M612" s="158">
        <f>1500+5000+2000-5000+15000-8500</f>
        <v>10000</v>
      </c>
      <c r="N612" s="205"/>
    </row>
    <row r="613" hidden="1">
      <c r="A613" s="69"/>
      <c r="B613" s="69"/>
      <c r="C613" s="69"/>
      <c r="D613" s="69"/>
      <c r="F613" s="69"/>
      <c r="G613" s="69"/>
      <c r="H613" s="109"/>
      <c r="I613" s="69"/>
      <c r="K613" s="166"/>
      <c r="L613" s="157" t="s">
        <v>349</v>
      </c>
      <c r="M613" s="158">
        <v>3000.0</v>
      </c>
      <c r="N613" s="205"/>
    </row>
    <row r="614" hidden="1">
      <c r="A614" s="69"/>
      <c r="B614" s="69"/>
      <c r="C614" s="69"/>
      <c r="D614" s="69"/>
      <c r="F614" s="69"/>
      <c r="G614" s="69"/>
      <c r="H614" s="109"/>
      <c r="I614" s="69"/>
      <c r="K614" s="166"/>
      <c r="L614" s="157" t="s">
        <v>1108</v>
      </c>
      <c r="M614" s="158">
        <f>20000+3000-10000+6000-10000</f>
        <v>9000</v>
      </c>
      <c r="N614" s="205"/>
    </row>
    <row r="615" hidden="1">
      <c r="A615" s="69"/>
      <c r="B615" s="69"/>
      <c r="C615" s="69"/>
      <c r="D615" s="69"/>
      <c r="F615" s="69"/>
      <c r="G615" s="69"/>
      <c r="H615" s="109"/>
      <c r="I615" s="69"/>
      <c r="K615" s="166"/>
      <c r="L615" s="64" t="s">
        <v>402</v>
      </c>
      <c r="M615" s="201">
        <f>2*3000+3000</f>
        <v>9000</v>
      </c>
      <c r="N615" s="205"/>
    </row>
    <row r="616" hidden="1">
      <c r="F616" s="69"/>
      <c r="G616" s="69"/>
      <c r="H616" s="109"/>
      <c r="I616" s="69"/>
      <c r="K616" s="94"/>
      <c r="L616" s="64" t="s">
        <v>405</v>
      </c>
      <c r="M616" s="201">
        <f>3000*2+4*2500-10000</f>
        <v>6000</v>
      </c>
      <c r="N616" s="65"/>
    </row>
    <row r="617" hidden="1">
      <c r="F617" s="69"/>
      <c r="G617" s="69"/>
      <c r="H617" s="109"/>
      <c r="I617" s="69"/>
      <c r="K617" s="94"/>
      <c r="L617" s="64" t="s">
        <v>410</v>
      </c>
      <c r="M617" s="292">
        <v>10000.0</v>
      </c>
      <c r="N617" s="65"/>
    </row>
    <row r="618" hidden="1">
      <c r="F618" s="69"/>
      <c r="G618" s="69"/>
      <c r="H618" s="109"/>
      <c r="I618" s="69"/>
      <c r="K618" s="94"/>
      <c r="L618" s="64" t="s">
        <v>416</v>
      </c>
      <c r="M618" s="292">
        <f>10000-5000</f>
        <v>5000</v>
      </c>
      <c r="N618" s="65"/>
    </row>
    <row r="619" hidden="1">
      <c r="F619" s="69"/>
      <c r="G619" s="69"/>
      <c r="H619" s="109"/>
      <c r="I619" s="69"/>
      <c r="K619" s="94"/>
      <c r="L619" s="64" t="s">
        <v>317</v>
      </c>
      <c r="M619" s="201">
        <f>2*4*5000-10000+4000+4500-20000+2500+4500+4500-15500</f>
        <v>14500</v>
      </c>
      <c r="N619" s="65"/>
    </row>
    <row r="620" hidden="1">
      <c r="F620" s="69"/>
      <c r="G620" s="69"/>
      <c r="H620" s="109"/>
      <c r="I620" s="69"/>
      <c r="K620" s="94"/>
      <c r="L620" s="64" t="s">
        <v>1012</v>
      </c>
      <c r="M620" s="293">
        <f>5000+2000</f>
        <v>7000</v>
      </c>
      <c r="N620" s="261"/>
    </row>
    <row r="621" hidden="1">
      <c r="F621" s="69"/>
      <c r="G621" s="69"/>
      <c r="H621" s="109"/>
      <c r="I621" s="69"/>
      <c r="K621" s="163" t="s">
        <v>702</v>
      </c>
      <c r="L621" s="39"/>
      <c r="M621" s="172">
        <f>SUM(M601:M620)</f>
        <v>826180</v>
      </c>
      <c r="N621" s="262"/>
    </row>
    <row r="622" hidden="1">
      <c r="F622" s="69"/>
      <c r="G622" s="69"/>
      <c r="H622" s="109"/>
      <c r="I622" s="69"/>
    </row>
    <row r="623" hidden="1">
      <c r="F623" s="69"/>
      <c r="G623" s="69"/>
      <c r="H623" s="109"/>
      <c r="I623" s="69"/>
    </row>
    <row r="624" hidden="1">
      <c r="F624" s="69"/>
      <c r="G624" s="69"/>
      <c r="H624" s="109"/>
      <c r="I624" s="69"/>
      <c r="K624" s="152" t="s">
        <v>1187</v>
      </c>
      <c r="L624" s="34"/>
      <c r="M624" s="34"/>
      <c r="N624" s="39"/>
    </row>
    <row r="625" hidden="1">
      <c r="F625" s="69"/>
      <c r="G625" s="69"/>
      <c r="H625" s="109"/>
      <c r="I625" s="69"/>
      <c r="K625" s="154" t="s">
        <v>7</v>
      </c>
      <c r="L625" s="155" t="s">
        <v>686</v>
      </c>
      <c r="M625" s="155" t="s">
        <v>238</v>
      </c>
      <c r="N625" s="155" t="s">
        <v>239</v>
      </c>
    </row>
    <row r="626" hidden="1">
      <c r="F626" s="69"/>
      <c r="G626" s="69"/>
      <c r="H626" s="109"/>
      <c r="I626" s="69"/>
      <c r="K626" s="59"/>
      <c r="L626" s="59" t="s">
        <v>267</v>
      </c>
      <c r="M626" s="273">
        <f>20000-3000</f>
        <v>17000</v>
      </c>
      <c r="N626" s="59" t="s">
        <v>1159</v>
      </c>
    </row>
    <row r="627" hidden="1">
      <c r="F627" s="69"/>
      <c r="G627" s="69"/>
      <c r="H627" s="69"/>
      <c r="I627" s="69"/>
      <c r="K627" s="59" t="s">
        <v>1122</v>
      </c>
      <c r="L627" s="59" t="s">
        <v>1118</v>
      </c>
      <c r="M627" s="273">
        <f>5000-5000</f>
        <v>0</v>
      </c>
      <c r="N627" s="59"/>
    </row>
    <row r="628" hidden="1">
      <c r="F628" s="69"/>
      <c r="G628" s="69"/>
      <c r="H628" s="69"/>
      <c r="I628" s="69"/>
      <c r="K628" s="294" t="s">
        <v>840</v>
      </c>
      <c r="L628" s="39"/>
      <c r="M628" s="295">
        <f>SUM(M626:M627)</f>
        <v>17000</v>
      </c>
      <c r="N628" s="296"/>
    </row>
    <row r="629" hidden="1">
      <c r="F629" s="69"/>
      <c r="G629" s="69"/>
      <c r="H629" s="69"/>
      <c r="I629" s="69"/>
    </row>
    <row r="630" hidden="1">
      <c r="F630" s="69"/>
      <c r="G630" s="69"/>
      <c r="H630" s="69"/>
      <c r="I630" s="69"/>
    </row>
    <row r="631" hidden="1">
      <c r="F631" s="69"/>
      <c r="G631" s="69"/>
      <c r="H631" s="69"/>
      <c r="I631" s="69"/>
    </row>
    <row r="632">
      <c r="F632" s="69"/>
      <c r="G632" s="69"/>
      <c r="H632" s="69"/>
      <c r="I632" s="69"/>
    </row>
    <row r="633">
      <c r="A633" s="139">
        <v>45139.0</v>
      </c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9"/>
    </row>
    <row r="634">
      <c r="F634" s="69"/>
      <c r="G634" s="69"/>
      <c r="H634" s="109"/>
      <c r="I634" s="69"/>
    </row>
    <row r="635">
      <c r="A635" s="229" t="s">
        <v>613</v>
      </c>
      <c r="B635" s="34"/>
      <c r="C635" s="34"/>
      <c r="D635" s="39"/>
      <c r="E635" s="46"/>
      <c r="F635" s="229" t="s">
        <v>614</v>
      </c>
      <c r="G635" s="34"/>
      <c r="H635" s="34"/>
      <c r="I635" s="39"/>
      <c r="K635" s="230" t="s">
        <v>1188</v>
      </c>
      <c r="L635" s="34"/>
      <c r="M635" s="34"/>
      <c r="N635" s="39"/>
    </row>
    <row r="636">
      <c r="A636" s="143" t="s">
        <v>7</v>
      </c>
      <c r="B636" s="144" t="s">
        <v>616</v>
      </c>
      <c r="C636" s="144" t="s">
        <v>617</v>
      </c>
      <c r="D636" s="144" t="s">
        <v>618</v>
      </c>
      <c r="E636" s="145"/>
      <c r="F636" s="144" t="s">
        <v>7</v>
      </c>
      <c r="G636" s="144" t="s">
        <v>616</v>
      </c>
      <c r="H636" s="144" t="s">
        <v>617</v>
      </c>
      <c r="I636" s="146" t="s">
        <v>618</v>
      </c>
      <c r="K636" s="215" t="s">
        <v>7</v>
      </c>
      <c r="L636" s="215" t="s">
        <v>616</v>
      </c>
      <c r="M636" s="215" t="s">
        <v>617</v>
      </c>
      <c r="N636" s="215" t="s">
        <v>618</v>
      </c>
    </row>
    <row r="637">
      <c r="A637" s="59" t="s">
        <v>1189</v>
      </c>
      <c r="B637" s="59" t="s">
        <v>184</v>
      </c>
      <c r="C637" s="96">
        <v>25000.0</v>
      </c>
      <c r="D637" s="59" t="s">
        <v>185</v>
      </c>
      <c r="F637" s="59" t="s">
        <v>186</v>
      </c>
      <c r="G637" s="59" t="s">
        <v>1190</v>
      </c>
      <c r="H637" s="96">
        <v>3650.0</v>
      </c>
      <c r="I637" s="65"/>
      <c r="K637" s="58" t="s">
        <v>1191</v>
      </c>
      <c r="L637" s="193" t="s">
        <v>625</v>
      </c>
      <c r="M637" s="297">
        <f>6000+50000-50000+40000+45000-85000+31800-35000</f>
        <v>2800</v>
      </c>
      <c r="N637" s="59" t="s">
        <v>1058</v>
      </c>
    </row>
    <row r="638">
      <c r="A638" s="65"/>
      <c r="B638" s="59" t="s">
        <v>1192</v>
      </c>
      <c r="C638" s="96">
        <v>140000.0</v>
      </c>
      <c r="D638" s="65"/>
      <c r="F638" s="59" t="s">
        <v>1189</v>
      </c>
      <c r="G638" s="59" t="s">
        <v>1193</v>
      </c>
      <c r="H638" s="96">
        <v>120.0</v>
      </c>
      <c r="I638" s="65"/>
      <c r="K638" s="58" t="s">
        <v>1191</v>
      </c>
      <c r="L638" s="193" t="s">
        <v>628</v>
      </c>
      <c r="M638" s="298">
        <f>45000+15000+3000+5000+500+220+1300-15500-500</f>
        <v>54020</v>
      </c>
      <c r="N638" s="59" t="s">
        <v>1194</v>
      </c>
    </row>
    <row r="639">
      <c r="A639" s="59" t="s">
        <v>196</v>
      </c>
      <c r="B639" s="59" t="s">
        <v>1195</v>
      </c>
      <c r="C639" s="96">
        <v>9600.0</v>
      </c>
      <c r="D639" s="59" t="s">
        <v>1196</v>
      </c>
      <c r="F639" s="65"/>
      <c r="G639" s="59" t="s">
        <v>472</v>
      </c>
      <c r="H639" s="96">
        <v>400.0</v>
      </c>
      <c r="I639" s="65"/>
      <c r="K639" s="58" t="s">
        <v>1191</v>
      </c>
      <c r="L639" s="193" t="s">
        <v>631</v>
      </c>
      <c r="M639" s="298">
        <f>20924</f>
        <v>20924</v>
      </c>
      <c r="N639" s="59" t="s">
        <v>1197</v>
      </c>
      <c r="P639" s="41" t="s">
        <v>1198</v>
      </c>
    </row>
    <row r="640">
      <c r="A640" s="65"/>
      <c r="B640" s="26" t="s">
        <v>113</v>
      </c>
      <c r="C640" s="96">
        <v>3500.0</v>
      </c>
      <c r="D640" s="59" t="s">
        <v>1199</v>
      </c>
      <c r="F640" s="65"/>
      <c r="G640" s="59" t="s">
        <v>1200</v>
      </c>
      <c r="H640" s="96">
        <v>1330.0</v>
      </c>
      <c r="I640" s="65"/>
    </row>
    <row r="641">
      <c r="A641" s="65"/>
      <c r="B641" s="26" t="s">
        <v>197</v>
      </c>
      <c r="C641" s="96">
        <v>3000.0</v>
      </c>
      <c r="D641" s="59" t="s">
        <v>1199</v>
      </c>
      <c r="F641" s="59" t="s">
        <v>1201</v>
      </c>
      <c r="G641" s="59" t="s">
        <v>1202</v>
      </c>
      <c r="H641" s="97">
        <f>120+180+50+300+100</f>
        <v>750</v>
      </c>
      <c r="I641" s="65"/>
    </row>
    <row r="642">
      <c r="A642" s="69"/>
      <c r="B642" s="69"/>
      <c r="C642" s="109"/>
      <c r="D642" s="69"/>
      <c r="F642" s="59" t="s">
        <v>1203</v>
      </c>
      <c r="G642" s="59" t="s">
        <v>824</v>
      </c>
      <c r="H642" s="97">
        <f>275+150</f>
        <v>425</v>
      </c>
      <c r="I642" s="65"/>
      <c r="K642" s="152" t="s">
        <v>1204</v>
      </c>
      <c r="L642" s="34"/>
      <c r="M642" s="34"/>
      <c r="N642" s="39"/>
    </row>
    <row r="643">
      <c r="A643" s="69"/>
      <c r="B643" s="69"/>
      <c r="C643" s="109"/>
      <c r="D643" s="69"/>
      <c r="F643" s="65"/>
      <c r="G643" s="59" t="s">
        <v>1205</v>
      </c>
      <c r="H643" s="97">
        <f>350+50+50+200+120+150</f>
        <v>920</v>
      </c>
      <c r="I643" s="65"/>
      <c r="K643" s="154" t="s">
        <v>232</v>
      </c>
      <c r="L643" s="155" t="s">
        <v>237</v>
      </c>
      <c r="M643" s="155" t="s">
        <v>238</v>
      </c>
      <c r="N643" s="155" t="s">
        <v>239</v>
      </c>
    </row>
    <row r="644">
      <c r="A644" s="69"/>
      <c r="B644" s="69"/>
      <c r="C644" s="109"/>
      <c r="D644" s="69"/>
      <c r="F644" s="65"/>
      <c r="G644" s="59" t="s">
        <v>1206</v>
      </c>
      <c r="H644" s="96">
        <v>1000.0</v>
      </c>
      <c r="I644" s="65"/>
      <c r="K644" s="156"/>
      <c r="L644" s="178" t="s">
        <v>1207</v>
      </c>
      <c r="M644" s="158">
        <f t="shared" ref="M644:M645" si="7">66500+44500</f>
        <v>111000</v>
      </c>
      <c r="N644" s="159"/>
    </row>
    <row r="645">
      <c r="A645" s="69"/>
      <c r="B645" s="69"/>
      <c r="C645" s="109"/>
      <c r="D645" s="69"/>
      <c r="F645" s="59" t="s">
        <v>1208</v>
      </c>
      <c r="G645" s="59" t="s">
        <v>1209</v>
      </c>
      <c r="H645" s="96">
        <v>350.0</v>
      </c>
      <c r="I645" s="65"/>
      <c r="K645" s="156"/>
      <c r="L645" s="178" t="s">
        <v>1210</v>
      </c>
      <c r="M645" s="158">
        <f t="shared" si="7"/>
        <v>111000</v>
      </c>
      <c r="N645" s="159"/>
    </row>
    <row r="646">
      <c r="A646" s="69"/>
      <c r="B646" s="69"/>
      <c r="C646" s="109"/>
      <c r="D646" s="69"/>
      <c r="F646" s="65"/>
      <c r="G646" s="59" t="s">
        <v>824</v>
      </c>
      <c r="H646" s="96">
        <v>150.0</v>
      </c>
      <c r="I646" s="65"/>
      <c r="K646" s="156" t="s">
        <v>1211</v>
      </c>
      <c r="L646" s="277" t="s">
        <v>1212</v>
      </c>
      <c r="M646" s="158">
        <f>32300+32300-32300</f>
        <v>32300</v>
      </c>
      <c r="N646" s="159"/>
    </row>
    <row r="647">
      <c r="A647" s="69"/>
      <c r="B647" s="69"/>
      <c r="C647" s="109"/>
      <c r="D647" s="69"/>
      <c r="F647" s="65"/>
      <c r="G647" s="59" t="s">
        <v>1205</v>
      </c>
      <c r="H647" s="96">
        <v>200.0</v>
      </c>
      <c r="I647" s="65"/>
      <c r="K647" s="156" t="s">
        <v>1211</v>
      </c>
      <c r="L647" s="197" t="s">
        <v>1213</v>
      </c>
      <c r="M647" s="158">
        <f>15550-15550</f>
        <v>0</v>
      </c>
      <c r="N647" s="159"/>
    </row>
    <row r="648">
      <c r="A648" s="69"/>
      <c r="B648" s="69"/>
      <c r="C648" s="109"/>
      <c r="D648" s="69"/>
      <c r="F648" s="59" t="s">
        <v>188</v>
      </c>
      <c r="G648" s="59" t="s">
        <v>1205</v>
      </c>
      <c r="H648" s="97">
        <f>150+250+100+70</f>
        <v>570</v>
      </c>
      <c r="I648" s="65"/>
      <c r="K648" s="156" t="s">
        <v>1211</v>
      </c>
      <c r="L648" s="198" t="s">
        <v>1214</v>
      </c>
      <c r="M648" s="158">
        <f>16550-16550</f>
        <v>0</v>
      </c>
      <c r="N648" s="159"/>
    </row>
    <row r="649">
      <c r="A649" s="69"/>
      <c r="B649" s="69"/>
      <c r="C649" s="109"/>
      <c r="D649" s="69"/>
      <c r="F649" s="65"/>
      <c r="G649" s="59" t="s">
        <v>1215</v>
      </c>
      <c r="H649" s="96">
        <v>1000.0</v>
      </c>
      <c r="I649" s="65"/>
      <c r="K649" s="156" t="s">
        <v>1211</v>
      </c>
      <c r="L649" s="198" t="s">
        <v>1216</v>
      </c>
      <c r="M649" s="158">
        <f>14700-14700</f>
        <v>0</v>
      </c>
      <c r="N649" s="159"/>
    </row>
    <row r="650">
      <c r="A650" s="69"/>
      <c r="B650" s="69"/>
      <c r="C650" s="109"/>
      <c r="D650" s="69"/>
      <c r="F650" s="65"/>
      <c r="G650" s="59" t="s">
        <v>1217</v>
      </c>
      <c r="H650" s="97">
        <f>500+150+100</f>
        <v>750</v>
      </c>
      <c r="I650" s="65"/>
      <c r="K650" s="156" t="s">
        <v>1211</v>
      </c>
      <c r="L650" s="178" t="s">
        <v>1218</v>
      </c>
      <c r="M650" s="158">
        <f>21000-21000</f>
        <v>0</v>
      </c>
      <c r="N650" s="159"/>
    </row>
    <row r="651">
      <c r="A651" s="69"/>
      <c r="B651" s="69"/>
      <c r="C651" s="109"/>
      <c r="D651" s="69"/>
      <c r="F651" s="65"/>
      <c r="G651" s="59" t="s">
        <v>1219</v>
      </c>
      <c r="H651" s="96">
        <v>300.0</v>
      </c>
      <c r="I651" s="65"/>
      <c r="K651" s="156" t="s">
        <v>1211</v>
      </c>
      <c r="L651" s="178" t="s">
        <v>1220</v>
      </c>
      <c r="M651" s="158">
        <f>25500-25500</f>
        <v>0</v>
      </c>
      <c r="N651" s="159"/>
    </row>
    <row r="652">
      <c r="A652" s="69"/>
      <c r="B652" s="69"/>
      <c r="C652" s="109"/>
      <c r="D652" s="69"/>
      <c r="F652" s="59" t="s">
        <v>1221</v>
      </c>
      <c r="G652" s="59" t="s">
        <v>1222</v>
      </c>
      <c r="H652" s="96">
        <v>250.0</v>
      </c>
      <c r="I652" s="65"/>
      <c r="K652" s="156"/>
      <c r="L652" s="178" t="s">
        <v>1223</v>
      </c>
      <c r="M652" s="158">
        <v>1700.0</v>
      </c>
      <c r="N652" s="159"/>
    </row>
    <row r="653">
      <c r="A653" s="69"/>
      <c r="B653" s="69"/>
      <c r="C653" s="175"/>
      <c r="D653" s="69"/>
      <c r="F653" s="65"/>
      <c r="G653" s="59" t="s">
        <v>824</v>
      </c>
      <c r="H653" s="96">
        <v>200.0</v>
      </c>
      <c r="I653" s="65"/>
      <c r="K653" s="156"/>
      <c r="L653" s="178" t="s">
        <v>1224</v>
      </c>
      <c r="M653" s="158">
        <v>3000.0</v>
      </c>
      <c r="N653" s="159"/>
    </row>
    <row r="654">
      <c r="A654" s="69"/>
      <c r="B654" s="69"/>
      <c r="C654" s="175"/>
      <c r="D654" s="69"/>
      <c r="F654" s="59" t="s">
        <v>1211</v>
      </c>
      <c r="G654" s="59" t="s">
        <v>1225</v>
      </c>
      <c r="H654" s="97">
        <f>17000+6000</f>
        <v>23000</v>
      </c>
      <c r="I654" s="65"/>
      <c r="K654" s="156"/>
      <c r="L654" s="178" t="s">
        <v>675</v>
      </c>
      <c r="M654" s="161">
        <v>120.0</v>
      </c>
      <c r="N654" s="159"/>
    </row>
    <row r="655">
      <c r="A655" s="69"/>
      <c r="B655" s="69"/>
      <c r="C655" s="175"/>
      <c r="D655" s="69"/>
      <c r="F655" s="65"/>
      <c r="G655" s="206" t="s">
        <v>1226</v>
      </c>
      <c r="H655" s="96">
        <v>32300.0</v>
      </c>
      <c r="I655" s="65"/>
      <c r="K655" s="163" t="s">
        <v>1227</v>
      </c>
      <c r="L655" s="39"/>
      <c r="M655" s="172">
        <f>SUM(M644:M654)</f>
        <v>259120</v>
      </c>
      <c r="N655" s="157">
        <v>74944.0</v>
      </c>
      <c r="O655" s="299">
        <f>M655+N655</f>
        <v>334064</v>
      </c>
    </row>
    <row r="656">
      <c r="A656" s="69"/>
      <c r="B656" s="69"/>
      <c r="C656" s="69"/>
      <c r="D656" s="69"/>
      <c r="F656" s="65"/>
      <c r="G656" s="206" t="s">
        <v>1213</v>
      </c>
      <c r="H656" s="97">
        <f>15550-1000</f>
        <v>14550</v>
      </c>
      <c r="I656" s="65"/>
    </row>
    <row r="657">
      <c r="A657" s="69"/>
      <c r="B657" s="69"/>
      <c r="C657" s="69"/>
      <c r="D657" s="69"/>
      <c r="F657" s="65"/>
      <c r="G657" s="206" t="s">
        <v>1214</v>
      </c>
      <c r="H657" s="96">
        <v>16550.0</v>
      </c>
      <c r="I657" s="65"/>
    </row>
    <row r="658">
      <c r="A658" s="69"/>
      <c r="B658" s="69"/>
      <c r="C658" s="69"/>
      <c r="D658" s="69"/>
      <c r="F658" s="65"/>
      <c r="G658" s="206" t="s">
        <v>1216</v>
      </c>
      <c r="H658" s="96">
        <v>14700.0</v>
      </c>
      <c r="I658" s="65"/>
      <c r="K658" s="152" t="s">
        <v>1228</v>
      </c>
      <c r="L658" s="34"/>
      <c r="M658" s="34"/>
      <c r="N658" s="39"/>
    </row>
    <row r="659">
      <c r="A659" s="69"/>
      <c r="B659" s="69"/>
      <c r="C659" s="69"/>
      <c r="D659" s="69"/>
      <c r="F659" s="65"/>
      <c r="G659" s="179" t="s">
        <v>1218</v>
      </c>
      <c r="H659" s="96">
        <v>21000.0</v>
      </c>
      <c r="I659" s="65"/>
      <c r="K659" s="154" t="s">
        <v>232</v>
      </c>
      <c r="L659" s="155" t="s">
        <v>686</v>
      </c>
      <c r="M659" s="155" t="s">
        <v>238</v>
      </c>
      <c r="N659" s="155" t="s">
        <v>239</v>
      </c>
    </row>
    <row r="660">
      <c r="A660" s="69"/>
      <c r="B660" s="69"/>
      <c r="C660" s="69"/>
      <c r="D660" s="69"/>
      <c r="F660" s="65"/>
      <c r="G660" s="179" t="s">
        <v>1220</v>
      </c>
      <c r="H660" s="96">
        <v>25500.0</v>
      </c>
      <c r="I660" s="65"/>
      <c r="K660" s="166"/>
      <c r="L660" s="247" t="s">
        <v>638</v>
      </c>
      <c r="M660" s="225">
        <f>154500-50000</f>
        <v>104500</v>
      </c>
      <c r="N660" s="178"/>
    </row>
    <row r="661">
      <c r="A661" s="69"/>
      <c r="B661" s="69"/>
      <c r="C661" s="69"/>
      <c r="D661" s="69"/>
      <c r="F661" s="65"/>
      <c r="G661" s="59" t="s">
        <v>1229</v>
      </c>
      <c r="H661" s="96">
        <v>120.0</v>
      </c>
      <c r="I661" s="65"/>
      <c r="K661" s="166"/>
      <c r="L661" s="178" t="s">
        <v>852</v>
      </c>
      <c r="M661" s="158">
        <f>30000-10000+22500+57000+474000+80000</f>
        <v>653500</v>
      </c>
      <c r="N661" s="178"/>
    </row>
    <row r="662">
      <c r="A662" s="69"/>
      <c r="B662" s="69"/>
      <c r="C662" s="69"/>
      <c r="D662" s="69"/>
      <c r="F662" s="65"/>
      <c r="G662" s="59" t="s">
        <v>1230</v>
      </c>
      <c r="H662" s="96">
        <v>500.0</v>
      </c>
      <c r="I662" s="65"/>
      <c r="K662" s="166"/>
      <c r="L662" s="178" t="s">
        <v>189</v>
      </c>
      <c r="M662" s="158">
        <f>345831+691000-320000+128000</f>
        <v>844831</v>
      </c>
      <c r="N662" s="178"/>
    </row>
    <row r="663">
      <c r="A663" s="120"/>
      <c r="B663" s="120"/>
      <c r="C663" s="120"/>
      <c r="D663" s="120"/>
      <c r="F663" s="59" t="s">
        <v>191</v>
      </c>
      <c r="G663" s="59" t="s">
        <v>1224</v>
      </c>
      <c r="H663" s="96">
        <v>1000.0</v>
      </c>
      <c r="I663" s="65"/>
      <c r="K663" s="166"/>
      <c r="L663" s="178" t="s">
        <v>182</v>
      </c>
      <c r="M663" s="158">
        <v>130000.0</v>
      </c>
      <c r="N663" s="178"/>
    </row>
    <row r="664">
      <c r="A664" s="120"/>
      <c r="B664" s="120"/>
      <c r="C664" s="120"/>
      <c r="D664" s="120"/>
      <c r="F664" s="59" t="s">
        <v>1231</v>
      </c>
      <c r="G664" s="59" t="s">
        <v>824</v>
      </c>
      <c r="H664" s="96">
        <v>200.0</v>
      </c>
      <c r="I664" s="65"/>
      <c r="K664" s="163" t="s">
        <v>712</v>
      </c>
      <c r="L664" s="39"/>
      <c r="M664" s="172">
        <f>SUM(M660:M662)</f>
        <v>1602831</v>
      </c>
      <c r="N664" s="181"/>
    </row>
    <row r="665">
      <c r="A665" s="120"/>
      <c r="B665" s="120"/>
      <c r="C665" s="120"/>
      <c r="D665" s="120"/>
      <c r="F665" s="59" t="s">
        <v>196</v>
      </c>
      <c r="G665" s="59" t="s">
        <v>1232</v>
      </c>
      <c r="H665" s="96">
        <v>3000.0</v>
      </c>
      <c r="I665" s="65"/>
    </row>
    <row r="666">
      <c r="A666" s="120"/>
      <c r="B666" s="120"/>
      <c r="C666" s="120"/>
      <c r="D666" s="120"/>
      <c r="F666" s="65"/>
      <c r="G666" s="59" t="s">
        <v>824</v>
      </c>
      <c r="H666" s="96">
        <v>200.0</v>
      </c>
      <c r="I666" s="65"/>
    </row>
    <row r="667">
      <c r="A667" s="120"/>
      <c r="B667" s="120"/>
      <c r="C667" s="120"/>
      <c r="D667" s="120"/>
      <c r="F667" s="59" t="s">
        <v>1233</v>
      </c>
      <c r="G667" s="59" t="s">
        <v>1205</v>
      </c>
      <c r="H667" s="97">
        <f>150+10+50+30+20+100</f>
        <v>360</v>
      </c>
      <c r="I667" s="65"/>
      <c r="K667" s="152" t="s">
        <v>1181</v>
      </c>
      <c r="L667" s="34"/>
      <c r="M667" s="34"/>
      <c r="N667" s="39"/>
    </row>
    <row r="668">
      <c r="A668" s="120"/>
      <c r="B668" s="120"/>
      <c r="C668" s="120"/>
      <c r="D668" s="120"/>
      <c r="F668" s="59" t="s">
        <v>199</v>
      </c>
      <c r="G668" s="59" t="s">
        <v>1234</v>
      </c>
      <c r="H668" s="96">
        <v>1700.0</v>
      </c>
      <c r="I668" s="65"/>
      <c r="K668" s="154" t="s">
        <v>7</v>
      </c>
      <c r="L668" s="155" t="s">
        <v>686</v>
      </c>
      <c r="M668" s="155" t="s">
        <v>238</v>
      </c>
      <c r="N668" s="155" t="s">
        <v>239</v>
      </c>
    </row>
    <row r="669">
      <c r="A669" s="120"/>
      <c r="B669" s="120"/>
      <c r="C669" s="120"/>
      <c r="D669" s="120"/>
      <c r="F669" s="65"/>
      <c r="G669" s="59" t="s">
        <v>1235</v>
      </c>
      <c r="H669" s="96">
        <f>200+100</f>
        <v>300</v>
      </c>
      <c r="I669" s="65"/>
      <c r="K669" s="166"/>
      <c r="L669" s="157" t="s">
        <v>1183</v>
      </c>
      <c r="M669" s="172">
        <v>110280.0</v>
      </c>
      <c r="N669" s="157"/>
    </row>
    <row r="670">
      <c r="A670" s="120"/>
      <c r="B670" s="120"/>
      <c r="C670" s="120"/>
      <c r="D670" s="120"/>
      <c r="F670" s="59" t="s">
        <v>1236</v>
      </c>
      <c r="G670" s="59" t="s">
        <v>1224</v>
      </c>
      <c r="H670" s="96">
        <v>1000.0</v>
      </c>
      <c r="I670" s="65"/>
      <c r="K670" s="166"/>
      <c r="L670" s="157" t="s">
        <v>1237</v>
      </c>
      <c r="M670" s="172">
        <v>32700.0</v>
      </c>
      <c r="N670" s="157"/>
    </row>
    <row r="671">
      <c r="A671" s="120"/>
      <c r="B671" s="120"/>
      <c r="C671" s="120"/>
      <c r="D671" s="120"/>
      <c r="F671" s="59" t="s">
        <v>1238</v>
      </c>
      <c r="G671" s="59" t="s">
        <v>824</v>
      </c>
      <c r="H671" s="96">
        <v>100.0</v>
      </c>
      <c r="I671" s="65"/>
      <c r="K671" s="166"/>
      <c r="L671" s="157" t="s">
        <v>687</v>
      </c>
      <c r="M671" s="158">
        <f>60000-20000+4000+2000-10000+26000+4000-16000-20000+6000</f>
        <v>36000</v>
      </c>
      <c r="N671" s="157"/>
    </row>
    <row r="672">
      <c r="A672" s="120"/>
      <c r="B672" s="120"/>
      <c r="C672" s="120"/>
      <c r="D672" s="120"/>
      <c r="F672" s="59" t="s">
        <v>1239</v>
      </c>
      <c r="G672" s="59" t="s">
        <v>1216</v>
      </c>
      <c r="H672" s="96">
        <v>1000.0</v>
      </c>
      <c r="I672" s="65"/>
      <c r="K672" s="166"/>
      <c r="L672" s="157" t="s">
        <v>690</v>
      </c>
      <c r="M672" s="158">
        <f>85000+6000+1000+40000-50000+6000+8000+12000+6000+6000-50000</f>
        <v>70000</v>
      </c>
      <c r="N672" s="164"/>
    </row>
    <row r="673">
      <c r="A673" s="120"/>
      <c r="B673" s="120"/>
      <c r="C673" s="120"/>
      <c r="D673" s="120"/>
      <c r="F673" s="69"/>
      <c r="G673" s="69"/>
      <c r="H673" s="109"/>
      <c r="I673" s="69"/>
      <c r="K673" s="166"/>
      <c r="L673" s="157" t="s">
        <v>823</v>
      </c>
      <c r="M673" s="225">
        <f>7000+12000+12000+3000+12000-3000</f>
        <v>43000</v>
      </c>
      <c r="N673" s="164"/>
    </row>
    <row r="674">
      <c r="A674" s="120"/>
      <c r="B674" s="120"/>
      <c r="C674" s="120"/>
      <c r="D674" s="120"/>
      <c r="F674" s="69"/>
      <c r="G674" s="69"/>
      <c r="H674" s="109"/>
      <c r="I674" s="69"/>
      <c r="K674" s="166"/>
      <c r="L674" s="157" t="s">
        <v>825</v>
      </c>
      <c r="M674" s="158">
        <f>15000*2+10000-10000-10000</f>
        <v>20000</v>
      </c>
      <c r="N674" s="157"/>
    </row>
    <row r="675">
      <c r="A675" s="120"/>
      <c r="B675" s="120"/>
      <c r="C675" s="120"/>
      <c r="D675" s="120"/>
      <c r="F675" s="69"/>
      <c r="G675" s="69"/>
      <c r="H675" s="89"/>
      <c r="I675" s="69"/>
      <c r="K675" s="166"/>
      <c r="L675" s="157" t="s">
        <v>698</v>
      </c>
      <c r="M675" s="158">
        <f>45000-10000-10000</f>
        <v>25000</v>
      </c>
      <c r="N675" s="157"/>
    </row>
    <row r="676">
      <c r="A676" s="120"/>
      <c r="B676" s="120"/>
      <c r="C676" s="120"/>
      <c r="D676" s="120"/>
      <c r="F676" s="69"/>
      <c r="G676" s="69"/>
      <c r="H676" s="89"/>
      <c r="I676" s="69"/>
      <c r="K676" s="166"/>
      <c r="L676" s="157" t="s">
        <v>828</v>
      </c>
      <c r="M676" s="158">
        <f>32000+16000-10000</f>
        <v>38000</v>
      </c>
      <c r="N676" s="157"/>
    </row>
    <row r="677">
      <c r="A677" s="120"/>
      <c r="B677" s="120"/>
      <c r="C677" s="120"/>
      <c r="D677" s="120"/>
      <c r="F677" s="69"/>
      <c r="G677" s="69"/>
      <c r="H677" s="89"/>
      <c r="I677" s="69"/>
      <c r="K677" s="166"/>
      <c r="L677" s="157" t="s">
        <v>1008</v>
      </c>
      <c r="M677" s="172">
        <f>100000+50000+252400</f>
        <v>402400</v>
      </c>
      <c r="N677" s="283"/>
    </row>
    <row r="678">
      <c r="A678" s="120"/>
      <c r="B678" s="120"/>
      <c r="C678" s="120"/>
      <c r="D678" s="120"/>
      <c r="F678" s="69"/>
      <c r="G678" s="69"/>
      <c r="H678" s="89"/>
      <c r="I678" s="69"/>
      <c r="K678" s="166"/>
      <c r="L678" s="157" t="s">
        <v>1240</v>
      </c>
      <c r="M678" s="158">
        <v>14000.0</v>
      </c>
      <c r="N678" s="283"/>
    </row>
    <row r="679">
      <c r="A679" s="120"/>
      <c r="B679" s="120"/>
      <c r="C679" s="120"/>
      <c r="D679" s="120"/>
      <c r="F679" s="69"/>
      <c r="G679" s="69"/>
      <c r="H679" s="89"/>
      <c r="I679" s="69"/>
      <c r="K679" s="166"/>
      <c r="L679" s="157" t="s">
        <v>330</v>
      </c>
      <c r="M679" s="158">
        <f>9000+12000-15000</f>
        <v>6000</v>
      </c>
      <c r="N679" s="228"/>
    </row>
    <row r="680">
      <c r="A680" s="120"/>
      <c r="B680" s="120"/>
      <c r="C680" s="120"/>
      <c r="D680" s="120"/>
      <c r="F680" s="69"/>
      <c r="G680" s="69"/>
      <c r="H680" s="89"/>
      <c r="I680" s="69"/>
      <c r="K680" s="166"/>
      <c r="L680" s="157" t="s">
        <v>24</v>
      </c>
      <c r="M680" s="158">
        <v>6000.0</v>
      </c>
      <c r="N680" s="228"/>
    </row>
    <row r="681">
      <c r="A681" s="120"/>
      <c r="B681" s="120"/>
      <c r="C681" s="120"/>
      <c r="D681" s="120"/>
      <c r="F681" s="69"/>
      <c r="G681" s="69"/>
      <c r="H681" s="89"/>
      <c r="I681" s="69"/>
      <c r="K681" s="300"/>
      <c r="L681" s="301" t="s">
        <v>267</v>
      </c>
      <c r="M681" s="302">
        <f>17000+6000-23000</f>
        <v>0</v>
      </c>
      <c r="N681" s="228"/>
    </row>
    <row r="682">
      <c r="A682" s="120"/>
      <c r="B682" s="120"/>
      <c r="C682" s="120"/>
      <c r="D682" s="120"/>
      <c r="F682" s="69"/>
      <c r="G682" s="69"/>
      <c r="H682" s="89"/>
      <c r="I682" s="69"/>
      <c r="K682" s="166"/>
      <c r="L682" s="157" t="s">
        <v>331</v>
      </c>
      <c r="M682" s="158">
        <f>9000+14000-1000-2000+3000-15000</f>
        <v>8000</v>
      </c>
      <c r="N682" s="228"/>
    </row>
    <row r="683">
      <c r="F683" s="69"/>
      <c r="G683" s="69"/>
      <c r="H683" s="89"/>
      <c r="I683" s="69"/>
      <c r="K683" s="166"/>
      <c r="L683" s="157" t="s">
        <v>263</v>
      </c>
      <c r="M683" s="158">
        <v>2500.0</v>
      </c>
      <c r="N683" s="228"/>
    </row>
    <row r="684">
      <c r="F684" s="69"/>
      <c r="G684" s="69"/>
      <c r="H684" s="89"/>
      <c r="I684" s="69"/>
      <c r="K684" s="166"/>
      <c r="L684" s="157" t="s">
        <v>1241</v>
      </c>
      <c r="M684" s="158">
        <v>1800.0</v>
      </c>
      <c r="N684" s="228"/>
    </row>
    <row r="685">
      <c r="F685" s="69"/>
      <c r="G685" s="69"/>
      <c r="H685" s="89"/>
      <c r="I685" s="69"/>
      <c r="K685" s="166"/>
      <c r="L685" s="157" t="s">
        <v>1242</v>
      </c>
      <c r="M685" s="158">
        <v>14500.0</v>
      </c>
      <c r="N685" s="228"/>
    </row>
    <row r="686">
      <c r="F686" s="69"/>
      <c r="G686" s="69"/>
      <c r="H686" s="89"/>
      <c r="I686" s="69"/>
      <c r="K686" s="166"/>
      <c r="L686" s="157" t="s">
        <v>1243</v>
      </c>
      <c r="M686" s="158">
        <v>6000.0</v>
      </c>
      <c r="N686" s="228"/>
    </row>
    <row r="687">
      <c r="F687" s="69"/>
      <c r="G687" s="69"/>
      <c r="H687" s="89"/>
      <c r="I687" s="69"/>
      <c r="K687" s="166" t="s">
        <v>196</v>
      </c>
      <c r="L687" s="157" t="s">
        <v>1232</v>
      </c>
      <c r="M687" s="158">
        <f>3000-3000</f>
        <v>0</v>
      </c>
      <c r="N687" s="228"/>
    </row>
    <row r="688">
      <c r="F688" s="69"/>
      <c r="G688" s="69"/>
      <c r="H688" s="89"/>
      <c r="I688" s="69"/>
      <c r="K688" s="166"/>
      <c r="L688" s="157" t="s">
        <v>345</v>
      </c>
      <c r="M688" s="158">
        <f>1500+5000+2000-5000+15000-8500</f>
        <v>10000</v>
      </c>
      <c r="N688" s="205"/>
    </row>
    <row r="689">
      <c r="F689" s="69"/>
      <c r="G689" s="69"/>
      <c r="H689" s="89"/>
      <c r="I689" s="69"/>
      <c r="K689" s="166"/>
      <c r="L689" s="157" t="s">
        <v>349</v>
      </c>
      <c r="M689" s="158">
        <v>3000.0</v>
      </c>
      <c r="N689" s="205"/>
    </row>
    <row r="690">
      <c r="F690" s="69"/>
      <c r="G690" s="69"/>
      <c r="H690" s="89"/>
      <c r="I690" s="69"/>
      <c r="K690" s="166"/>
      <c r="L690" s="157" t="s">
        <v>1108</v>
      </c>
      <c r="M690" s="158">
        <f>20000+3000-10000+6000-10000</f>
        <v>9000</v>
      </c>
      <c r="N690" s="205"/>
    </row>
    <row r="691">
      <c r="F691" s="69"/>
      <c r="G691" s="69"/>
      <c r="H691" s="89"/>
      <c r="I691" s="69"/>
      <c r="K691" s="166"/>
      <c r="L691" s="64" t="s">
        <v>402</v>
      </c>
      <c r="M691" s="201">
        <f>2*3000+3000</f>
        <v>9000</v>
      </c>
      <c r="N691" s="205"/>
    </row>
    <row r="692">
      <c r="F692" s="69"/>
      <c r="G692" s="69"/>
      <c r="H692" s="89"/>
      <c r="I692" s="69"/>
      <c r="K692" s="94"/>
      <c r="L692" s="64" t="s">
        <v>405</v>
      </c>
      <c r="M692" s="201">
        <f>3000*2+4*2500-10000</f>
        <v>6000</v>
      </c>
      <c r="N692" s="65"/>
    </row>
    <row r="693">
      <c r="F693" s="69"/>
      <c r="G693" s="69"/>
      <c r="H693" s="89"/>
      <c r="I693" s="69"/>
      <c r="K693" s="94"/>
      <c r="L693" s="64" t="s">
        <v>410</v>
      </c>
      <c r="M693" s="292">
        <v>10000.0</v>
      </c>
      <c r="N693" s="65"/>
    </row>
    <row r="694">
      <c r="F694" s="69"/>
      <c r="G694" s="69"/>
      <c r="H694" s="89"/>
      <c r="I694" s="69"/>
      <c r="K694" s="94"/>
      <c r="L694" s="64" t="s">
        <v>416</v>
      </c>
      <c r="M694" s="292">
        <f>10000-5000</f>
        <v>5000</v>
      </c>
      <c r="N694" s="65"/>
    </row>
    <row r="695">
      <c r="F695" s="69"/>
      <c r="G695" s="69"/>
      <c r="H695" s="89"/>
      <c r="I695" s="69"/>
      <c r="K695" s="94"/>
      <c r="L695" s="64" t="s">
        <v>317</v>
      </c>
      <c r="M695" s="201">
        <f>2*4*5000-10000+4000+4500-20000+2500+4500+4500-15500+3300</f>
        <v>17800</v>
      </c>
      <c r="N695" s="65"/>
    </row>
    <row r="696">
      <c r="F696" s="69"/>
      <c r="G696" s="69"/>
      <c r="H696" s="89"/>
      <c r="I696" s="69"/>
      <c r="K696" s="94"/>
      <c r="L696" s="64" t="s">
        <v>1012</v>
      </c>
      <c r="M696" s="293">
        <f>5000+2000</f>
        <v>7000</v>
      </c>
      <c r="N696" s="261"/>
    </row>
    <row r="697">
      <c r="F697" s="69"/>
      <c r="G697" s="69"/>
      <c r="H697" s="89"/>
      <c r="I697" s="69"/>
      <c r="K697" s="163" t="s">
        <v>702</v>
      </c>
      <c r="L697" s="39"/>
      <c r="M697" s="172">
        <f>SUM(M669:M696)</f>
        <v>912980</v>
      </c>
      <c r="N697" s="262"/>
    </row>
    <row r="698">
      <c r="F698" s="69"/>
      <c r="G698" s="69"/>
      <c r="H698" s="89"/>
      <c r="I698" s="69"/>
    </row>
    <row r="699">
      <c r="F699" s="69"/>
      <c r="G699" s="69"/>
      <c r="H699" s="89"/>
      <c r="I699" s="69"/>
    </row>
    <row r="700">
      <c r="F700" s="69"/>
      <c r="G700" s="69"/>
      <c r="H700" s="89"/>
      <c r="I700" s="69"/>
    </row>
    <row r="701">
      <c r="F701" s="69"/>
      <c r="G701" s="69"/>
      <c r="H701" s="89"/>
      <c r="I701" s="69"/>
    </row>
    <row r="702">
      <c r="F702" s="69"/>
      <c r="G702" s="69"/>
      <c r="H702" s="89"/>
      <c r="I702" s="69"/>
    </row>
    <row r="703">
      <c r="A703" s="139">
        <v>45170.0</v>
      </c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9"/>
    </row>
    <row r="704">
      <c r="F704" s="69"/>
      <c r="G704" s="69"/>
      <c r="H704" s="109"/>
      <c r="I704" s="69"/>
    </row>
    <row r="705">
      <c r="A705" s="229" t="s">
        <v>613</v>
      </c>
      <c r="B705" s="34"/>
      <c r="C705" s="34"/>
      <c r="D705" s="39"/>
      <c r="E705" s="46"/>
      <c r="F705" s="229" t="s">
        <v>614</v>
      </c>
      <c r="G705" s="34"/>
      <c r="H705" s="34"/>
      <c r="I705" s="39"/>
      <c r="K705" s="230" t="s">
        <v>1188</v>
      </c>
      <c r="L705" s="34"/>
      <c r="M705" s="34"/>
      <c r="N705" s="39"/>
    </row>
    <row r="706">
      <c r="A706" s="143" t="s">
        <v>7</v>
      </c>
      <c r="B706" s="144" t="s">
        <v>616</v>
      </c>
      <c r="C706" s="144" t="s">
        <v>617</v>
      </c>
      <c r="D706" s="144" t="s">
        <v>618</v>
      </c>
      <c r="E706" s="145"/>
      <c r="F706" s="144" t="s">
        <v>7</v>
      </c>
      <c r="G706" s="144" t="s">
        <v>616</v>
      </c>
      <c r="H706" s="144" t="s">
        <v>617</v>
      </c>
      <c r="I706" s="146" t="s">
        <v>618</v>
      </c>
      <c r="K706" s="215" t="s">
        <v>7</v>
      </c>
      <c r="L706" s="215" t="s">
        <v>616</v>
      </c>
      <c r="M706" s="215" t="s">
        <v>617</v>
      </c>
      <c r="N706" s="215" t="s">
        <v>618</v>
      </c>
    </row>
    <row r="707">
      <c r="F707" s="69"/>
      <c r="G707" s="69"/>
      <c r="H707" s="89"/>
      <c r="I707" s="69"/>
      <c r="K707" s="58" t="s">
        <v>1191</v>
      </c>
      <c r="L707" s="193" t="s">
        <v>625</v>
      </c>
      <c r="M707" s="297">
        <f>6000+50000-50000+40000+45000-85000+31800-35000</f>
        <v>2800</v>
      </c>
      <c r="N707" s="59" t="s">
        <v>1058</v>
      </c>
    </row>
    <row r="708">
      <c r="F708" s="69"/>
      <c r="G708" s="69"/>
      <c r="H708" s="89"/>
      <c r="I708" s="69"/>
      <c r="K708" s="58" t="s">
        <v>1191</v>
      </c>
      <c r="L708" s="193" t="s">
        <v>628</v>
      </c>
      <c r="M708" s="298">
        <f>45000+15000+3000+5000+500+220+1300-15500-500</f>
        <v>54020</v>
      </c>
      <c r="N708" s="59" t="s">
        <v>1194</v>
      </c>
    </row>
    <row r="709">
      <c r="F709" s="69"/>
      <c r="G709" s="69"/>
      <c r="H709" s="89"/>
      <c r="I709" s="69"/>
      <c r="K709" s="58" t="s">
        <v>1191</v>
      </c>
      <c r="L709" s="193" t="s">
        <v>631</v>
      </c>
      <c r="M709" s="298">
        <f>20924</f>
        <v>20924</v>
      </c>
      <c r="N709" s="59" t="s">
        <v>1197</v>
      </c>
    </row>
    <row r="710">
      <c r="F710" s="69"/>
      <c r="G710" s="69"/>
      <c r="H710" s="89"/>
      <c r="I710" s="69"/>
    </row>
    <row r="711">
      <c r="F711" s="69"/>
      <c r="G711" s="69"/>
      <c r="H711" s="89"/>
      <c r="I711" s="69"/>
    </row>
    <row r="712">
      <c r="F712" s="69"/>
      <c r="G712" s="69"/>
      <c r="H712" s="89"/>
      <c r="I712" s="69"/>
      <c r="K712" s="152" t="s">
        <v>1244</v>
      </c>
      <c r="L712" s="34"/>
      <c r="M712" s="34"/>
      <c r="N712" s="39"/>
    </row>
    <row r="713">
      <c r="F713" s="69"/>
      <c r="G713" s="69"/>
      <c r="H713" s="89"/>
      <c r="I713" s="69"/>
      <c r="K713" s="154" t="s">
        <v>232</v>
      </c>
      <c r="L713" s="155" t="s">
        <v>237</v>
      </c>
      <c r="M713" s="155" t="s">
        <v>238</v>
      </c>
      <c r="N713" s="155" t="s">
        <v>239</v>
      </c>
    </row>
    <row r="714">
      <c r="F714" s="69"/>
      <c r="G714" s="69"/>
      <c r="H714" s="69"/>
      <c r="I714" s="69"/>
      <c r="K714" s="156"/>
      <c r="L714" s="178" t="s">
        <v>1207</v>
      </c>
      <c r="M714" s="158">
        <f t="shared" ref="M714:M715" si="8">66500+44500</f>
        <v>111000</v>
      </c>
      <c r="N714" s="159"/>
    </row>
    <row r="715">
      <c r="F715" s="69"/>
      <c r="G715" s="69"/>
      <c r="H715" s="69"/>
      <c r="I715" s="69"/>
      <c r="K715" s="156"/>
      <c r="L715" s="178" t="s">
        <v>1210</v>
      </c>
      <c r="M715" s="158">
        <f t="shared" si="8"/>
        <v>111000</v>
      </c>
      <c r="N715" s="159"/>
    </row>
    <row r="716">
      <c r="F716" s="69"/>
      <c r="G716" s="69"/>
      <c r="H716" s="69"/>
      <c r="I716" s="69"/>
      <c r="K716" s="156" t="s">
        <v>1211</v>
      </c>
      <c r="L716" s="277" t="s">
        <v>1212</v>
      </c>
      <c r="M716" s="158">
        <f>32300+32300-32300</f>
        <v>32300</v>
      </c>
      <c r="N716" s="159"/>
    </row>
    <row r="717">
      <c r="F717" s="69"/>
      <c r="G717" s="69"/>
      <c r="H717" s="69"/>
      <c r="I717" s="69"/>
      <c r="K717" s="156" t="s">
        <v>1211</v>
      </c>
      <c r="L717" s="197" t="s">
        <v>1213</v>
      </c>
      <c r="M717" s="158">
        <f>15550-15550</f>
        <v>0</v>
      </c>
      <c r="N717" s="159"/>
    </row>
    <row r="718">
      <c r="F718" s="69"/>
      <c r="G718" s="69"/>
      <c r="H718" s="69"/>
      <c r="I718" s="69"/>
      <c r="K718" s="156" t="s">
        <v>1211</v>
      </c>
      <c r="L718" s="198" t="s">
        <v>1214</v>
      </c>
      <c r="M718" s="158">
        <f>16550-16550</f>
        <v>0</v>
      </c>
      <c r="N718" s="159"/>
    </row>
    <row r="719">
      <c r="F719" s="69"/>
      <c r="G719" s="69"/>
      <c r="H719" s="69"/>
      <c r="I719" s="69"/>
      <c r="K719" s="156" t="s">
        <v>1211</v>
      </c>
      <c r="L719" s="198" t="s">
        <v>1216</v>
      </c>
      <c r="M719" s="158">
        <f>14700-14700</f>
        <v>0</v>
      </c>
      <c r="N719" s="159"/>
    </row>
    <row r="720">
      <c r="F720" s="69"/>
      <c r="G720" s="69"/>
      <c r="H720" s="69"/>
      <c r="I720" s="69"/>
      <c r="K720" s="156" t="s">
        <v>1211</v>
      </c>
      <c r="L720" s="178" t="s">
        <v>1218</v>
      </c>
      <c r="M720" s="158">
        <f>21000-21000</f>
        <v>0</v>
      </c>
      <c r="N720" s="159"/>
    </row>
    <row r="721">
      <c r="F721" s="69"/>
      <c r="G721" s="69"/>
      <c r="H721" s="69"/>
      <c r="I721" s="69"/>
      <c r="K721" s="156" t="s">
        <v>1211</v>
      </c>
      <c r="L721" s="178" t="s">
        <v>1220</v>
      </c>
      <c r="M721" s="158">
        <f>25500-25500</f>
        <v>0</v>
      </c>
      <c r="N721" s="159"/>
    </row>
    <row r="722">
      <c r="F722" s="69"/>
      <c r="G722" s="69"/>
      <c r="H722" s="69"/>
      <c r="I722" s="69"/>
      <c r="K722" s="156"/>
      <c r="L722" s="178" t="s">
        <v>1223</v>
      </c>
      <c r="M722" s="158">
        <v>1700.0</v>
      </c>
      <c r="N722" s="159"/>
    </row>
    <row r="723">
      <c r="F723" s="69"/>
      <c r="G723" s="69"/>
      <c r="H723" s="69"/>
      <c r="I723" s="69"/>
      <c r="K723" s="156"/>
      <c r="L723" s="178" t="s">
        <v>1224</v>
      </c>
      <c r="M723" s="158">
        <v>3000.0</v>
      </c>
      <c r="N723" s="159"/>
    </row>
    <row r="724">
      <c r="F724" s="69"/>
      <c r="G724" s="69"/>
      <c r="H724" s="69"/>
      <c r="I724" s="69"/>
      <c r="K724" s="156"/>
      <c r="L724" s="178" t="s">
        <v>675</v>
      </c>
      <c r="M724" s="161">
        <v>120.0</v>
      </c>
      <c r="N724" s="159"/>
    </row>
    <row r="725">
      <c r="F725" s="69"/>
      <c r="G725" s="69"/>
      <c r="H725" s="69"/>
      <c r="I725" s="69"/>
      <c r="K725" s="163" t="s">
        <v>1227</v>
      </c>
      <c r="L725" s="39"/>
      <c r="M725" s="172">
        <f>SUM(M714:M724)</f>
        <v>259120</v>
      </c>
      <c r="N725" s="157">
        <v>74944.0</v>
      </c>
    </row>
    <row r="726">
      <c r="F726" s="69"/>
      <c r="G726" s="69"/>
      <c r="H726" s="69"/>
      <c r="I726" s="69"/>
    </row>
    <row r="727">
      <c r="F727" s="69"/>
      <c r="G727" s="69"/>
      <c r="H727" s="69"/>
      <c r="I727" s="69"/>
    </row>
    <row r="728">
      <c r="F728" s="69"/>
      <c r="G728" s="69"/>
      <c r="H728" s="69"/>
      <c r="I728" s="69"/>
      <c r="K728" s="152" t="s">
        <v>1228</v>
      </c>
      <c r="L728" s="34"/>
      <c r="M728" s="34"/>
      <c r="N728" s="39"/>
    </row>
    <row r="729">
      <c r="F729" s="69"/>
      <c r="G729" s="69"/>
      <c r="H729" s="69"/>
      <c r="I729" s="69"/>
      <c r="K729" s="154" t="s">
        <v>232</v>
      </c>
      <c r="L729" s="155" t="s">
        <v>686</v>
      </c>
      <c r="M729" s="155" t="s">
        <v>238</v>
      </c>
      <c r="N729" s="155" t="s">
        <v>239</v>
      </c>
    </row>
    <row r="730">
      <c r="F730" s="69"/>
      <c r="G730" s="69"/>
      <c r="H730" s="69"/>
      <c r="I730" s="69"/>
      <c r="K730" s="166"/>
      <c r="L730" s="247" t="s">
        <v>638</v>
      </c>
      <c r="M730" s="225">
        <f>154500-50000</f>
        <v>104500</v>
      </c>
      <c r="N730" s="178"/>
    </row>
    <row r="731">
      <c r="F731" s="69"/>
      <c r="G731" s="69"/>
      <c r="H731" s="69"/>
      <c r="I731" s="69"/>
      <c r="K731" s="166"/>
      <c r="L731" s="178" t="s">
        <v>852</v>
      </c>
      <c r="M731" s="158">
        <f>30000-10000+22500+57000+474000+80000</f>
        <v>653500</v>
      </c>
      <c r="N731" s="178"/>
    </row>
    <row r="732">
      <c r="F732" s="69"/>
      <c r="G732" s="69"/>
      <c r="H732" s="69"/>
      <c r="I732" s="69"/>
      <c r="K732" s="166"/>
      <c r="L732" s="178" t="s">
        <v>189</v>
      </c>
      <c r="M732" s="158">
        <f>345831+691000-320000+128000</f>
        <v>844831</v>
      </c>
      <c r="N732" s="178"/>
    </row>
    <row r="733">
      <c r="F733" s="219"/>
      <c r="G733" s="219"/>
      <c r="H733" s="219"/>
      <c r="I733" s="219"/>
      <c r="K733" s="166"/>
      <c r="L733" s="178" t="s">
        <v>182</v>
      </c>
      <c r="M733" s="158">
        <v>130000.0</v>
      </c>
      <c r="N733" s="178"/>
    </row>
    <row r="734">
      <c r="F734" s="219"/>
      <c r="G734" s="219"/>
      <c r="H734" s="219"/>
      <c r="I734" s="219"/>
      <c r="K734" s="163" t="s">
        <v>712</v>
      </c>
      <c r="L734" s="39"/>
      <c r="M734" s="172">
        <f>SUM(M730:M732)</f>
        <v>1602831</v>
      </c>
      <c r="N734" s="181"/>
    </row>
    <row r="735">
      <c r="F735" s="219"/>
      <c r="G735" s="219"/>
      <c r="H735" s="219"/>
      <c r="I735" s="219"/>
    </row>
    <row r="737">
      <c r="K737" s="152" t="s">
        <v>1181</v>
      </c>
      <c r="L737" s="34"/>
      <c r="M737" s="34"/>
      <c r="N737" s="39"/>
    </row>
    <row r="738">
      <c r="K738" s="154" t="s">
        <v>7</v>
      </c>
      <c r="L738" s="155" t="s">
        <v>686</v>
      </c>
      <c r="M738" s="155" t="s">
        <v>238</v>
      </c>
      <c r="N738" s="155" t="s">
        <v>239</v>
      </c>
    </row>
    <row r="739">
      <c r="K739" s="166"/>
      <c r="L739" s="157" t="s">
        <v>1183</v>
      </c>
      <c r="M739" s="172">
        <v>110280.0</v>
      </c>
      <c r="N739" s="157"/>
    </row>
    <row r="740">
      <c r="K740" s="166"/>
      <c r="L740" s="157" t="s">
        <v>1237</v>
      </c>
      <c r="M740" s="172">
        <v>32700.0</v>
      </c>
      <c r="N740" s="157"/>
    </row>
    <row r="741">
      <c r="K741" s="166"/>
      <c r="L741" s="157" t="s">
        <v>687</v>
      </c>
      <c r="M741" s="158">
        <f>60000-20000+4000+2000-10000+26000+4000-16000-20000+6000</f>
        <v>36000</v>
      </c>
      <c r="N741" s="157"/>
    </row>
    <row r="742">
      <c r="K742" s="166"/>
      <c r="L742" s="157" t="s">
        <v>690</v>
      </c>
      <c r="M742" s="158">
        <f>85000+6000+1000+40000-50000+6000+8000+12000+6000+6000-50000</f>
        <v>70000</v>
      </c>
      <c r="N742" s="164"/>
    </row>
    <row r="743">
      <c r="K743" s="166"/>
      <c r="L743" s="157" t="s">
        <v>823</v>
      </c>
      <c r="M743" s="225">
        <f>7000+12000+12000+3000+12000-3000</f>
        <v>43000</v>
      </c>
      <c r="N743" s="164"/>
    </row>
    <row r="744">
      <c r="K744" s="166"/>
      <c r="L744" s="157" t="s">
        <v>825</v>
      </c>
      <c r="M744" s="158">
        <f>15000*2+10000-10000-10000</f>
        <v>20000</v>
      </c>
      <c r="N744" s="157"/>
    </row>
    <row r="745">
      <c r="K745" s="166"/>
      <c r="L745" s="157" t="s">
        <v>698</v>
      </c>
      <c r="M745" s="158">
        <f>45000-10000-10000</f>
        <v>25000</v>
      </c>
      <c r="N745" s="157"/>
    </row>
    <row r="746">
      <c r="K746" s="166"/>
      <c r="L746" s="157" t="s">
        <v>828</v>
      </c>
      <c r="M746" s="158">
        <f>32000+16000-10000</f>
        <v>38000</v>
      </c>
      <c r="N746" s="157"/>
    </row>
    <row r="747">
      <c r="K747" s="166"/>
      <c r="L747" s="157" t="s">
        <v>1008</v>
      </c>
      <c r="M747" s="172">
        <f>100000+50000+252400</f>
        <v>402400</v>
      </c>
      <c r="N747" s="283"/>
    </row>
    <row r="748">
      <c r="K748" s="166"/>
      <c r="L748" s="157" t="s">
        <v>1240</v>
      </c>
      <c r="M748" s="158">
        <v>14000.0</v>
      </c>
      <c r="N748" s="283"/>
    </row>
    <row r="749">
      <c r="K749" s="166"/>
      <c r="L749" s="157" t="s">
        <v>330</v>
      </c>
      <c r="M749" s="158">
        <f>9000+12000-15000</f>
        <v>6000</v>
      </c>
      <c r="N749" s="228"/>
    </row>
    <row r="750">
      <c r="K750" s="166"/>
      <c r="L750" s="157" t="s">
        <v>24</v>
      </c>
      <c r="M750" s="158">
        <v>6000.0</v>
      </c>
      <c r="N750" s="228"/>
    </row>
    <row r="751">
      <c r="K751" s="300"/>
      <c r="L751" s="301" t="s">
        <v>267</v>
      </c>
      <c r="M751" s="302">
        <f>17000+6000-23000</f>
        <v>0</v>
      </c>
      <c r="N751" s="228"/>
    </row>
    <row r="752">
      <c r="K752" s="166"/>
      <c r="L752" s="157" t="s">
        <v>331</v>
      </c>
      <c r="M752" s="158">
        <f>9000+14000-1000-2000+3000-15000</f>
        <v>8000</v>
      </c>
      <c r="N752" s="228"/>
    </row>
    <row r="753">
      <c r="K753" s="166"/>
      <c r="L753" s="157" t="s">
        <v>263</v>
      </c>
      <c r="M753" s="158">
        <v>2500.0</v>
      </c>
      <c r="N753" s="228"/>
    </row>
    <row r="754">
      <c r="K754" s="166"/>
      <c r="L754" s="157" t="s">
        <v>1241</v>
      </c>
      <c r="M754" s="158">
        <v>1800.0</v>
      </c>
      <c r="N754" s="228"/>
    </row>
    <row r="755">
      <c r="K755" s="166"/>
      <c r="L755" s="157" t="s">
        <v>1242</v>
      </c>
      <c r="M755" s="158">
        <v>14500.0</v>
      </c>
      <c r="N755" s="228"/>
    </row>
    <row r="756">
      <c r="K756" s="166"/>
      <c r="L756" s="157" t="s">
        <v>1243</v>
      </c>
      <c r="M756" s="158">
        <v>6000.0</v>
      </c>
      <c r="N756" s="228"/>
    </row>
    <row r="757">
      <c r="K757" s="166" t="s">
        <v>196</v>
      </c>
      <c r="L757" s="157" t="s">
        <v>1232</v>
      </c>
      <c r="M757" s="158">
        <f>3000-3000</f>
        <v>0</v>
      </c>
      <c r="N757" s="228"/>
    </row>
    <row r="758">
      <c r="K758" s="166"/>
      <c r="L758" s="157" t="s">
        <v>345</v>
      </c>
      <c r="M758" s="158">
        <f>1500+5000+2000-5000+15000-8500</f>
        <v>10000</v>
      </c>
      <c r="N758" s="205"/>
    </row>
    <row r="759">
      <c r="K759" s="166"/>
      <c r="L759" s="157" t="s">
        <v>349</v>
      </c>
      <c r="M759" s="158">
        <v>3000.0</v>
      </c>
      <c r="N759" s="205"/>
    </row>
    <row r="760">
      <c r="K760" s="166"/>
      <c r="L760" s="157" t="s">
        <v>1108</v>
      </c>
      <c r="M760" s="158">
        <f>20000+3000-10000+6000-10000</f>
        <v>9000</v>
      </c>
      <c r="N760" s="205"/>
    </row>
    <row r="761">
      <c r="K761" s="166"/>
      <c r="L761" s="64" t="s">
        <v>402</v>
      </c>
      <c r="M761" s="201">
        <f>2*3000+3000</f>
        <v>9000</v>
      </c>
      <c r="N761" s="205"/>
    </row>
    <row r="762">
      <c r="K762" s="94"/>
      <c r="L762" s="64" t="s">
        <v>405</v>
      </c>
      <c r="M762" s="201">
        <f>3000*2+4*2500-10000</f>
        <v>6000</v>
      </c>
      <c r="N762" s="65"/>
    </row>
    <row r="763">
      <c r="K763" s="94"/>
      <c r="L763" s="64" t="s">
        <v>410</v>
      </c>
      <c r="M763" s="292">
        <v>10000.0</v>
      </c>
      <c r="N763" s="65"/>
    </row>
    <row r="764">
      <c r="K764" s="94"/>
      <c r="L764" s="64" t="s">
        <v>416</v>
      </c>
      <c r="M764" s="292">
        <f>10000-5000</f>
        <v>5000</v>
      </c>
      <c r="N764" s="65"/>
    </row>
    <row r="765">
      <c r="K765" s="94"/>
      <c r="L765" s="64" t="s">
        <v>317</v>
      </c>
      <c r="M765" s="201">
        <f>2*4*5000-10000+4000+4500-20000+2500+4500+4500-15500+3300</f>
        <v>17800</v>
      </c>
      <c r="N765" s="65"/>
    </row>
    <row r="766">
      <c r="K766" s="94"/>
      <c r="L766" s="64" t="s">
        <v>1012</v>
      </c>
      <c r="M766" s="293">
        <f>5000+2000</f>
        <v>7000</v>
      </c>
      <c r="N766" s="261"/>
    </row>
    <row r="767">
      <c r="K767" s="163" t="s">
        <v>702</v>
      </c>
      <c r="L767" s="39"/>
      <c r="M767" s="172">
        <f>SUM(M739:M766)</f>
        <v>912980</v>
      </c>
      <c r="N767" s="262"/>
    </row>
  </sheetData>
  <mergeCells count="114">
    <mergeCell ref="A5:N5"/>
    <mergeCell ref="A7:D7"/>
    <mergeCell ref="F7:I7"/>
    <mergeCell ref="K7:N7"/>
    <mergeCell ref="K12:N12"/>
    <mergeCell ref="K13:N13"/>
    <mergeCell ref="A22:B22"/>
    <mergeCell ref="K27:L27"/>
    <mergeCell ref="K28:N28"/>
    <mergeCell ref="K29:N29"/>
    <mergeCell ref="K38:L38"/>
    <mergeCell ref="K40:N40"/>
    <mergeCell ref="K49:L49"/>
    <mergeCell ref="F134:G134"/>
    <mergeCell ref="A139:N139"/>
    <mergeCell ref="A141:D141"/>
    <mergeCell ref="F141:I141"/>
    <mergeCell ref="K141:N141"/>
    <mergeCell ref="K146:N146"/>
    <mergeCell ref="K147:N147"/>
    <mergeCell ref="A158:B158"/>
    <mergeCell ref="K160:L160"/>
    <mergeCell ref="K162:N162"/>
    <mergeCell ref="K180:L180"/>
    <mergeCell ref="K183:N183"/>
    <mergeCell ref="K193:L193"/>
    <mergeCell ref="F221:G221"/>
    <mergeCell ref="A224:N224"/>
    <mergeCell ref="A226:D226"/>
    <mergeCell ref="F226:I226"/>
    <mergeCell ref="K226:N226"/>
    <mergeCell ref="K232:N232"/>
    <mergeCell ref="A234:B234"/>
    <mergeCell ref="O236:Q236"/>
    <mergeCell ref="K245:N245"/>
    <mergeCell ref="K243:L243"/>
    <mergeCell ref="K269:L269"/>
    <mergeCell ref="K271:N271"/>
    <mergeCell ref="F281:G281"/>
    <mergeCell ref="K281:L281"/>
    <mergeCell ref="A288:N288"/>
    <mergeCell ref="A290:D290"/>
    <mergeCell ref="F290:I290"/>
    <mergeCell ref="K290:N290"/>
    <mergeCell ref="K296:N296"/>
    <mergeCell ref="A300:B300"/>
    <mergeCell ref="O300:Q300"/>
    <mergeCell ref="K309:L309"/>
    <mergeCell ref="K311:N311"/>
    <mergeCell ref="K642:N642"/>
    <mergeCell ref="K655:L655"/>
    <mergeCell ref="K658:N658"/>
    <mergeCell ref="K664:L664"/>
    <mergeCell ref="K667:N667"/>
    <mergeCell ref="K697:L697"/>
    <mergeCell ref="A703:N703"/>
    <mergeCell ref="K734:L734"/>
    <mergeCell ref="K767:L767"/>
    <mergeCell ref="A705:D705"/>
    <mergeCell ref="F705:I705"/>
    <mergeCell ref="K705:N705"/>
    <mergeCell ref="K712:N712"/>
    <mergeCell ref="K725:L725"/>
    <mergeCell ref="K728:N728"/>
    <mergeCell ref="K737:N737"/>
    <mergeCell ref="K319:L319"/>
    <mergeCell ref="K321:N321"/>
    <mergeCell ref="K333:L333"/>
    <mergeCell ref="K335:N335"/>
    <mergeCell ref="F355:G355"/>
    <mergeCell ref="K384:L384"/>
    <mergeCell ref="A392:N392"/>
    <mergeCell ref="A394:D394"/>
    <mergeCell ref="F394:I394"/>
    <mergeCell ref="K394:N394"/>
    <mergeCell ref="K401:N401"/>
    <mergeCell ref="O405:Q405"/>
    <mergeCell ref="K414:L414"/>
    <mergeCell ref="K416:N416"/>
    <mergeCell ref="I425:I429"/>
    <mergeCell ref="K425:L425"/>
    <mergeCell ref="K428:N428"/>
    <mergeCell ref="K467:L467"/>
    <mergeCell ref="A474:N474"/>
    <mergeCell ref="A476:D476"/>
    <mergeCell ref="F476:I476"/>
    <mergeCell ref="K476:N476"/>
    <mergeCell ref="K483:N483"/>
    <mergeCell ref="K496:L496"/>
    <mergeCell ref="K499:N499"/>
    <mergeCell ref="K508:L508"/>
    <mergeCell ref="K511:N511"/>
    <mergeCell ref="K541:L541"/>
    <mergeCell ref="K544:N544"/>
    <mergeCell ref="K551:N551"/>
    <mergeCell ref="A562:N562"/>
    <mergeCell ref="A564:D564"/>
    <mergeCell ref="F564:I564"/>
    <mergeCell ref="K564:N564"/>
    <mergeCell ref="P564:Q564"/>
    <mergeCell ref="K571:N571"/>
    <mergeCell ref="A572:B572"/>
    <mergeCell ref="K584:L584"/>
    <mergeCell ref="K587:N587"/>
    <mergeCell ref="K596:L596"/>
    <mergeCell ref="K599:N599"/>
    <mergeCell ref="F603:G603"/>
    <mergeCell ref="K621:L621"/>
    <mergeCell ref="K624:N624"/>
    <mergeCell ref="K628:L628"/>
    <mergeCell ref="A633:N633"/>
    <mergeCell ref="A635:D635"/>
    <mergeCell ref="F635:I635"/>
    <mergeCell ref="K635:N6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29.88"/>
    <col customWidth="1" min="4" max="4" width="12.75"/>
    <col customWidth="1" min="5" max="5" width="18.0"/>
    <col customWidth="1" min="6" max="6" width="13.5"/>
    <col customWidth="1" min="7" max="7" width="33.75"/>
    <col customWidth="1" min="8" max="8" width="10.88"/>
    <col customWidth="1" min="12" max="12" width="12.75"/>
  </cols>
  <sheetData>
    <row r="1">
      <c r="A1" s="2"/>
      <c r="B1" s="2"/>
      <c r="C1" s="2"/>
      <c r="D1" s="2"/>
      <c r="E1" s="2"/>
      <c r="F1" s="2"/>
      <c r="G1" s="2"/>
      <c r="H1" s="2"/>
    </row>
    <row r="2">
      <c r="A2" s="2"/>
      <c r="B2" s="2"/>
      <c r="C2" s="2"/>
      <c r="D2" s="2"/>
      <c r="E2" s="2"/>
      <c r="F2" s="2"/>
      <c r="G2" s="2"/>
      <c r="H2" s="2"/>
    </row>
    <row r="3">
      <c r="A3" s="2"/>
      <c r="B3" s="2"/>
      <c r="C3" s="2"/>
      <c r="D3" s="2"/>
      <c r="E3" s="2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</row>
    <row r="5">
      <c r="A5" s="2"/>
      <c r="B5" s="2"/>
      <c r="C5" s="2"/>
      <c r="D5" s="2"/>
      <c r="E5" s="2"/>
      <c r="F5" s="2"/>
      <c r="G5" s="2"/>
      <c r="H5" s="2"/>
    </row>
    <row r="6">
      <c r="A6" s="303" t="s">
        <v>1245</v>
      </c>
    </row>
    <row r="7">
      <c r="A7" s="304" t="s">
        <v>4</v>
      </c>
    </row>
    <row r="8">
      <c r="A8" s="2"/>
      <c r="B8" s="2"/>
      <c r="C8" s="2"/>
      <c r="D8" s="2"/>
      <c r="E8" s="2"/>
      <c r="F8" s="2"/>
      <c r="G8" s="2"/>
      <c r="H8" s="2"/>
    </row>
    <row r="9">
      <c r="A9" s="305">
        <v>44927.0</v>
      </c>
      <c r="B9" s="34"/>
      <c r="C9" s="34"/>
      <c r="D9" s="34"/>
      <c r="E9" s="34"/>
      <c r="F9" s="34"/>
      <c r="G9" s="34"/>
      <c r="H9" s="39"/>
    </row>
    <row r="10">
      <c r="A10" s="56" t="s">
        <v>7</v>
      </c>
      <c r="B10" s="57" t="s">
        <v>1246</v>
      </c>
      <c r="C10" s="57" t="s">
        <v>1247</v>
      </c>
      <c r="D10" s="57" t="s">
        <v>1248</v>
      </c>
      <c r="E10" s="57" t="s">
        <v>1249</v>
      </c>
      <c r="F10" s="57" t="s">
        <v>1250</v>
      </c>
      <c r="G10" s="57" t="s">
        <v>1251</v>
      </c>
      <c r="H10" s="57" t="s">
        <v>618</v>
      </c>
    </row>
    <row r="11">
      <c r="A11" s="59" t="s">
        <v>23</v>
      </c>
      <c r="B11" s="59" t="s">
        <v>25</v>
      </c>
      <c r="C11" s="59" t="s">
        <v>290</v>
      </c>
      <c r="D11" s="281">
        <f>1.5*3*3000</f>
        <v>13500</v>
      </c>
      <c r="E11" s="88"/>
      <c r="F11" s="281">
        <f t="shared" ref="F11:F20" si="1">D11-E11</f>
        <v>13500</v>
      </c>
      <c r="G11" s="65"/>
      <c r="H11" s="65"/>
    </row>
    <row r="12">
      <c r="A12" s="59"/>
      <c r="B12" s="59"/>
      <c r="C12" s="59" t="s">
        <v>823</v>
      </c>
      <c r="D12" s="281">
        <f>1.5*2*3000+3000</f>
        <v>12000</v>
      </c>
      <c r="E12" s="273">
        <v>5000.0</v>
      </c>
      <c r="F12" s="281">
        <f t="shared" si="1"/>
        <v>7000</v>
      </c>
      <c r="G12" s="65"/>
      <c r="H12" s="65"/>
    </row>
    <row r="13">
      <c r="A13" s="59" t="s">
        <v>23</v>
      </c>
      <c r="B13" s="59" t="s">
        <v>28</v>
      </c>
      <c r="C13" s="59" t="s">
        <v>290</v>
      </c>
      <c r="D13" s="281">
        <f>1*4*3000+3000</f>
        <v>15000</v>
      </c>
      <c r="E13" s="88"/>
      <c r="F13" s="281">
        <f t="shared" si="1"/>
        <v>15000</v>
      </c>
      <c r="G13" s="65"/>
      <c r="H13" s="65"/>
    </row>
    <row r="14">
      <c r="A14" s="59" t="s">
        <v>32</v>
      </c>
      <c r="B14" s="59" t="s">
        <v>31</v>
      </c>
      <c r="C14" s="59" t="s">
        <v>1252</v>
      </c>
      <c r="D14" s="274">
        <v>32000.0</v>
      </c>
      <c r="E14" s="88"/>
      <c r="F14" s="281">
        <f t="shared" si="1"/>
        <v>32000</v>
      </c>
      <c r="G14" s="65"/>
      <c r="H14" s="65"/>
    </row>
    <row r="15">
      <c r="A15" s="65"/>
      <c r="B15" s="65"/>
      <c r="C15" s="59" t="s">
        <v>348</v>
      </c>
      <c r="D15" s="274">
        <v>4000.0</v>
      </c>
      <c r="E15" s="273">
        <v>4000.0</v>
      </c>
      <c r="F15" s="281">
        <f t="shared" si="1"/>
        <v>0</v>
      </c>
      <c r="G15" s="65"/>
      <c r="H15" s="65"/>
    </row>
    <row r="16">
      <c r="A16" s="65"/>
      <c r="B16" s="65"/>
      <c r="C16" s="59" t="s">
        <v>290</v>
      </c>
      <c r="D16" s="274">
        <f>4*2*3000</f>
        <v>24000</v>
      </c>
      <c r="E16" s="88"/>
      <c r="F16" s="281">
        <f t="shared" si="1"/>
        <v>24000</v>
      </c>
      <c r="G16" s="65"/>
      <c r="H16" s="65"/>
    </row>
    <row r="17">
      <c r="A17" s="59" t="s">
        <v>32</v>
      </c>
      <c r="B17" s="59" t="s">
        <v>33</v>
      </c>
      <c r="C17" s="59" t="s">
        <v>823</v>
      </c>
      <c r="D17" s="274">
        <v>12000.0</v>
      </c>
      <c r="E17" s="88"/>
      <c r="F17" s="281">
        <f t="shared" si="1"/>
        <v>12000</v>
      </c>
      <c r="G17" s="65"/>
      <c r="H17" s="65"/>
    </row>
    <row r="18">
      <c r="A18" s="65"/>
      <c r="B18" s="65"/>
      <c r="C18" s="59" t="s">
        <v>292</v>
      </c>
      <c r="D18" s="274">
        <v>9000.0</v>
      </c>
      <c r="E18" s="273">
        <v>9000.0</v>
      </c>
      <c r="F18" s="281">
        <f t="shared" si="1"/>
        <v>0</v>
      </c>
      <c r="G18" s="65"/>
      <c r="H18" s="65"/>
    </row>
    <row r="19">
      <c r="A19" s="59" t="s">
        <v>34</v>
      </c>
      <c r="B19" s="59" t="s">
        <v>35</v>
      </c>
      <c r="C19" s="59" t="s">
        <v>290</v>
      </c>
      <c r="D19" s="281">
        <f>2500*3</f>
        <v>7500</v>
      </c>
      <c r="E19" s="88"/>
      <c r="F19" s="281">
        <f t="shared" si="1"/>
        <v>7500</v>
      </c>
      <c r="G19" s="65"/>
      <c r="H19" s="65"/>
    </row>
    <row r="20">
      <c r="A20" s="59" t="s">
        <v>39</v>
      </c>
      <c r="B20" s="59" t="s">
        <v>41</v>
      </c>
      <c r="C20" s="59" t="s">
        <v>290</v>
      </c>
      <c r="D20" s="274">
        <v>2500.0</v>
      </c>
      <c r="E20" s="88"/>
      <c r="F20" s="281">
        <f t="shared" si="1"/>
        <v>2500</v>
      </c>
      <c r="G20" s="65"/>
      <c r="H20" s="65"/>
    </row>
    <row r="21">
      <c r="A21" s="306" t="s">
        <v>840</v>
      </c>
      <c r="B21" s="34"/>
      <c r="C21" s="34"/>
      <c r="D21" s="34"/>
      <c r="E21" s="39"/>
      <c r="F21" s="307">
        <f>SUM(F11:F20)</f>
        <v>113500</v>
      </c>
      <c r="G21" s="76"/>
      <c r="H21" s="76"/>
    </row>
    <row r="22">
      <c r="A22" s="69"/>
      <c r="B22" s="69"/>
      <c r="C22" s="69"/>
      <c r="D22" s="89"/>
      <c r="E22" s="69"/>
      <c r="F22" s="89"/>
      <c r="G22" s="69"/>
      <c r="H22" s="69"/>
    </row>
    <row r="23">
      <c r="A23" s="69"/>
      <c r="B23" s="69"/>
      <c r="C23" s="69"/>
      <c r="D23" s="89"/>
      <c r="E23" s="69"/>
      <c r="F23" s="89"/>
      <c r="G23" s="69"/>
      <c r="H23" s="69"/>
    </row>
    <row r="24">
      <c r="A24" s="305">
        <v>44958.0</v>
      </c>
      <c r="B24" s="34"/>
      <c r="C24" s="34"/>
      <c r="D24" s="34"/>
      <c r="E24" s="34"/>
      <c r="F24" s="34"/>
      <c r="G24" s="34"/>
      <c r="H24" s="39"/>
      <c r="J24" s="308" t="s">
        <v>1253</v>
      </c>
      <c r="K24" s="34"/>
      <c r="L24" s="39"/>
    </row>
    <row r="25">
      <c r="A25" s="309" t="s">
        <v>7</v>
      </c>
      <c r="B25" s="309" t="s">
        <v>1246</v>
      </c>
      <c r="C25" s="309" t="s">
        <v>1247</v>
      </c>
      <c r="D25" s="309" t="s">
        <v>1248</v>
      </c>
      <c r="E25" s="309" t="s">
        <v>1249</v>
      </c>
      <c r="F25" s="309" t="s">
        <v>1250</v>
      </c>
      <c r="G25" s="309" t="s">
        <v>1251</v>
      </c>
      <c r="H25" s="309" t="s">
        <v>618</v>
      </c>
      <c r="J25" s="310" t="s">
        <v>7</v>
      </c>
      <c r="K25" s="310" t="s">
        <v>1254</v>
      </c>
      <c r="L25" s="107"/>
    </row>
    <row r="26">
      <c r="A26" s="59" t="s">
        <v>46</v>
      </c>
      <c r="B26" s="59" t="s">
        <v>47</v>
      </c>
      <c r="C26" s="59" t="s">
        <v>298</v>
      </c>
      <c r="D26" s="273">
        <v>3000.0</v>
      </c>
      <c r="E26" s="311"/>
      <c r="F26" s="88">
        <f t="shared" ref="F26:F68" si="2">D26-E26</f>
        <v>3000</v>
      </c>
      <c r="G26" s="59" t="s">
        <v>24</v>
      </c>
      <c r="H26" s="65"/>
      <c r="J26" s="310" t="s">
        <v>46</v>
      </c>
      <c r="K26" s="312">
        <v>3000.0</v>
      </c>
      <c r="L26" s="107"/>
    </row>
    <row r="27">
      <c r="A27" s="65"/>
      <c r="B27" s="65"/>
      <c r="C27" s="59" t="s">
        <v>335</v>
      </c>
      <c r="D27" s="273">
        <v>6000.0</v>
      </c>
      <c r="E27" s="313">
        <v>6000.0</v>
      </c>
      <c r="F27" s="88">
        <f t="shared" si="2"/>
        <v>0</v>
      </c>
      <c r="G27" s="65"/>
      <c r="H27" s="65"/>
      <c r="J27" s="310" t="s">
        <v>48</v>
      </c>
      <c r="K27" s="312">
        <v>5000.0</v>
      </c>
      <c r="L27" s="107"/>
    </row>
    <row r="28">
      <c r="A28" s="65"/>
      <c r="B28" s="65"/>
      <c r="C28" s="59" t="s">
        <v>1255</v>
      </c>
      <c r="D28" s="273">
        <v>12000.0</v>
      </c>
      <c r="E28" s="311"/>
      <c r="F28" s="88">
        <f t="shared" si="2"/>
        <v>12000</v>
      </c>
      <c r="G28" s="65"/>
      <c r="H28" s="65"/>
      <c r="J28" s="310" t="s">
        <v>51</v>
      </c>
      <c r="K28" s="312">
        <v>36000.0</v>
      </c>
      <c r="L28" s="107"/>
    </row>
    <row r="29">
      <c r="A29" s="65"/>
      <c r="B29" s="65"/>
      <c r="C29" s="59" t="s">
        <v>317</v>
      </c>
      <c r="D29" s="273">
        <v>4000.0</v>
      </c>
      <c r="E29" s="313">
        <v>4000.0</v>
      </c>
      <c r="F29" s="88">
        <f t="shared" si="2"/>
        <v>0</v>
      </c>
      <c r="G29" s="65"/>
      <c r="H29" s="65"/>
      <c r="J29" s="310" t="s">
        <v>51</v>
      </c>
      <c r="K29" s="312">
        <v>3000.0</v>
      </c>
      <c r="L29" s="107"/>
    </row>
    <row r="30">
      <c r="A30" s="59" t="s">
        <v>48</v>
      </c>
      <c r="B30" s="59" t="s">
        <v>50</v>
      </c>
      <c r="C30" s="59" t="s">
        <v>290</v>
      </c>
      <c r="D30" s="88">
        <f>2*1*2500</f>
        <v>5000</v>
      </c>
      <c r="E30" s="311"/>
      <c r="F30" s="88">
        <f t="shared" si="2"/>
        <v>5000</v>
      </c>
      <c r="G30" s="59" t="s">
        <v>49</v>
      </c>
      <c r="H30" s="65"/>
      <c r="J30" s="310" t="s">
        <v>54</v>
      </c>
      <c r="K30" s="312">
        <v>24000.0</v>
      </c>
      <c r="L30" s="107"/>
    </row>
    <row r="31">
      <c r="A31" s="65"/>
      <c r="B31" s="65"/>
      <c r="C31" s="59" t="s">
        <v>317</v>
      </c>
      <c r="D31" s="273">
        <v>4000.0</v>
      </c>
      <c r="E31" s="313">
        <v>4000.0</v>
      </c>
      <c r="F31" s="88">
        <f t="shared" si="2"/>
        <v>0</v>
      </c>
      <c r="G31" s="65"/>
      <c r="H31" s="65"/>
      <c r="J31" s="310" t="s">
        <v>59</v>
      </c>
      <c r="K31" s="312">
        <v>2500.0</v>
      </c>
      <c r="L31" s="107"/>
    </row>
    <row r="32">
      <c r="A32" s="59" t="s">
        <v>51</v>
      </c>
      <c r="B32" s="59" t="s">
        <v>45</v>
      </c>
      <c r="C32" s="59" t="s">
        <v>289</v>
      </c>
      <c r="D32" s="273">
        <v>16000.0</v>
      </c>
      <c r="E32" s="311"/>
      <c r="F32" s="88">
        <f t="shared" si="2"/>
        <v>16000</v>
      </c>
      <c r="G32" s="65"/>
      <c r="H32" s="65"/>
      <c r="J32" s="310" t="s">
        <v>61</v>
      </c>
      <c r="K32" s="312">
        <v>9000.0</v>
      </c>
      <c r="L32" s="107"/>
    </row>
    <row r="33">
      <c r="A33" s="65"/>
      <c r="B33" s="65"/>
      <c r="C33" s="59" t="s">
        <v>298</v>
      </c>
      <c r="D33" s="88">
        <f>4*3*3000</f>
        <v>36000</v>
      </c>
      <c r="E33" s="311"/>
      <c r="F33" s="88">
        <f t="shared" si="2"/>
        <v>36000</v>
      </c>
      <c r="G33" s="65"/>
      <c r="H33" s="65"/>
      <c r="J33" s="310" t="s">
        <v>63</v>
      </c>
      <c r="K33" s="312">
        <v>9000.0</v>
      </c>
      <c r="L33" s="107"/>
    </row>
    <row r="34">
      <c r="A34" s="59" t="s">
        <v>51</v>
      </c>
      <c r="B34" s="59" t="s">
        <v>53</v>
      </c>
      <c r="C34" s="59" t="s">
        <v>335</v>
      </c>
      <c r="D34" s="88">
        <f>2*3000</f>
        <v>6000</v>
      </c>
      <c r="E34" s="313">
        <v>6000.0</v>
      </c>
      <c r="F34" s="88">
        <f t="shared" si="2"/>
        <v>0</v>
      </c>
      <c r="G34" s="59" t="s">
        <v>1256</v>
      </c>
      <c r="H34" s="65"/>
      <c r="J34" s="310" t="s">
        <v>63</v>
      </c>
      <c r="K34" s="312">
        <v>2500.0</v>
      </c>
      <c r="L34" s="107"/>
    </row>
    <row r="35">
      <c r="A35" s="65"/>
      <c r="B35" s="65"/>
      <c r="C35" s="59" t="s">
        <v>298</v>
      </c>
      <c r="D35" s="273">
        <v>3000.0</v>
      </c>
      <c r="E35" s="311"/>
      <c r="F35" s="88">
        <f t="shared" si="2"/>
        <v>3000</v>
      </c>
      <c r="G35" s="65"/>
      <c r="H35" s="65"/>
      <c r="J35" s="310" t="s">
        <v>364</v>
      </c>
      <c r="K35" s="312">
        <v>12000.0</v>
      </c>
      <c r="L35" s="107"/>
    </row>
    <row r="36">
      <c r="A36" s="65"/>
      <c r="B36" s="65"/>
      <c r="C36" s="59" t="s">
        <v>330</v>
      </c>
      <c r="D36" s="96">
        <v>3000.0</v>
      </c>
      <c r="E36" s="311"/>
      <c r="F36" s="88">
        <f t="shared" si="2"/>
        <v>3000</v>
      </c>
      <c r="G36" s="65"/>
      <c r="H36" s="65"/>
      <c r="J36" s="310" t="s">
        <v>76</v>
      </c>
      <c r="K36" s="312">
        <v>12000.0</v>
      </c>
      <c r="L36" s="107"/>
    </row>
    <row r="37">
      <c r="A37" s="65"/>
      <c r="B37" s="65"/>
      <c r="C37" s="59" t="s">
        <v>331</v>
      </c>
      <c r="D37" s="96">
        <v>3000.0</v>
      </c>
      <c r="E37" s="311"/>
      <c r="F37" s="88">
        <f t="shared" si="2"/>
        <v>3000</v>
      </c>
      <c r="G37" s="65"/>
      <c r="H37" s="65"/>
      <c r="J37" s="314"/>
      <c r="K37" s="315">
        <f>SUM(K26:K36)</f>
        <v>118000</v>
      </c>
      <c r="L37" s="107"/>
    </row>
    <row r="38">
      <c r="A38" s="65"/>
      <c r="B38" s="65"/>
      <c r="C38" s="59" t="s">
        <v>332</v>
      </c>
      <c r="D38" s="96">
        <v>5000.0</v>
      </c>
      <c r="E38" s="313">
        <v>5000.0</v>
      </c>
      <c r="F38" s="88">
        <f t="shared" si="2"/>
        <v>0</v>
      </c>
      <c r="G38" s="65"/>
      <c r="H38" s="65"/>
      <c r="J38" s="316">
        <v>0.6</v>
      </c>
      <c r="K38" s="315">
        <f>K37*60%</f>
        <v>70800</v>
      </c>
      <c r="L38" s="105" t="s">
        <v>1257</v>
      </c>
      <c r="M38" s="41" t="s">
        <v>398</v>
      </c>
    </row>
    <row r="39">
      <c r="A39" s="65"/>
      <c r="B39" s="65"/>
      <c r="C39" s="59" t="s">
        <v>333</v>
      </c>
      <c r="D39" s="96">
        <v>4000.0</v>
      </c>
      <c r="E39" s="313">
        <v>4000.0</v>
      </c>
      <c r="F39" s="88">
        <f t="shared" si="2"/>
        <v>0</v>
      </c>
      <c r="G39" s="65"/>
      <c r="H39" s="65"/>
      <c r="J39" s="316">
        <v>0.4</v>
      </c>
      <c r="K39" s="315">
        <f>K37*40%</f>
        <v>47200</v>
      </c>
      <c r="L39" s="105" t="s">
        <v>1258</v>
      </c>
    </row>
    <row r="40">
      <c r="A40" s="65"/>
      <c r="B40" s="65"/>
      <c r="C40" s="59" t="s">
        <v>334</v>
      </c>
      <c r="D40" s="96">
        <v>4000.0</v>
      </c>
      <c r="E40" s="311"/>
      <c r="F40" s="88">
        <f t="shared" si="2"/>
        <v>4000</v>
      </c>
      <c r="G40" s="65"/>
      <c r="H40" s="65"/>
      <c r="J40" s="317"/>
      <c r="K40" s="318"/>
    </row>
    <row r="41">
      <c r="A41" s="65"/>
      <c r="B41" s="65"/>
      <c r="C41" s="59" t="s">
        <v>338</v>
      </c>
      <c r="D41" s="97">
        <f>3*1*800</f>
        <v>2400</v>
      </c>
      <c r="E41" s="313">
        <v>2400.0</v>
      </c>
      <c r="F41" s="88">
        <f t="shared" si="2"/>
        <v>0</v>
      </c>
      <c r="G41" s="65"/>
      <c r="H41" s="65"/>
      <c r="J41" s="317"/>
      <c r="K41" s="318"/>
    </row>
    <row r="42">
      <c r="A42" s="59" t="s">
        <v>54</v>
      </c>
      <c r="B42" s="59" t="s">
        <v>56</v>
      </c>
      <c r="C42" s="59" t="s">
        <v>330</v>
      </c>
      <c r="D42" s="97">
        <f t="shared" ref="D42:D43" si="3">2*1*3000</f>
        <v>6000</v>
      </c>
      <c r="E42" s="311"/>
      <c r="F42" s="88">
        <f t="shared" si="2"/>
        <v>6000</v>
      </c>
      <c r="G42" s="59" t="s">
        <v>1256</v>
      </c>
      <c r="H42" s="65"/>
      <c r="J42" s="317"/>
      <c r="K42" s="318"/>
    </row>
    <row r="43">
      <c r="A43" s="65"/>
      <c r="B43" s="65"/>
      <c r="C43" s="59" t="s">
        <v>331</v>
      </c>
      <c r="D43" s="97">
        <f t="shared" si="3"/>
        <v>6000</v>
      </c>
      <c r="E43" s="311"/>
      <c r="F43" s="88">
        <f t="shared" si="2"/>
        <v>6000</v>
      </c>
      <c r="G43" s="65"/>
      <c r="H43" s="65"/>
    </row>
    <row r="44">
      <c r="A44" s="65"/>
      <c r="B44" s="65"/>
      <c r="C44" s="59" t="s">
        <v>341</v>
      </c>
      <c r="D44" s="96">
        <v>23000.0</v>
      </c>
      <c r="E44" s="313">
        <v>23000.0</v>
      </c>
      <c r="F44" s="88">
        <f t="shared" si="2"/>
        <v>0</v>
      </c>
      <c r="G44" s="65"/>
      <c r="H44" s="65"/>
    </row>
    <row r="45">
      <c r="A45" s="65"/>
      <c r="B45" s="65"/>
      <c r="C45" s="59" t="s">
        <v>338</v>
      </c>
      <c r="D45" s="97">
        <f>3*2*800</f>
        <v>4800</v>
      </c>
      <c r="E45" s="313">
        <v>4800.0</v>
      </c>
      <c r="F45" s="88">
        <f t="shared" si="2"/>
        <v>0</v>
      </c>
      <c r="G45" s="65"/>
      <c r="H45" s="65"/>
    </row>
    <row r="46">
      <c r="A46" s="65"/>
      <c r="B46" s="65"/>
      <c r="C46" s="59" t="s">
        <v>298</v>
      </c>
      <c r="D46" s="97">
        <f>4*2*3000</f>
        <v>24000</v>
      </c>
      <c r="E46" s="311"/>
      <c r="F46" s="88">
        <f t="shared" si="2"/>
        <v>24000</v>
      </c>
      <c r="G46" s="65"/>
      <c r="H46" s="65"/>
    </row>
    <row r="47">
      <c r="A47" s="65"/>
      <c r="B47" s="65"/>
      <c r="C47" s="59" t="s">
        <v>336</v>
      </c>
      <c r="D47" s="97">
        <f>2*1*6000</f>
        <v>12000</v>
      </c>
      <c r="E47" s="313">
        <v>12000.0</v>
      </c>
      <c r="F47" s="88">
        <f t="shared" si="2"/>
        <v>0</v>
      </c>
      <c r="G47" s="65"/>
      <c r="H47" s="65"/>
    </row>
    <row r="48">
      <c r="A48" s="65"/>
      <c r="B48" s="65"/>
      <c r="C48" s="59" t="s">
        <v>344</v>
      </c>
      <c r="D48" s="97">
        <f>10*1*300</f>
        <v>3000</v>
      </c>
      <c r="E48" s="313">
        <v>3000.0</v>
      </c>
      <c r="F48" s="88">
        <f t="shared" si="2"/>
        <v>0</v>
      </c>
      <c r="G48" s="65"/>
      <c r="H48" s="65"/>
    </row>
    <row r="49">
      <c r="A49" s="65"/>
      <c r="B49" s="65"/>
      <c r="C49" s="59" t="s">
        <v>345</v>
      </c>
      <c r="D49" s="96">
        <v>5000.0</v>
      </c>
      <c r="E49" s="311"/>
      <c r="F49" s="88">
        <f t="shared" si="2"/>
        <v>5000</v>
      </c>
      <c r="G49" s="65"/>
      <c r="H49" s="65"/>
    </row>
    <row r="50">
      <c r="A50" s="59" t="s">
        <v>54</v>
      </c>
      <c r="B50" s="59" t="s">
        <v>58</v>
      </c>
      <c r="C50" s="59" t="s">
        <v>348</v>
      </c>
      <c r="D50" s="96">
        <v>2000.0</v>
      </c>
      <c r="E50" s="313">
        <v>2000.0</v>
      </c>
      <c r="F50" s="88">
        <f t="shared" si="2"/>
        <v>0</v>
      </c>
      <c r="G50" s="59" t="s">
        <v>110</v>
      </c>
      <c r="H50" s="65"/>
    </row>
    <row r="51">
      <c r="A51" s="65"/>
      <c r="B51" s="65"/>
      <c r="C51" s="59" t="s">
        <v>349</v>
      </c>
      <c r="D51" s="96">
        <v>1000.0</v>
      </c>
      <c r="E51" s="311"/>
      <c r="F51" s="88">
        <f t="shared" si="2"/>
        <v>1000</v>
      </c>
      <c r="G51" s="65"/>
      <c r="H51" s="65"/>
    </row>
    <row r="52">
      <c r="A52" s="59" t="s">
        <v>59</v>
      </c>
      <c r="B52" s="186" t="s">
        <v>60</v>
      </c>
      <c r="C52" s="59" t="s">
        <v>298</v>
      </c>
      <c r="D52" s="96">
        <v>2500.0</v>
      </c>
      <c r="E52" s="311"/>
      <c r="F52" s="88">
        <f t="shared" si="2"/>
        <v>2500</v>
      </c>
      <c r="G52" s="59" t="s">
        <v>110</v>
      </c>
      <c r="H52" s="65"/>
    </row>
    <row r="53">
      <c r="A53" s="65"/>
      <c r="B53" s="65"/>
      <c r="C53" s="186" t="s">
        <v>349</v>
      </c>
      <c r="D53" s="96">
        <v>1000.0</v>
      </c>
      <c r="E53" s="311"/>
      <c r="F53" s="88">
        <f t="shared" si="2"/>
        <v>1000</v>
      </c>
      <c r="G53" s="65"/>
      <c r="H53" s="65"/>
    </row>
    <row r="54">
      <c r="A54" s="59" t="s">
        <v>61</v>
      </c>
      <c r="B54" s="59" t="s">
        <v>62</v>
      </c>
      <c r="C54" s="59" t="s">
        <v>298</v>
      </c>
      <c r="D54" s="97">
        <f>3*3000</f>
        <v>9000</v>
      </c>
      <c r="E54" s="311"/>
      <c r="F54" s="88">
        <f t="shared" si="2"/>
        <v>9000</v>
      </c>
      <c r="G54" s="59" t="s">
        <v>24</v>
      </c>
      <c r="H54" s="65"/>
    </row>
    <row r="55">
      <c r="A55" s="65"/>
      <c r="B55" s="65"/>
      <c r="C55" s="59" t="s">
        <v>1255</v>
      </c>
      <c r="D55" s="97">
        <f>4*3000</f>
        <v>12000</v>
      </c>
      <c r="E55" s="311"/>
      <c r="F55" s="88">
        <f t="shared" si="2"/>
        <v>12000</v>
      </c>
      <c r="G55" s="65"/>
      <c r="H55" s="65"/>
    </row>
    <row r="56">
      <c r="A56" s="65"/>
      <c r="B56" s="65"/>
      <c r="C56" s="59" t="s">
        <v>336</v>
      </c>
      <c r="D56" s="96">
        <v>4500.0</v>
      </c>
      <c r="E56" s="313">
        <v>4500.0</v>
      </c>
      <c r="F56" s="88">
        <f t="shared" si="2"/>
        <v>0</v>
      </c>
      <c r="G56" s="65"/>
      <c r="H56" s="65"/>
    </row>
    <row r="57">
      <c r="A57" s="59" t="s">
        <v>63</v>
      </c>
      <c r="B57" s="59" t="s">
        <v>64</v>
      </c>
      <c r="C57" s="59" t="s">
        <v>298</v>
      </c>
      <c r="D57" s="96">
        <v>2500.0</v>
      </c>
      <c r="E57" s="311"/>
      <c r="F57" s="88">
        <f t="shared" si="2"/>
        <v>2500</v>
      </c>
      <c r="G57" s="59" t="s">
        <v>110</v>
      </c>
      <c r="H57" s="65"/>
    </row>
    <row r="58">
      <c r="A58" s="65"/>
      <c r="B58" s="65"/>
      <c r="C58" s="186" t="s">
        <v>349</v>
      </c>
      <c r="D58" s="96">
        <v>1000.0</v>
      </c>
      <c r="E58" s="311"/>
      <c r="F58" s="88">
        <f t="shared" si="2"/>
        <v>1000</v>
      </c>
      <c r="G58" s="65"/>
      <c r="H58" s="65"/>
    </row>
    <row r="59">
      <c r="A59" s="59" t="s">
        <v>63</v>
      </c>
      <c r="B59" s="59" t="s">
        <v>66</v>
      </c>
      <c r="C59" s="59" t="s">
        <v>331</v>
      </c>
      <c r="D59" s="63">
        <v>3000.0</v>
      </c>
      <c r="E59" s="313">
        <v>3000.0</v>
      </c>
      <c r="F59" s="88">
        <f t="shared" si="2"/>
        <v>0</v>
      </c>
      <c r="G59" s="319" t="s">
        <v>189</v>
      </c>
      <c r="H59" s="65"/>
    </row>
    <row r="60">
      <c r="A60" s="65"/>
      <c r="B60" s="65"/>
      <c r="C60" s="59" t="s">
        <v>317</v>
      </c>
      <c r="D60" s="63">
        <f>4000+2000</f>
        <v>6000</v>
      </c>
      <c r="E60" s="313">
        <v>6000.0</v>
      </c>
      <c r="F60" s="88">
        <f t="shared" si="2"/>
        <v>0</v>
      </c>
      <c r="G60" s="65"/>
      <c r="H60" s="65"/>
    </row>
    <row r="61">
      <c r="A61" s="65"/>
      <c r="B61" s="65"/>
      <c r="C61" s="59" t="s">
        <v>335</v>
      </c>
      <c r="D61" s="63">
        <v>2000.0</v>
      </c>
      <c r="E61" s="313">
        <v>2000.0</v>
      </c>
      <c r="F61" s="88">
        <f t="shared" si="2"/>
        <v>0</v>
      </c>
      <c r="G61" s="65"/>
      <c r="H61" s="65"/>
    </row>
    <row r="62">
      <c r="A62" s="65"/>
      <c r="B62" s="65"/>
      <c r="C62" s="59" t="s">
        <v>298</v>
      </c>
      <c r="D62" s="60">
        <f>1*3*3000</f>
        <v>9000</v>
      </c>
      <c r="E62" s="311"/>
      <c r="F62" s="88">
        <f t="shared" si="2"/>
        <v>9000</v>
      </c>
      <c r="G62" s="65"/>
      <c r="H62" s="65"/>
    </row>
    <row r="63">
      <c r="A63" s="65"/>
      <c r="B63" s="65"/>
      <c r="C63" s="59" t="s">
        <v>345</v>
      </c>
      <c r="D63" s="63">
        <v>2000.0</v>
      </c>
      <c r="E63" s="311"/>
      <c r="F63" s="88">
        <f t="shared" si="2"/>
        <v>2000</v>
      </c>
      <c r="G63" s="65"/>
      <c r="H63" s="65"/>
    </row>
    <row r="64">
      <c r="A64" s="59" t="s">
        <v>364</v>
      </c>
      <c r="B64" s="59" t="s">
        <v>68</v>
      </c>
      <c r="C64" s="59" t="s">
        <v>298</v>
      </c>
      <c r="D64" s="101">
        <f>1*4*3000</f>
        <v>12000</v>
      </c>
      <c r="E64" s="311"/>
      <c r="F64" s="88">
        <f t="shared" si="2"/>
        <v>12000</v>
      </c>
      <c r="G64" s="65"/>
      <c r="H64" s="65"/>
    </row>
    <row r="65">
      <c r="A65" s="65"/>
      <c r="B65" s="65"/>
      <c r="C65" s="59" t="s">
        <v>336</v>
      </c>
      <c r="D65" s="102">
        <v>4000.0</v>
      </c>
      <c r="E65" s="313">
        <v>4000.0</v>
      </c>
      <c r="F65" s="88">
        <f t="shared" si="2"/>
        <v>0</v>
      </c>
      <c r="G65" s="65"/>
      <c r="H65" s="65"/>
    </row>
    <row r="66">
      <c r="A66" s="65"/>
      <c r="B66" s="65"/>
      <c r="C66" s="59" t="s">
        <v>292</v>
      </c>
      <c r="D66" s="102">
        <v>1000.0</v>
      </c>
      <c r="E66" s="62"/>
      <c r="F66" s="88">
        <f t="shared" si="2"/>
        <v>1000</v>
      </c>
      <c r="G66" s="65"/>
      <c r="H66" s="65"/>
    </row>
    <row r="67">
      <c r="A67" s="59" t="s">
        <v>76</v>
      </c>
      <c r="B67" s="59" t="s">
        <v>68</v>
      </c>
      <c r="C67" s="59" t="s">
        <v>298</v>
      </c>
      <c r="D67" s="97">
        <f>4*3000</f>
        <v>12000</v>
      </c>
      <c r="E67" s="62"/>
      <c r="F67" s="88">
        <f t="shared" si="2"/>
        <v>12000</v>
      </c>
      <c r="G67" s="59" t="s">
        <v>110</v>
      </c>
      <c r="H67" s="65"/>
    </row>
    <row r="68">
      <c r="A68" s="65"/>
      <c r="B68" s="65"/>
      <c r="C68" s="59" t="s">
        <v>335</v>
      </c>
      <c r="D68" s="97">
        <f>2*3000</f>
        <v>6000</v>
      </c>
      <c r="E68" s="62"/>
      <c r="F68" s="88">
        <f t="shared" si="2"/>
        <v>6000</v>
      </c>
      <c r="G68" s="65"/>
      <c r="H68" s="65"/>
    </row>
    <row r="69">
      <c r="A69" s="306" t="s">
        <v>840</v>
      </c>
      <c r="B69" s="34"/>
      <c r="C69" s="34"/>
      <c r="D69" s="34"/>
      <c r="E69" s="39"/>
      <c r="F69" s="307">
        <f>SUM(F26:F68)</f>
        <v>197000</v>
      </c>
      <c r="G69" s="76"/>
      <c r="H69" s="76"/>
    </row>
    <row r="70">
      <c r="A70" s="69"/>
      <c r="B70" s="69"/>
      <c r="C70" s="69"/>
      <c r="D70" s="175"/>
      <c r="E70" s="194"/>
      <c r="F70" s="89"/>
      <c r="G70" s="69"/>
      <c r="H70" s="69"/>
    </row>
    <row r="71">
      <c r="A71" s="69"/>
      <c r="B71" s="69"/>
      <c r="C71" s="69"/>
      <c r="D71" s="175"/>
      <c r="E71" s="194"/>
      <c r="F71" s="89"/>
      <c r="G71" s="69"/>
      <c r="H71" s="69"/>
    </row>
    <row r="72">
      <c r="A72" s="305">
        <v>44986.0</v>
      </c>
      <c r="B72" s="34"/>
      <c r="C72" s="34"/>
      <c r="D72" s="34"/>
      <c r="E72" s="34"/>
      <c r="F72" s="34"/>
      <c r="G72" s="34"/>
      <c r="H72" s="39"/>
      <c r="J72" s="308" t="s">
        <v>1253</v>
      </c>
      <c r="K72" s="34"/>
      <c r="L72" s="39"/>
    </row>
    <row r="73">
      <c r="A73" s="309" t="s">
        <v>7</v>
      </c>
      <c r="B73" s="309" t="s">
        <v>1246</v>
      </c>
      <c r="C73" s="309" t="s">
        <v>1247</v>
      </c>
      <c r="D73" s="309" t="s">
        <v>1248</v>
      </c>
      <c r="E73" s="309" t="s">
        <v>1249</v>
      </c>
      <c r="F73" s="309" t="s">
        <v>1250</v>
      </c>
      <c r="G73" s="309" t="s">
        <v>1251</v>
      </c>
      <c r="H73" s="309" t="s">
        <v>618</v>
      </c>
      <c r="J73" s="310" t="s">
        <v>7</v>
      </c>
      <c r="K73" s="310" t="s">
        <v>1254</v>
      </c>
      <c r="L73" s="107"/>
    </row>
    <row r="74">
      <c r="A74" s="59" t="s">
        <v>78</v>
      </c>
      <c r="B74" s="59" t="s">
        <v>80</v>
      </c>
      <c r="C74" s="59" t="s">
        <v>298</v>
      </c>
      <c r="D74" s="97">
        <f>1*3*3000</f>
        <v>9000</v>
      </c>
      <c r="E74" s="311"/>
      <c r="F74" s="88">
        <f t="shared" ref="F74:F105" si="4">D74-E74</f>
        <v>9000</v>
      </c>
      <c r="G74" s="59" t="s">
        <v>373</v>
      </c>
      <c r="H74" s="65"/>
      <c r="J74" s="310" t="s">
        <v>78</v>
      </c>
      <c r="K74" s="312">
        <v>9000.0</v>
      </c>
      <c r="L74" s="107"/>
    </row>
    <row r="75">
      <c r="A75" s="59" t="s">
        <v>1259</v>
      </c>
      <c r="B75" s="59" t="s">
        <v>86</v>
      </c>
      <c r="C75" s="59" t="s">
        <v>292</v>
      </c>
      <c r="D75" s="96">
        <v>40000.0</v>
      </c>
      <c r="E75" s="311"/>
      <c r="F75" s="88">
        <f t="shared" si="4"/>
        <v>40000</v>
      </c>
      <c r="G75" s="320" t="s">
        <v>189</v>
      </c>
      <c r="H75" s="65"/>
      <c r="J75" s="310" t="s">
        <v>1259</v>
      </c>
      <c r="K75" s="312">
        <v>48000.0</v>
      </c>
      <c r="L75" s="107"/>
    </row>
    <row r="76">
      <c r="A76" s="65"/>
      <c r="B76" s="65"/>
      <c r="C76" s="59" t="s">
        <v>348</v>
      </c>
      <c r="D76" s="97">
        <f>3*3*2000+8000</f>
        <v>26000</v>
      </c>
      <c r="E76" s="313">
        <v>10000.0</v>
      </c>
      <c r="F76" s="88">
        <f t="shared" si="4"/>
        <v>16000</v>
      </c>
      <c r="G76" s="65"/>
      <c r="H76" s="65"/>
      <c r="J76" s="310" t="s">
        <v>87</v>
      </c>
      <c r="K76" s="312">
        <v>11760.0</v>
      </c>
      <c r="L76" s="107"/>
    </row>
    <row r="77">
      <c r="A77" s="65"/>
      <c r="B77" s="65"/>
      <c r="C77" s="59" t="s">
        <v>298</v>
      </c>
      <c r="D77" s="97">
        <f>4*4*3000</f>
        <v>48000</v>
      </c>
      <c r="E77" s="311"/>
      <c r="F77" s="88">
        <f t="shared" si="4"/>
        <v>48000</v>
      </c>
      <c r="G77" s="65"/>
      <c r="H77" s="65"/>
      <c r="J77" s="310" t="s">
        <v>99</v>
      </c>
      <c r="K77" s="312">
        <v>24000.0</v>
      </c>
      <c r="L77" s="107"/>
    </row>
    <row r="78">
      <c r="A78" s="65"/>
      <c r="B78" s="65"/>
      <c r="C78" s="59" t="s">
        <v>399</v>
      </c>
      <c r="D78" s="96">
        <v>16000.0</v>
      </c>
      <c r="E78" s="313">
        <v>16000.0</v>
      </c>
      <c r="F78" s="88">
        <f t="shared" si="4"/>
        <v>0</v>
      </c>
      <c r="G78" s="65"/>
      <c r="H78" s="65"/>
      <c r="J78" s="310"/>
      <c r="K78" s="312"/>
      <c r="L78" s="107"/>
    </row>
    <row r="79">
      <c r="A79" s="65"/>
      <c r="B79" s="65"/>
      <c r="C79" s="59" t="s">
        <v>192</v>
      </c>
      <c r="D79" s="97">
        <f>4*6000</f>
        <v>24000</v>
      </c>
      <c r="E79" s="313">
        <v>24000.0</v>
      </c>
      <c r="F79" s="88">
        <f t="shared" si="4"/>
        <v>0</v>
      </c>
      <c r="G79" s="65"/>
      <c r="H79" s="65"/>
      <c r="J79" s="310"/>
      <c r="K79" s="312"/>
      <c r="L79" s="107"/>
    </row>
    <row r="80">
      <c r="A80" s="65"/>
      <c r="B80" s="65"/>
      <c r="C80" s="59" t="s">
        <v>400</v>
      </c>
      <c r="D80" s="97">
        <f t="shared" ref="D80:D81" si="5">3*4000</f>
        <v>12000</v>
      </c>
      <c r="E80" s="311"/>
      <c r="F80" s="88">
        <f t="shared" si="4"/>
        <v>12000</v>
      </c>
      <c r="G80" s="65"/>
      <c r="H80" s="65"/>
      <c r="J80" s="310"/>
      <c r="K80" s="312"/>
      <c r="L80" s="107"/>
    </row>
    <row r="81">
      <c r="A81" s="65"/>
      <c r="B81" s="65"/>
      <c r="C81" s="59" t="s">
        <v>277</v>
      </c>
      <c r="D81" s="97">
        <f t="shared" si="5"/>
        <v>12000</v>
      </c>
      <c r="E81" s="311"/>
      <c r="F81" s="88">
        <f t="shared" si="4"/>
        <v>12000</v>
      </c>
      <c r="G81" s="65"/>
      <c r="H81" s="65"/>
      <c r="J81" s="310"/>
      <c r="K81" s="312"/>
      <c r="L81" s="107"/>
    </row>
    <row r="82">
      <c r="A82" s="65"/>
      <c r="B82" s="65"/>
      <c r="C82" s="59" t="s">
        <v>278</v>
      </c>
      <c r="D82" s="96">
        <v>2000.0</v>
      </c>
      <c r="E82" s="311"/>
      <c r="F82" s="88">
        <f t="shared" si="4"/>
        <v>2000</v>
      </c>
      <c r="G82" s="65"/>
      <c r="H82" s="65"/>
      <c r="J82" s="310"/>
      <c r="K82" s="312"/>
      <c r="L82" s="107"/>
    </row>
    <row r="83">
      <c r="A83" s="65"/>
      <c r="B83" s="65"/>
      <c r="C83" s="59" t="s">
        <v>401</v>
      </c>
      <c r="D83" s="97">
        <f>3*3000</f>
        <v>9000</v>
      </c>
      <c r="E83" s="313">
        <v>3000.0</v>
      </c>
      <c r="F83" s="88">
        <f t="shared" si="4"/>
        <v>6000</v>
      </c>
      <c r="G83" s="65"/>
      <c r="H83" s="65"/>
      <c r="J83" s="310"/>
      <c r="K83" s="312"/>
      <c r="L83" s="107"/>
    </row>
    <row r="84">
      <c r="A84" s="65"/>
      <c r="B84" s="65"/>
      <c r="C84" s="59" t="s">
        <v>402</v>
      </c>
      <c r="D84" s="97">
        <f>2*3000</f>
        <v>6000</v>
      </c>
      <c r="E84" s="311"/>
      <c r="F84" s="88">
        <f t="shared" si="4"/>
        <v>6000</v>
      </c>
      <c r="G84" s="65"/>
      <c r="H84" s="65"/>
      <c r="J84" s="310"/>
      <c r="K84" s="312"/>
      <c r="L84" s="107"/>
    </row>
    <row r="85">
      <c r="A85" s="65"/>
      <c r="B85" s="65"/>
      <c r="C85" s="59" t="s">
        <v>267</v>
      </c>
      <c r="D85" s="97">
        <f t="shared" ref="D85:D87" si="6">3500*2</f>
        <v>7000</v>
      </c>
      <c r="E85" s="313">
        <v>7000.0</v>
      </c>
      <c r="F85" s="88">
        <f t="shared" si="4"/>
        <v>0</v>
      </c>
      <c r="G85" s="65"/>
      <c r="H85" s="65"/>
      <c r="J85" s="314"/>
      <c r="K85" s="315">
        <f>SUM(K74:K84)</f>
        <v>92760</v>
      </c>
      <c r="L85" s="107"/>
    </row>
    <row r="86">
      <c r="A86" s="65"/>
      <c r="B86" s="65"/>
      <c r="C86" s="59" t="s">
        <v>403</v>
      </c>
      <c r="D86" s="97">
        <f t="shared" si="6"/>
        <v>7000</v>
      </c>
      <c r="E86" s="313">
        <v>7000.0</v>
      </c>
      <c r="F86" s="88">
        <f t="shared" si="4"/>
        <v>0</v>
      </c>
      <c r="G86" s="65"/>
      <c r="H86" s="65"/>
      <c r="J86" s="316">
        <v>0.6</v>
      </c>
      <c r="K86" s="315">
        <f>K85*60%</f>
        <v>55656</v>
      </c>
      <c r="L86" s="105" t="s">
        <v>1257</v>
      </c>
      <c r="M86" s="41" t="s">
        <v>398</v>
      </c>
    </row>
    <row r="87">
      <c r="A87" s="65"/>
      <c r="B87" s="65"/>
      <c r="C87" s="59" t="s">
        <v>404</v>
      </c>
      <c r="D87" s="97">
        <f t="shared" si="6"/>
        <v>7000</v>
      </c>
      <c r="E87" s="313">
        <v>7000.0</v>
      </c>
      <c r="F87" s="88">
        <f t="shared" si="4"/>
        <v>0</v>
      </c>
      <c r="G87" s="65"/>
      <c r="H87" s="65"/>
      <c r="J87" s="316">
        <v>0.4</v>
      </c>
      <c r="K87" s="315">
        <f>K85*40%</f>
        <v>37104</v>
      </c>
      <c r="L87" s="105" t="s">
        <v>1258</v>
      </c>
    </row>
    <row r="88">
      <c r="A88" s="65"/>
      <c r="B88" s="65"/>
      <c r="C88" s="59" t="s">
        <v>405</v>
      </c>
      <c r="D88" s="97">
        <f t="shared" ref="D88:D90" si="7">3000*2</f>
        <v>6000</v>
      </c>
      <c r="E88" s="311"/>
      <c r="F88" s="88">
        <f t="shared" si="4"/>
        <v>6000</v>
      </c>
      <c r="G88" s="65"/>
      <c r="H88" s="65"/>
    </row>
    <row r="89">
      <c r="A89" s="65"/>
      <c r="B89" s="65"/>
      <c r="C89" s="59" t="s">
        <v>406</v>
      </c>
      <c r="D89" s="97">
        <f t="shared" si="7"/>
        <v>6000</v>
      </c>
      <c r="E89" s="311"/>
      <c r="F89" s="88">
        <f t="shared" si="4"/>
        <v>6000</v>
      </c>
      <c r="G89" s="65"/>
      <c r="H89" s="65"/>
    </row>
    <row r="90">
      <c r="A90" s="65"/>
      <c r="B90" s="65"/>
      <c r="C90" s="59" t="s">
        <v>407</v>
      </c>
      <c r="D90" s="97">
        <f t="shared" si="7"/>
        <v>6000</v>
      </c>
      <c r="E90" s="311"/>
      <c r="F90" s="88">
        <f t="shared" si="4"/>
        <v>6000</v>
      </c>
      <c r="G90" s="65"/>
      <c r="H90" s="65"/>
    </row>
    <row r="91">
      <c r="A91" s="65"/>
      <c r="B91" s="65"/>
      <c r="C91" s="59" t="s">
        <v>266</v>
      </c>
      <c r="D91" s="97">
        <f>3500*2</f>
        <v>7000</v>
      </c>
      <c r="E91" s="313">
        <v>7000.0</v>
      </c>
      <c r="F91" s="88">
        <f t="shared" si="4"/>
        <v>0</v>
      </c>
      <c r="G91" s="65"/>
      <c r="H91" s="65"/>
    </row>
    <row r="92">
      <c r="A92" s="65"/>
      <c r="B92" s="65"/>
      <c r="C92" s="59" t="s">
        <v>408</v>
      </c>
      <c r="D92" s="97">
        <f>3500*4</f>
        <v>14000</v>
      </c>
      <c r="E92" s="311"/>
      <c r="F92" s="88">
        <f t="shared" si="4"/>
        <v>14000</v>
      </c>
      <c r="G92" s="65"/>
      <c r="H92" s="65"/>
    </row>
    <row r="93">
      <c r="A93" s="65"/>
      <c r="B93" s="65"/>
      <c r="C93" s="59" t="s">
        <v>409</v>
      </c>
      <c r="D93" s="97">
        <f>3500*2</f>
        <v>7000</v>
      </c>
      <c r="E93" s="311"/>
      <c r="F93" s="88">
        <f t="shared" si="4"/>
        <v>7000</v>
      </c>
      <c r="G93" s="65"/>
      <c r="H93" s="65"/>
    </row>
    <row r="94">
      <c r="A94" s="65"/>
      <c r="B94" s="65"/>
      <c r="C94" s="59" t="s">
        <v>410</v>
      </c>
      <c r="D94" s="96">
        <v>10000.0</v>
      </c>
      <c r="E94" s="311"/>
      <c r="F94" s="88">
        <f t="shared" si="4"/>
        <v>10000</v>
      </c>
      <c r="G94" s="65"/>
      <c r="H94" s="65"/>
    </row>
    <row r="95">
      <c r="A95" s="65"/>
      <c r="B95" s="65"/>
      <c r="C95" s="99" t="s">
        <v>412</v>
      </c>
      <c r="D95" s="97">
        <f>4000*2+4500</f>
        <v>12500</v>
      </c>
      <c r="E95" s="313">
        <f>4500+8000</f>
        <v>12500</v>
      </c>
      <c r="F95" s="88">
        <f t="shared" si="4"/>
        <v>0</v>
      </c>
      <c r="G95" s="65"/>
      <c r="H95" s="65"/>
    </row>
    <row r="96">
      <c r="A96" s="65"/>
      <c r="B96" s="65"/>
      <c r="C96" s="99" t="s">
        <v>414</v>
      </c>
      <c r="D96" s="97">
        <f>4000*2</f>
        <v>8000</v>
      </c>
      <c r="E96" s="311"/>
      <c r="F96" s="88">
        <f t="shared" si="4"/>
        <v>8000</v>
      </c>
      <c r="G96" s="65"/>
      <c r="H96" s="65"/>
    </row>
    <row r="97">
      <c r="A97" s="65"/>
      <c r="B97" s="65"/>
      <c r="C97" s="99" t="s">
        <v>415</v>
      </c>
      <c r="D97" s="97">
        <f>3000*2</f>
        <v>6000</v>
      </c>
      <c r="E97" s="311"/>
      <c r="F97" s="88">
        <f t="shared" si="4"/>
        <v>6000</v>
      </c>
      <c r="G97" s="65"/>
      <c r="H97" s="65"/>
    </row>
    <row r="98">
      <c r="A98" s="65"/>
      <c r="B98" s="65"/>
      <c r="C98" s="99" t="s">
        <v>416</v>
      </c>
      <c r="D98" s="96">
        <v>10000.0</v>
      </c>
      <c r="E98" s="313">
        <v>5000.0</v>
      </c>
      <c r="F98" s="88">
        <f t="shared" si="4"/>
        <v>5000</v>
      </c>
      <c r="G98" s="65"/>
      <c r="H98" s="65"/>
    </row>
    <row r="99">
      <c r="A99" s="65"/>
      <c r="B99" s="65"/>
      <c r="C99" s="99" t="s">
        <v>417</v>
      </c>
      <c r="D99" s="96">
        <v>15000.0</v>
      </c>
      <c r="E99" s="313">
        <v>5000.0</v>
      </c>
      <c r="F99" s="88">
        <f t="shared" si="4"/>
        <v>10000</v>
      </c>
      <c r="G99" s="65"/>
      <c r="H99" s="65"/>
    </row>
    <row r="100">
      <c r="A100" s="65"/>
      <c r="B100" s="65"/>
      <c r="C100" s="99" t="s">
        <v>418</v>
      </c>
      <c r="D100" s="97">
        <f>9000*2</f>
        <v>18000</v>
      </c>
      <c r="E100" s="313">
        <v>18000.0</v>
      </c>
      <c r="F100" s="88">
        <f t="shared" si="4"/>
        <v>0</v>
      </c>
      <c r="G100" s="65"/>
      <c r="H100" s="65"/>
    </row>
    <row r="101">
      <c r="A101" s="65"/>
      <c r="B101" s="65"/>
      <c r="C101" s="99" t="s">
        <v>317</v>
      </c>
      <c r="D101" s="97">
        <f>2*4*5000</f>
        <v>40000</v>
      </c>
      <c r="E101" s="313">
        <v>10000.0</v>
      </c>
      <c r="F101" s="88">
        <f t="shared" si="4"/>
        <v>30000</v>
      </c>
      <c r="G101" s="65"/>
      <c r="H101" s="65"/>
    </row>
    <row r="102">
      <c r="A102" s="65"/>
      <c r="B102" s="65"/>
      <c r="C102" s="99" t="s">
        <v>422</v>
      </c>
      <c r="D102" s="97">
        <f>4*20*250</f>
        <v>20000</v>
      </c>
      <c r="E102" s="313">
        <v>10000.0</v>
      </c>
      <c r="F102" s="88">
        <f t="shared" si="4"/>
        <v>10000</v>
      </c>
      <c r="G102" s="65"/>
      <c r="H102" s="59" t="s">
        <v>1260</v>
      </c>
    </row>
    <row r="103">
      <c r="A103" s="59" t="s">
        <v>87</v>
      </c>
      <c r="B103" s="59" t="s">
        <v>89</v>
      </c>
      <c r="C103" s="59" t="s">
        <v>298</v>
      </c>
      <c r="D103" s="96">
        <v>12000.0</v>
      </c>
      <c r="E103" s="65"/>
      <c r="F103" s="88">
        <f t="shared" si="4"/>
        <v>12000</v>
      </c>
      <c r="G103" s="59" t="s">
        <v>88</v>
      </c>
      <c r="H103" s="65"/>
    </row>
    <row r="104">
      <c r="A104" s="59" t="s">
        <v>99</v>
      </c>
      <c r="B104" s="59" t="s">
        <v>101</v>
      </c>
      <c r="C104" s="59" t="s">
        <v>348</v>
      </c>
      <c r="D104" s="96">
        <v>4000.0</v>
      </c>
      <c r="E104" s="65"/>
      <c r="F104" s="88">
        <f t="shared" si="4"/>
        <v>4000</v>
      </c>
      <c r="G104" s="59" t="s">
        <v>1256</v>
      </c>
      <c r="H104" s="65"/>
    </row>
    <row r="105">
      <c r="A105" s="321"/>
      <c r="B105" s="321"/>
      <c r="C105" s="322" t="s">
        <v>280</v>
      </c>
      <c r="D105" s="323">
        <v>2000.0</v>
      </c>
      <c r="E105" s="322">
        <v>2000.0</v>
      </c>
      <c r="F105" s="324">
        <f t="shared" si="4"/>
        <v>0</v>
      </c>
      <c r="G105" s="321"/>
      <c r="H105" s="321"/>
    </row>
    <row r="106">
      <c r="A106" s="306" t="s">
        <v>840</v>
      </c>
      <c r="B106" s="34"/>
      <c r="C106" s="34"/>
      <c r="D106" s="34"/>
      <c r="E106" s="39"/>
      <c r="F106" s="307">
        <f>SUM(F74:F105)</f>
        <v>285000</v>
      </c>
      <c r="G106" s="76"/>
      <c r="H106" s="76"/>
    </row>
    <row r="107">
      <c r="A107" s="69"/>
      <c r="B107" s="69"/>
      <c r="C107" s="69"/>
      <c r="D107" s="89"/>
      <c r="E107" s="69"/>
      <c r="F107" s="89"/>
      <c r="G107" s="69"/>
      <c r="H107" s="69"/>
    </row>
    <row r="108">
      <c r="A108" s="69"/>
      <c r="B108" s="69"/>
      <c r="C108" s="69"/>
      <c r="D108" s="89"/>
      <c r="E108" s="69"/>
      <c r="F108" s="89"/>
      <c r="G108" s="69"/>
      <c r="H108" s="69"/>
    </row>
    <row r="109">
      <c r="A109" s="69"/>
      <c r="B109" s="69"/>
      <c r="C109" s="69"/>
      <c r="D109" s="89"/>
      <c r="E109" s="69"/>
      <c r="F109" s="89"/>
      <c r="G109" s="69"/>
      <c r="H109" s="69"/>
    </row>
    <row r="110">
      <c r="A110" s="305">
        <v>45017.0</v>
      </c>
      <c r="B110" s="34"/>
      <c r="C110" s="34"/>
      <c r="D110" s="34"/>
      <c r="E110" s="34"/>
      <c r="F110" s="34"/>
      <c r="G110" s="34"/>
      <c r="H110" s="39"/>
      <c r="J110" s="308" t="s">
        <v>1253</v>
      </c>
      <c r="K110" s="34"/>
      <c r="L110" s="39"/>
    </row>
    <row r="111">
      <c r="A111" s="309" t="s">
        <v>7</v>
      </c>
      <c r="B111" s="309" t="s">
        <v>1246</v>
      </c>
      <c r="C111" s="309" t="s">
        <v>1247</v>
      </c>
      <c r="D111" s="309" t="s">
        <v>1248</v>
      </c>
      <c r="E111" s="309" t="s">
        <v>1249</v>
      </c>
      <c r="F111" s="309" t="s">
        <v>1250</v>
      </c>
      <c r="G111" s="309" t="s">
        <v>1251</v>
      </c>
      <c r="H111" s="309" t="s">
        <v>618</v>
      </c>
      <c r="J111" s="310" t="s">
        <v>7</v>
      </c>
      <c r="K111" s="310" t="s">
        <v>1254</v>
      </c>
      <c r="L111" s="107"/>
    </row>
    <row r="112">
      <c r="A112" s="59" t="s">
        <v>109</v>
      </c>
      <c r="B112" s="26" t="s">
        <v>111</v>
      </c>
      <c r="C112" s="59" t="s">
        <v>298</v>
      </c>
      <c r="D112" s="88">
        <f>3000*3</f>
        <v>9000</v>
      </c>
      <c r="E112" s="65"/>
      <c r="F112" s="88">
        <f t="shared" ref="F112:F114" si="8">D112-E112</f>
        <v>9000</v>
      </c>
      <c r="G112" s="59" t="s">
        <v>110</v>
      </c>
      <c r="H112" s="65"/>
      <c r="J112" s="310" t="s">
        <v>109</v>
      </c>
      <c r="K112" s="312">
        <v>9000.0</v>
      </c>
      <c r="L112" s="107"/>
    </row>
    <row r="113">
      <c r="A113" s="59" t="s">
        <v>112</v>
      </c>
      <c r="B113" s="26" t="s">
        <v>120</v>
      </c>
      <c r="C113" s="59" t="s">
        <v>298</v>
      </c>
      <c r="D113" s="273">
        <v>3000.0</v>
      </c>
      <c r="E113" s="65"/>
      <c r="F113" s="88">
        <f t="shared" si="8"/>
        <v>3000</v>
      </c>
      <c r="G113" s="26" t="s">
        <v>113</v>
      </c>
      <c r="H113" s="65"/>
      <c r="J113" s="310" t="s">
        <v>112</v>
      </c>
      <c r="K113" s="312">
        <v>3000.0</v>
      </c>
      <c r="L113" s="107"/>
    </row>
    <row r="114">
      <c r="A114" s="59" t="s">
        <v>118</v>
      </c>
      <c r="B114" s="26" t="s">
        <v>117</v>
      </c>
      <c r="C114" s="59" t="s">
        <v>298</v>
      </c>
      <c r="D114" s="88">
        <f>2500*3</f>
        <v>7500</v>
      </c>
      <c r="E114" s="65"/>
      <c r="F114" s="88">
        <f t="shared" si="8"/>
        <v>7500</v>
      </c>
      <c r="G114" s="59" t="s">
        <v>119</v>
      </c>
      <c r="H114" s="65"/>
      <c r="J114" s="310" t="s">
        <v>118</v>
      </c>
      <c r="K114" s="312">
        <v>7500.0</v>
      </c>
      <c r="L114" s="107"/>
    </row>
    <row r="115">
      <c r="A115" s="69"/>
      <c r="B115" s="69"/>
      <c r="C115" s="69"/>
      <c r="D115" s="89"/>
      <c r="E115" s="69"/>
      <c r="F115" s="89"/>
      <c r="G115" s="69"/>
      <c r="H115" s="69"/>
      <c r="J115" s="314"/>
      <c r="K115" s="315">
        <f>SUM(K112:K114)</f>
        <v>19500</v>
      </c>
      <c r="L115" s="107"/>
    </row>
    <row r="116">
      <c r="A116" s="69"/>
      <c r="B116" s="69"/>
      <c r="C116" s="69"/>
      <c r="D116" s="89"/>
      <c r="E116" s="69"/>
      <c r="F116" s="89"/>
      <c r="G116" s="69"/>
      <c r="H116" s="69"/>
      <c r="J116" s="316">
        <v>0.6</v>
      </c>
      <c r="K116" s="315">
        <f>K115*60%</f>
        <v>11700</v>
      </c>
      <c r="L116" s="105" t="s">
        <v>1257</v>
      </c>
      <c r="M116" s="41" t="s">
        <v>398</v>
      </c>
    </row>
    <row r="117">
      <c r="A117" s="69"/>
      <c r="B117" s="69"/>
      <c r="C117" s="69"/>
      <c r="D117" s="89"/>
      <c r="E117" s="69"/>
      <c r="F117" s="89"/>
      <c r="G117" s="69"/>
      <c r="H117" s="69"/>
      <c r="J117" s="316">
        <v>0.4</v>
      </c>
      <c r="K117" s="315">
        <f>K115*40%</f>
        <v>7800</v>
      </c>
      <c r="L117" s="105" t="s">
        <v>1258</v>
      </c>
    </row>
    <row r="118">
      <c r="A118" s="69"/>
      <c r="B118" s="69"/>
      <c r="C118" s="69"/>
      <c r="D118" s="89"/>
      <c r="E118" s="69"/>
      <c r="F118" s="89"/>
      <c r="G118" s="69"/>
      <c r="H118" s="69"/>
    </row>
    <row r="119">
      <c r="A119" s="69"/>
      <c r="B119" s="69"/>
      <c r="C119" s="69"/>
      <c r="D119" s="89"/>
      <c r="E119" s="69"/>
      <c r="F119" s="89"/>
      <c r="G119" s="69"/>
      <c r="H119" s="69"/>
    </row>
    <row r="120">
      <c r="A120" s="69"/>
      <c r="B120" s="69"/>
      <c r="C120" s="69"/>
      <c r="D120" s="69"/>
      <c r="E120" s="69"/>
      <c r="F120" s="69"/>
      <c r="G120" s="69"/>
      <c r="H120" s="69"/>
    </row>
    <row r="121">
      <c r="A121" s="305">
        <v>45047.0</v>
      </c>
      <c r="B121" s="34"/>
      <c r="C121" s="34"/>
      <c r="D121" s="34"/>
      <c r="E121" s="34"/>
      <c r="F121" s="34"/>
      <c r="G121" s="34"/>
      <c r="H121" s="39"/>
      <c r="J121" s="308" t="s">
        <v>1253</v>
      </c>
      <c r="K121" s="34"/>
      <c r="L121" s="39"/>
    </row>
    <row r="122">
      <c r="A122" s="309" t="s">
        <v>7</v>
      </c>
      <c r="B122" s="309" t="s">
        <v>1246</v>
      </c>
      <c r="C122" s="309" t="s">
        <v>1247</v>
      </c>
      <c r="D122" s="309" t="s">
        <v>1248</v>
      </c>
      <c r="E122" s="309" t="s">
        <v>1249</v>
      </c>
      <c r="F122" s="309" t="s">
        <v>1250</v>
      </c>
      <c r="G122" s="309" t="s">
        <v>1251</v>
      </c>
      <c r="H122" s="309" t="s">
        <v>618</v>
      </c>
      <c r="J122" s="310" t="s">
        <v>7</v>
      </c>
      <c r="K122" s="310" t="s">
        <v>1254</v>
      </c>
      <c r="L122" s="107"/>
    </row>
    <row r="123">
      <c r="A123" s="59" t="s">
        <v>121</v>
      </c>
      <c r="B123" s="59" t="s">
        <v>123</v>
      </c>
      <c r="C123" s="59" t="s">
        <v>298</v>
      </c>
      <c r="D123" s="273">
        <v>2800.0</v>
      </c>
      <c r="E123" s="65"/>
      <c r="F123" s="88">
        <f t="shared" ref="F123:F125" si="9">D123-E123</f>
        <v>2800</v>
      </c>
      <c r="G123" s="65"/>
      <c r="H123" s="65"/>
      <c r="J123" s="310" t="s">
        <v>121</v>
      </c>
      <c r="K123" s="312">
        <v>2800.0</v>
      </c>
      <c r="L123" s="107"/>
    </row>
    <row r="124">
      <c r="A124" s="59" t="s">
        <v>449</v>
      </c>
      <c r="B124" s="59" t="s">
        <v>130</v>
      </c>
      <c r="C124" s="59" t="s">
        <v>298</v>
      </c>
      <c r="D124" s="88">
        <f>2800*3*9</f>
        <v>75600</v>
      </c>
      <c r="E124" s="65"/>
      <c r="F124" s="88">
        <f t="shared" si="9"/>
        <v>75600</v>
      </c>
      <c r="G124" s="59" t="s">
        <v>1261</v>
      </c>
      <c r="H124" s="65"/>
      <c r="J124" s="310" t="s">
        <v>449</v>
      </c>
      <c r="K124" s="312">
        <v>75600.0</v>
      </c>
      <c r="L124" s="107"/>
    </row>
    <row r="125">
      <c r="A125" s="59" t="s">
        <v>475</v>
      </c>
      <c r="B125" s="59" t="s">
        <v>133</v>
      </c>
      <c r="C125" s="59" t="s">
        <v>298</v>
      </c>
      <c r="D125" s="88">
        <f>2800*4*10</f>
        <v>112000</v>
      </c>
      <c r="E125" s="65"/>
      <c r="F125" s="88">
        <f t="shared" si="9"/>
        <v>112000</v>
      </c>
      <c r="G125" s="59" t="s">
        <v>1262</v>
      </c>
      <c r="H125" s="65"/>
      <c r="J125" s="310" t="s">
        <v>475</v>
      </c>
      <c r="K125" s="312">
        <v>112000.0</v>
      </c>
      <c r="L125" s="107"/>
    </row>
    <row r="126">
      <c r="A126" s="69"/>
      <c r="B126" s="69"/>
      <c r="C126" s="69"/>
      <c r="D126" s="69"/>
      <c r="E126" s="69"/>
      <c r="F126" s="69"/>
      <c r="G126" s="69"/>
      <c r="H126" s="69"/>
      <c r="J126" s="314"/>
      <c r="K126" s="315">
        <f>SUM(K123:K125)</f>
        <v>190400</v>
      </c>
      <c r="L126" s="107"/>
    </row>
    <row r="127">
      <c r="A127" s="69"/>
      <c r="B127" s="69"/>
      <c r="C127" s="69"/>
      <c r="D127" s="69"/>
      <c r="E127" s="69"/>
      <c r="F127" s="69"/>
      <c r="G127" s="69"/>
      <c r="H127" s="69"/>
      <c r="J127" s="316">
        <v>0.6</v>
      </c>
      <c r="K127" s="315">
        <f>K126*60%</f>
        <v>114240</v>
      </c>
      <c r="L127" s="105" t="s">
        <v>1257</v>
      </c>
      <c r="M127" s="41" t="s">
        <v>398</v>
      </c>
    </row>
    <row r="128">
      <c r="A128" s="69"/>
      <c r="B128" s="69"/>
      <c r="C128" s="69"/>
      <c r="D128" s="69"/>
      <c r="E128" s="69"/>
      <c r="F128" s="69"/>
      <c r="G128" s="69"/>
      <c r="H128" s="69"/>
      <c r="J128" s="316">
        <v>0.4</v>
      </c>
      <c r="K128" s="315">
        <f>K126*40%</f>
        <v>76160</v>
      </c>
      <c r="L128" s="105" t="s">
        <v>1258</v>
      </c>
    </row>
    <row r="129">
      <c r="A129" s="69"/>
      <c r="B129" s="69"/>
      <c r="C129" s="69"/>
      <c r="D129" s="69"/>
      <c r="E129" s="69"/>
      <c r="F129" s="69"/>
      <c r="G129" s="69"/>
      <c r="H129" s="69"/>
    </row>
    <row r="130">
      <c r="A130" s="69"/>
      <c r="B130" s="69"/>
      <c r="C130" s="69"/>
      <c r="D130" s="69"/>
      <c r="E130" s="69"/>
      <c r="F130" s="69"/>
      <c r="G130" s="69"/>
      <c r="H130" s="69"/>
    </row>
    <row r="131">
      <c r="A131" s="305">
        <v>45078.0</v>
      </c>
      <c r="B131" s="34"/>
      <c r="C131" s="34"/>
      <c r="D131" s="34"/>
      <c r="E131" s="34"/>
      <c r="F131" s="34"/>
      <c r="G131" s="34"/>
      <c r="H131" s="39"/>
      <c r="J131" s="308" t="s">
        <v>1253</v>
      </c>
      <c r="K131" s="34"/>
      <c r="L131" s="39"/>
    </row>
    <row r="132">
      <c r="A132" s="309" t="s">
        <v>7</v>
      </c>
      <c r="B132" s="309" t="s">
        <v>1246</v>
      </c>
      <c r="C132" s="309" t="s">
        <v>1247</v>
      </c>
      <c r="D132" s="309" t="s">
        <v>1248</v>
      </c>
      <c r="E132" s="309" t="s">
        <v>1249</v>
      </c>
      <c r="F132" s="309" t="s">
        <v>1250</v>
      </c>
      <c r="G132" s="309" t="s">
        <v>1251</v>
      </c>
      <c r="H132" s="309" t="s">
        <v>618</v>
      </c>
      <c r="J132" s="310" t="s">
        <v>7</v>
      </c>
      <c r="K132" s="310" t="s">
        <v>1254</v>
      </c>
      <c r="L132" s="107"/>
    </row>
    <row r="133">
      <c r="A133" s="59" t="s">
        <v>477</v>
      </c>
      <c r="B133" s="26" t="s">
        <v>137</v>
      </c>
      <c r="C133" s="59" t="s">
        <v>408</v>
      </c>
      <c r="D133" s="273">
        <v>3000.0</v>
      </c>
      <c r="E133" s="65"/>
      <c r="F133" s="88">
        <f t="shared" ref="F133:F142" si="10">D133-E133</f>
        <v>3000</v>
      </c>
      <c r="G133" s="26" t="s">
        <v>1263</v>
      </c>
      <c r="H133" s="65"/>
      <c r="J133" s="310" t="s">
        <v>142</v>
      </c>
      <c r="K133" s="312">
        <v>3000.0</v>
      </c>
      <c r="L133" s="107"/>
    </row>
    <row r="134">
      <c r="A134" s="65"/>
      <c r="B134" s="65"/>
      <c r="C134" s="59" t="s">
        <v>402</v>
      </c>
      <c r="D134" s="273">
        <v>3000.0</v>
      </c>
      <c r="E134" s="65"/>
      <c r="F134" s="88">
        <f t="shared" si="10"/>
        <v>3000</v>
      </c>
      <c r="G134" s="65"/>
      <c r="H134" s="65"/>
      <c r="J134" s="310" t="s">
        <v>148</v>
      </c>
      <c r="K134" s="312">
        <v>4000.0</v>
      </c>
      <c r="L134" s="107"/>
    </row>
    <row r="135">
      <c r="A135" s="65"/>
      <c r="B135" s="65"/>
      <c r="C135" s="59" t="s">
        <v>292</v>
      </c>
      <c r="D135" s="273">
        <v>6000.0</v>
      </c>
      <c r="E135" s="65"/>
      <c r="F135" s="88">
        <f t="shared" si="10"/>
        <v>6000</v>
      </c>
      <c r="G135" s="65"/>
      <c r="H135" s="65"/>
      <c r="J135" s="310" t="s">
        <v>151</v>
      </c>
      <c r="K135" s="312">
        <v>4000.0</v>
      </c>
      <c r="L135" s="107"/>
    </row>
    <row r="136">
      <c r="A136" s="59" t="s">
        <v>142</v>
      </c>
      <c r="B136" s="26" t="s">
        <v>141</v>
      </c>
      <c r="C136" s="59" t="s">
        <v>298</v>
      </c>
      <c r="D136" s="273">
        <f>3000*1*1</f>
        <v>3000</v>
      </c>
      <c r="E136" s="65"/>
      <c r="F136" s="88">
        <f t="shared" si="10"/>
        <v>3000</v>
      </c>
      <c r="G136" s="26" t="s">
        <v>113</v>
      </c>
      <c r="H136" s="65"/>
      <c r="J136" s="310" t="s">
        <v>151</v>
      </c>
      <c r="K136" s="312">
        <v>4000.0</v>
      </c>
      <c r="L136" s="107"/>
    </row>
    <row r="137">
      <c r="A137" s="59" t="s">
        <v>480</v>
      </c>
      <c r="B137" s="26" t="s">
        <v>144</v>
      </c>
      <c r="C137" s="59" t="s">
        <v>292</v>
      </c>
      <c r="D137" s="273">
        <v>8000.0</v>
      </c>
      <c r="E137" s="65"/>
      <c r="F137" s="88">
        <f t="shared" si="10"/>
        <v>8000</v>
      </c>
      <c r="G137" s="26" t="s">
        <v>1263</v>
      </c>
      <c r="H137" s="65"/>
      <c r="J137" s="310" t="s">
        <v>156</v>
      </c>
      <c r="K137" s="312">
        <v>12000.0</v>
      </c>
      <c r="L137" s="107"/>
    </row>
    <row r="138">
      <c r="A138" s="65"/>
      <c r="B138" s="65"/>
      <c r="C138" s="59" t="s">
        <v>405</v>
      </c>
      <c r="D138" s="273">
        <v>10000.0</v>
      </c>
      <c r="E138" s="65"/>
      <c r="F138" s="88">
        <f t="shared" si="10"/>
        <v>10000</v>
      </c>
      <c r="G138" s="65"/>
      <c r="H138" s="65"/>
      <c r="J138" s="325" t="s">
        <v>486</v>
      </c>
      <c r="K138" s="315">
        <f>14*4*2800</f>
        <v>156800</v>
      </c>
      <c r="L138" s="105"/>
    </row>
    <row r="139">
      <c r="A139" s="59" t="s">
        <v>148</v>
      </c>
      <c r="B139" s="26" t="s">
        <v>150</v>
      </c>
      <c r="C139" s="59" t="s">
        <v>298</v>
      </c>
      <c r="D139" s="88">
        <f t="shared" ref="D139:D141" si="11">2000*2*1</f>
        <v>4000</v>
      </c>
      <c r="E139" s="65"/>
      <c r="F139" s="88">
        <f t="shared" si="10"/>
        <v>4000</v>
      </c>
      <c r="G139" s="26" t="s">
        <v>1263</v>
      </c>
      <c r="H139" s="65"/>
      <c r="J139" s="316"/>
      <c r="K139" s="312">
        <v>0.0</v>
      </c>
      <c r="L139" s="105"/>
    </row>
    <row r="140">
      <c r="A140" s="59" t="s">
        <v>151</v>
      </c>
      <c r="B140" s="26" t="s">
        <v>153</v>
      </c>
      <c r="C140" s="59" t="s">
        <v>298</v>
      </c>
      <c r="D140" s="88">
        <f t="shared" si="11"/>
        <v>4000</v>
      </c>
      <c r="E140" s="65"/>
      <c r="F140" s="88">
        <f t="shared" si="10"/>
        <v>4000</v>
      </c>
      <c r="G140" s="26" t="s">
        <v>1263</v>
      </c>
      <c r="H140" s="65"/>
      <c r="J140" s="316"/>
      <c r="K140" s="315">
        <f>SUM(K133:K139)</f>
        <v>183800</v>
      </c>
      <c r="L140" s="105" t="s">
        <v>1264</v>
      </c>
    </row>
    <row r="141">
      <c r="A141" s="59" t="s">
        <v>151</v>
      </c>
      <c r="B141" s="26" t="s">
        <v>155</v>
      </c>
      <c r="C141" s="59" t="s">
        <v>298</v>
      </c>
      <c r="D141" s="88">
        <f t="shared" si="11"/>
        <v>4000</v>
      </c>
      <c r="E141" s="65"/>
      <c r="F141" s="88">
        <f t="shared" si="10"/>
        <v>4000</v>
      </c>
      <c r="G141" s="26" t="s">
        <v>1263</v>
      </c>
      <c r="H141" s="65"/>
      <c r="J141" s="316">
        <v>0.6</v>
      </c>
      <c r="K141" s="315">
        <f>K140*60%</f>
        <v>110280</v>
      </c>
      <c r="L141" s="105" t="s">
        <v>1257</v>
      </c>
    </row>
    <row r="142">
      <c r="A142" s="59" t="s">
        <v>156</v>
      </c>
      <c r="B142" s="26" t="s">
        <v>158</v>
      </c>
      <c r="C142" s="59" t="s">
        <v>292</v>
      </c>
      <c r="D142" s="88">
        <f t="shared" ref="D142:D143" si="12">3000*4*1</f>
        <v>12000</v>
      </c>
      <c r="E142" s="65"/>
      <c r="F142" s="88">
        <f t="shared" si="10"/>
        <v>12000</v>
      </c>
      <c r="G142" s="59" t="s">
        <v>539</v>
      </c>
      <c r="H142" s="65"/>
      <c r="J142" s="316">
        <v>0.4</v>
      </c>
      <c r="K142" s="315">
        <f>K140*40%</f>
        <v>73520</v>
      </c>
      <c r="L142" s="105" t="s">
        <v>1258</v>
      </c>
    </row>
    <row r="143">
      <c r="A143" s="59"/>
      <c r="B143" s="26"/>
      <c r="C143" s="59" t="s">
        <v>298</v>
      </c>
      <c r="D143" s="88">
        <f t="shared" si="12"/>
        <v>12000</v>
      </c>
      <c r="E143" s="65"/>
      <c r="F143" s="65"/>
      <c r="G143" s="59"/>
      <c r="H143" s="65"/>
    </row>
    <row r="144">
      <c r="A144" s="59" t="s">
        <v>156</v>
      </c>
      <c r="B144" s="26" t="s">
        <v>160</v>
      </c>
      <c r="C144" s="59" t="s">
        <v>292</v>
      </c>
      <c r="D144" s="88">
        <f>3000*2*1</f>
        <v>6000</v>
      </c>
      <c r="E144" s="65"/>
      <c r="F144" s="88">
        <f t="shared" ref="F144:F145" si="13">D144-E144</f>
        <v>6000</v>
      </c>
      <c r="G144" s="59" t="s">
        <v>1265</v>
      </c>
      <c r="H144" s="65"/>
    </row>
    <row r="145">
      <c r="A145" s="59" t="s">
        <v>486</v>
      </c>
      <c r="B145" s="59" t="s">
        <v>133</v>
      </c>
      <c r="C145" s="59" t="s">
        <v>298</v>
      </c>
      <c r="D145" s="88">
        <f>14*4*2800</f>
        <v>156800</v>
      </c>
      <c r="E145" s="65"/>
      <c r="F145" s="88">
        <f t="shared" si="13"/>
        <v>156800</v>
      </c>
      <c r="G145" s="59" t="s">
        <v>1262</v>
      </c>
      <c r="H145" s="65"/>
    </row>
    <row r="146">
      <c r="A146" s="69"/>
      <c r="B146" s="69"/>
      <c r="C146" s="69"/>
      <c r="D146" s="89"/>
      <c r="E146" s="69"/>
      <c r="F146" s="69"/>
      <c r="G146" s="69"/>
      <c r="H146" s="69"/>
    </row>
    <row r="147">
      <c r="A147" s="69"/>
      <c r="B147" s="69"/>
      <c r="C147" s="69"/>
      <c r="D147" s="89"/>
      <c r="E147" s="69"/>
      <c r="F147" s="69"/>
      <c r="G147" s="69"/>
      <c r="H147" s="69"/>
    </row>
    <row r="148">
      <c r="A148" s="69"/>
      <c r="B148" s="69"/>
      <c r="C148" s="69"/>
      <c r="D148" s="89"/>
      <c r="E148" s="69"/>
      <c r="F148" s="69"/>
      <c r="G148" s="69"/>
      <c r="H148" s="69"/>
    </row>
    <row r="149">
      <c r="A149" s="305">
        <v>45108.0</v>
      </c>
      <c r="B149" s="34"/>
      <c r="C149" s="34"/>
      <c r="D149" s="34"/>
      <c r="E149" s="34"/>
      <c r="F149" s="34"/>
      <c r="G149" s="34"/>
      <c r="H149" s="39"/>
      <c r="J149" s="308" t="s">
        <v>1253</v>
      </c>
      <c r="K149" s="34"/>
      <c r="L149" s="39"/>
    </row>
    <row r="150">
      <c r="A150" s="309" t="s">
        <v>7</v>
      </c>
      <c r="B150" s="309" t="s">
        <v>1246</v>
      </c>
      <c r="C150" s="309" t="s">
        <v>1247</v>
      </c>
      <c r="D150" s="309" t="s">
        <v>1248</v>
      </c>
      <c r="E150" s="309" t="s">
        <v>1249</v>
      </c>
      <c r="F150" s="309" t="s">
        <v>1250</v>
      </c>
      <c r="G150" s="309" t="s">
        <v>1251</v>
      </c>
      <c r="H150" s="309" t="s">
        <v>618</v>
      </c>
      <c r="J150" s="310" t="s">
        <v>7</v>
      </c>
      <c r="K150" s="310" t="s">
        <v>1254</v>
      </c>
      <c r="L150" s="107"/>
    </row>
    <row r="151">
      <c r="A151" s="59" t="s">
        <v>169</v>
      </c>
      <c r="B151" s="59" t="s">
        <v>171</v>
      </c>
      <c r="C151" s="59" t="s">
        <v>240</v>
      </c>
      <c r="D151" s="273">
        <v>24000.0</v>
      </c>
      <c r="E151" s="65"/>
      <c r="F151" s="88">
        <f t="shared" ref="F151:F167" si="14">D151-E151</f>
        <v>24000</v>
      </c>
      <c r="G151" s="65"/>
      <c r="H151" s="65"/>
      <c r="J151" s="310" t="s">
        <v>169</v>
      </c>
      <c r="K151" s="312">
        <v>24000.0</v>
      </c>
      <c r="L151" s="107"/>
    </row>
    <row r="152">
      <c r="A152" s="65"/>
      <c r="B152" s="65"/>
      <c r="C152" s="59" t="s">
        <v>549</v>
      </c>
      <c r="D152" s="273">
        <v>4000.0</v>
      </c>
      <c r="E152" s="65"/>
      <c r="F152" s="88">
        <f t="shared" si="14"/>
        <v>4000</v>
      </c>
      <c r="G152" s="65"/>
      <c r="H152" s="65"/>
      <c r="J152" s="310" t="s">
        <v>172</v>
      </c>
      <c r="K152" s="312">
        <v>2500.0</v>
      </c>
      <c r="L152" s="107"/>
    </row>
    <row r="153">
      <c r="A153" s="65"/>
      <c r="B153" s="65"/>
      <c r="C153" s="59" t="s">
        <v>24</v>
      </c>
      <c r="D153" s="273">
        <v>6000.0</v>
      </c>
      <c r="E153" s="65"/>
      <c r="F153" s="88">
        <f t="shared" si="14"/>
        <v>6000</v>
      </c>
      <c r="G153" s="65"/>
      <c r="H153" s="65"/>
      <c r="J153" s="310" t="s">
        <v>178</v>
      </c>
      <c r="K153" s="312">
        <v>4000.0</v>
      </c>
      <c r="L153" s="107"/>
    </row>
    <row r="154">
      <c r="A154" s="65"/>
      <c r="B154" s="65"/>
      <c r="C154" s="59" t="s">
        <v>267</v>
      </c>
      <c r="D154" s="273">
        <v>6000.0</v>
      </c>
      <c r="E154" s="65"/>
      <c r="F154" s="88">
        <f t="shared" si="14"/>
        <v>6000</v>
      </c>
      <c r="G154" s="65"/>
      <c r="H154" s="65"/>
      <c r="J154" s="310" t="s">
        <v>181</v>
      </c>
      <c r="K154" s="312">
        <v>24000.0</v>
      </c>
      <c r="L154" s="107"/>
    </row>
    <row r="155">
      <c r="A155" s="65"/>
      <c r="B155" s="65"/>
      <c r="C155" s="59" t="s">
        <v>1242</v>
      </c>
      <c r="D155" s="273">
        <v>21500.0</v>
      </c>
      <c r="E155" s="65">
        <f>5000+2000</f>
        <v>7000</v>
      </c>
      <c r="F155" s="88">
        <f t="shared" si="14"/>
        <v>14500</v>
      </c>
      <c r="G155" s="65"/>
      <c r="H155" s="65"/>
      <c r="J155" s="310"/>
      <c r="K155" s="312"/>
      <c r="L155" s="107"/>
    </row>
    <row r="156">
      <c r="A156" s="59" t="s">
        <v>172</v>
      </c>
      <c r="B156" s="59" t="s">
        <v>174</v>
      </c>
      <c r="C156" s="59" t="s">
        <v>240</v>
      </c>
      <c r="D156" s="273">
        <v>2500.0</v>
      </c>
      <c r="E156" s="65"/>
      <c r="F156" s="88">
        <f t="shared" si="14"/>
        <v>2500</v>
      </c>
      <c r="G156" s="65"/>
      <c r="H156" s="65"/>
      <c r="J156" s="325"/>
      <c r="K156" s="315"/>
      <c r="L156" s="105"/>
    </row>
    <row r="157">
      <c r="A157" s="65"/>
      <c r="B157" s="65"/>
      <c r="C157" s="59" t="s">
        <v>549</v>
      </c>
      <c r="D157" s="273">
        <v>2000.0</v>
      </c>
      <c r="E157" s="65"/>
      <c r="F157" s="88">
        <f t="shared" si="14"/>
        <v>2000</v>
      </c>
      <c r="G157" s="65"/>
      <c r="H157" s="65"/>
      <c r="J157" s="316"/>
      <c r="K157" s="312"/>
      <c r="L157" s="105"/>
    </row>
    <row r="158">
      <c r="A158" s="59" t="s">
        <v>178</v>
      </c>
      <c r="B158" s="59" t="s">
        <v>177</v>
      </c>
      <c r="C158" s="59" t="s">
        <v>240</v>
      </c>
      <c r="D158" s="273">
        <v>4000.0</v>
      </c>
      <c r="E158" s="65"/>
      <c r="F158" s="88">
        <f t="shared" si="14"/>
        <v>4000</v>
      </c>
      <c r="G158" s="65"/>
      <c r="H158" s="65"/>
      <c r="J158" s="316"/>
      <c r="K158" s="315">
        <f>SUM(K151:K157)</f>
        <v>54500</v>
      </c>
      <c r="L158" s="105" t="s">
        <v>1264</v>
      </c>
    </row>
    <row r="159">
      <c r="A159" s="65"/>
      <c r="B159" s="65"/>
      <c r="C159" s="59" t="s">
        <v>549</v>
      </c>
      <c r="D159" s="273">
        <v>2000.0</v>
      </c>
      <c r="E159" s="65"/>
      <c r="F159" s="88">
        <f t="shared" si="14"/>
        <v>2000</v>
      </c>
      <c r="G159" s="65"/>
      <c r="H159" s="65"/>
      <c r="J159" s="316">
        <v>0.6</v>
      </c>
      <c r="K159" s="315">
        <f>K158*60%</f>
        <v>32700</v>
      </c>
      <c r="L159" s="105" t="s">
        <v>1257</v>
      </c>
    </row>
    <row r="160">
      <c r="A160" s="59" t="s">
        <v>181</v>
      </c>
      <c r="B160" s="59" t="s">
        <v>183</v>
      </c>
      <c r="C160" s="59" t="s">
        <v>240</v>
      </c>
      <c r="D160" s="88">
        <f>2*4*3000</f>
        <v>24000</v>
      </c>
      <c r="E160" s="65"/>
      <c r="F160" s="88">
        <f t="shared" si="14"/>
        <v>24000</v>
      </c>
      <c r="G160" s="65"/>
      <c r="H160" s="65"/>
      <c r="J160" s="316">
        <v>0.4</v>
      </c>
      <c r="K160" s="315">
        <f>K158*40%</f>
        <v>21800</v>
      </c>
      <c r="L160" s="105" t="s">
        <v>1258</v>
      </c>
    </row>
    <row r="161">
      <c r="A161" s="65"/>
      <c r="B161" s="65"/>
      <c r="C161" s="59" t="s">
        <v>549</v>
      </c>
      <c r="D161" s="273">
        <v>6000.0</v>
      </c>
      <c r="E161" s="65"/>
      <c r="F161" s="88">
        <f t="shared" si="14"/>
        <v>6000</v>
      </c>
      <c r="G161" s="65"/>
      <c r="H161" s="65"/>
    </row>
    <row r="162">
      <c r="A162" s="65"/>
      <c r="B162" s="65"/>
      <c r="C162" s="59" t="s">
        <v>1232</v>
      </c>
      <c r="D162" s="273">
        <v>3000.0</v>
      </c>
      <c r="E162" s="65"/>
      <c r="F162" s="88">
        <f t="shared" si="14"/>
        <v>3000</v>
      </c>
      <c r="G162" s="65"/>
      <c r="H162" s="65"/>
    </row>
    <row r="163">
      <c r="A163" s="65"/>
      <c r="B163" s="65"/>
      <c r="C163" s="59" t="s">
        <v>275</v>
      </c>
      <c r="D163" s="273">
        <v>6000.0</v>
      </c>
      <c r="E163" s="65"/>
      <c r="F163" s="88">
        <f t="shared" si="14"/>
        <v>6000</v>
      </c>
      <c r="G163" s="65"/>
      <c r="H163" s="65"/>
    </row>
    <row r="164">
      <c r="A164" s="65"/>
      <c r="B164" s="65"/>
      <c r="C164" s="59" t="s">
        <v>1266</v>
      </c>
      <c r="D164" s="273">
        <v>3300.0</v>
      </c>
      <c r="E164" s="65"/>
      <c r="F164" s="88">
        <f t="shared" si="14"/>
        <v>3300</v>
      </c>
      <c r="G164" s="65"/>
      <c r="H164" s="65"/>
    </row>
    <row r="165">
      <c r="A165" s="59" t="s">
        <v>181</v>
      </c>
      <c r="B165" s="59" t="s">
        <v>185</v>
      </c>
      <c r="C165" s="59" t="s">
        <v>285</v>
      </c>
      <c r="D165" s="273">
        <v>6000.0</v>
      </c>
      <c r="E165" s="65"/>
      <c r="F165" s="88">
        <f t="shared" si="14"/>
        <v>6000</v>
      </c>
      <c r="G165" s="65"/>
      <c r="H165" s="65"/>
    </row>
    <row r="166">
      <c r="A166" s="59"/>
      <c r="B166" s="59"/>
      <c r="C166" s="59" t="s">
        <v>1267</v>
      </c>
      <c r="D166" s="273">
        <v>1800.0</v>
      </c>
      <c r="E166" s="65"/>
      <c r="F166" s="88">
        <f t="shared" si="14"/>
        <v>1800</v>
      </c>
      <c r="G166" s="65"/>
      <c r="H166" s="65"/>
    </row>
    <row r="167">
      <c r="A167" s="59"/>
      <c r="B167" s="59"/>
      <c r="C167" s="59" t="s">
        <v>1268</v>
      </c>
      <c r="D167" s="273">
        <v>2500.0</v>
      </c>
      <c r="E167" s="65"/>
      <c r="F167" s="88">
        <f t="shared" si="14"/>
        <v>2500</v>
      </c>
      <c r="G167" s="65"/>
      <c r="H167" s="65"/>
    </row>
    <row r="168">
      <c r="A168" s="69"/>
      <c r="B168" s="69"/>
      <c r="C168" s="69"/>
      <c r="D168" s="89"/>
      <c r="E168" s="69"/>
      <c r="F168" s="69"/>
      <c r="G168" s="69"/>
      <c r="H168" s="69"/>
    </row>
    <row r="169">
      <c r="A169" s="305">
        <v>45139.0</v>
      </c>
      <c r="B169" s="34"/>
      <c r="C169" s="34"/>
      <c r="D169" s="34"/>
      <c r="E169" s="34"/>
      <c r="F169" s="34"/>
      <c r="G169" s="34"/>
      <c r="H169" s="39"/>
      <c r="J169" s="308" t="s">
        <v>1253</v>
      </c>
      <c r="K169" s="34"/>
      <c r="L169" s="39"/>
    </row>
    <row r="170">
      <c r="A170" s="309" t="s">
        <v>7</v>
      </c>
      <c r="B170" s="309" t="s">
        <v>1246</v>
      </c>
      <c r="C170" s="309" t="s">
        <v>1247</v>
      </c>
      <c r="D170" s="309" t="s">
        <v>1248</v>
      </c>
      <c r="E170" s="309" t="s">
        <v>1249</v>
      </c>
      <c r="F170" s="309" t="s">
        <v>1250</v>
      </c>
      <c r="G170" s="309" t="s">
        <v>1251</v>
      </c>
      <c r="H170" s="309" t="s">
        <v>618</v>
      </c>
      <c r="J170" s="310" t="s">
        <v>7</v>
      </c>
      <c r="K170" s="310" t="s">
        <v>1254</v>
      </c>
      <c r="L170" s="107"/>
    </row>
    <row r="171">
      <c r="A171" s="153" t="s">
        <v>186</v>
      </c>
      <c r="B171" s="153" t="s">
        <v>187</v>
      </c>
      <c r="C171" s="153" t="s">
        <v>290</v>
      </c>
      <c r="D171" s="89">
        <f>2*4*3000</f>
        <v>24000</v>
      </c>
      <c r="E171" s="69"/>
      <c r="F171" s="89">
        <f t="shared" ref="F171:F212" si="15">D171-E171</f>
        <v>24000</v>
      </c>
      <c r="G171" s="153" t="s">
        <v>1269</v>
      </c>
      <c r="H171" s="69"/>
      <c r="J171" s="310" t="s">
        <v>186</v>
      </c>
      <c r="K171" s="312">
        <v>24000.0</v>
      </c>
      <c r="L171" s="107"/>
    </row>
    <row r="172">
      <c r="A172" s="69"/>
      <c r="B172" s="69"/>
      <c r="C172" s="153" t="s">
        <v>549</v>
      </c>
      <c r="D172" s="89">
        <f>2*2*2000</f>
        <v>8000</v>
      </c>
      <c r="E172" s="69"/>
      <c r="F172" s="89">
        <f t="shared" si="15"/>
        <v>8000</v>
      </c>
      <c r="G172" s="69"/>
      <c r="H172" s="69"/>
      <c r="J172" s="310" t="s">
        <v>194</v>
      </c>
      <c r="K172" s="312">
        <v>3000.0</v>
      </c>
      <c r="L172" s="107"/>
    </row>
    <row r="173">
      <c r="A173" s="69"/>
      <c r="B173" s="69"/>
      <c r="C173" s="69"/>
      <c r="D173" s="89"/>
      <c r="E173" s="69"/>
      <c r="F173" s="89">
        <f t="shared" si="15"/>
        <v>0</v>
      </c>
      <c r="G173" s="69"/>
      <c r="H173" s="69"/>
      <c r="J173" s="310"/>
      <c r="K173" s="312"/>
      <c r="L173" s="107"/>
    </row>
    <row r="174">
      <c r="A174" s="69"/>
      <c r="B174" s="69"/>
      <c r="C174" s="69"/>
      <c r="D174" s="89"/>
      <c r="E174" s="69"/>
      <c r="F174" s="89">
        <f t="shared" si="15"/>
        <v>0</v>
      </c>
      <c r="G174" s="69"/>
      <c r="H174" s="69"/>
      <c r="J174" s="310"/>
      <c r="K174" s="312"/>
      <c r="L174" s="107"/>
    </row>
    <row r="175">
      <c r="A175" s="69"/>
      <c r="B175" s="69"/>
      <c r="C175" s="69"/>
      <c r="D175" s="89"/>
      <c r="E175" s="69"/>
      <c r="F175" s="89">
        <f t="shared" si="15"/>
        <v>0</v>
      </c>
      <c r="G175" s="69"/>
      <c r="H175" s="69"/>
      <c r="J175" s="310"/>
      <c r="K175" s="312"/>
      <c r="L175" s="107"/>
    </row>
    <row r="176">
      <c r="A176" s="69"/>
      <c r="B176" s="69"/>
      <c r="C176" s="69"/>
      <c r="D176" s="89"/>
      <c r="E176" s="69"/>
      <c r="F176" s="89">
        <f t="shared" si="15"/>
        <v>0</v>
      </c>
      <c r="G176" s="69"/>
      <c r="H176" s="69"/>
      <c r="J176" s="325"/>
      <c r="K176" s="315"/>
      <c r="L176" s="105"/>
    </row>
    <row r="177">
      <c r="A177" s="69"/>
      <c r="B177" s="69"/>
      <c r="C177" s="69"/>
      <c r="D177" s="89"/>
      <c r="E177" s="69"/>
      <c r="F177" s="89">
        <f t="shared" si="15"/>
        <v>0</v>
      </c>
      <c r="G177" s="69"/>
      <c r="H177" s="69"/>
      <c r="J177" s="316"/>
      <c r="K177" s="312"/>
      <c r="L177" s="105"/>
    </row>
    <row r="178">
      <c r="A178" s="69"/>
      <c r="B178" s="69"/>
      <c r="C178" s="69"/>
      <c r="D178" s="89"/>
      <c r="E178" s="69"/>
      <c r="F178" s="89">
        <f t="shared" si="15"/>
        <v>0</v>
      </c>
      <c r="G178" s="69"/>
      <c r="H178" s="69"/>
      <c r="J178" s="316"/>
      <c r="K178" s="315">
        <f>SUM(K171:K177)</f>
        <v>27000</v>
      </c>
      <c r="L178" s="105" t="s">
        <v>1264</v>
      </c>
    </row>
    <row r="179">
      <c r="A179" s="69"/>
      <c r="B179" s="69"/>
      <c r="C179" s="69"/>
      <c r="D179" s="89"/>
      <c r="E179" s="69"/>
      <c r="F179" s="89">
        <f t="shared" si="15"/>
        <v>0</v>
      </c>
      <c r="G179" s="69"/>
      <c r="H179" s="69"/>
      <c r="J179" s="316">
        <v>0.6</v>
      </c>
      <c r="K179" s="315">
        <f>K178*60%</f>
        <v>16200</v>
      </c>
      <c r="L179" s="105" t="s">
        <v>1257</v>
      </c>
    </row>
    <row r="180">
      <c r="A180" s="69"/>
      <c r="B180" s="69"/>
      <c r="C180" s="69"/>
      <c r="D180" s="89"/>
      <c r="E180" s="69"/>
      <c r="F180" s="89">
        <f t="shared" si="15"/>
        <v>0</v>
      </c>
      <c r="G180" s="69"/>
      <c r="H180" s="69"/>
      <c r="J180" s="316">
        <v>0.4</v>
      </c>
      <c r="K180" s="315">
        <f>K178*40%</f>
        <v>10800</v>
      </c>
      <c r="L180" s="105" t="s">
        <v>1258</v>
      </c>
    </row>
    <row r="181">
      <c r="A181" s="69"/>
      <c r="B181" s="69"/>
      <c r="C181" s="69"/>
      <c r="D181" s="69"/>
      <c r="E181" s="69"/>
      <c r="F181" s="69">
        <f t="shared" si="15"/>
        <v>0</v>
      </c>
      <c r="G181" s="69"/>
      <c r="H181" s="69"/>
    </row>
    <row r="182">
      <c r="A182" s="69"/>
      <c r="B182" s="69"/>
      <c r="C182" s="69"/>
      <c r="D182" s="69"/>
      <c r="E182" s="69"/>
      <c r="F182" s="69">
        <f t="shared" si="15"/>
        <v>0</v>
      </c>
      <c r="G182" s="69"/>
      <c r="H182" s="69"/>
    </row>
    <row r="183">
      <c r="A183" s="69"/>
      <c r="B183" s="69"/>
      <c r="C183" s="69"/>
      <c r="D183" s="69"/>
      <c r="E183" s="69"/>
      <c r="F183" s="69">
        <f t="shared" si="15"/>
        <v>0</v>
      </c>
      <c r="G183" s="69"/>
      <c r="H183" s="69"/>
    </row>
    <row r="184">
      <c r="A184" s="69"/>
      <c r="B184" s="69"/>
      <c r="C184" s="69"/>
      <c r="D184" s="69"/>
      <c r="E184" s="69"/>
      <c r="F184" s="69">
        <f t="shared" si="15"/>
        <v>0</v>
      </c>
      <c r="G184" s="69"/>
      <c r="H184" s="69"/>
    </row>
    <row r="185">
      <c r="A185" s="69"/>
      <c r="B185" s="69"/>
      <c r="C185" s="69"/>
      <c r="D185" s="69"/>
      <c r="E185" s="69"/>
      <c r="F185" s="69">
        <f t="shared" si="15"/>
        <v>0</v>
      </c>
      <c r="G185" s="69"/>
      <c r="H185" s="69"/>
    </row>
    <row r="186">
      <c r="A186" s="69"/>
      <c r="B186" s="69"/>
      <c r="C186" s="69"/>
      <c r="D186" s="69"/>
      <c r="E186" s="69"/>
      <c r="F186" s="69">
        <f t="shared" si="15"/>
        <v>0</v>
      </c>
      <c r="G186" s="69"/>
      <c r="H186" s="69"/>
    </row>
    <row r="187">
      <c r="A187" s="69"/>
      <c r="B187" s="69"/>
      <c r="C187" s="69"/>
      <c r="D187" s="69"/>
      <c r="E187" s="69"/>
      <c r="F187" s="69">
        <f t="shared" si="15"/>
        <v>0</v>
      </c>
      <c r="G187" s="69"/>
      <c r="H187" s="69"/>
    </row>
    <row r="188">
      <c r="A188" s="69"/>
      <c r="B188" s="69"/>
      <c r="C188" s="69"/>
      <c r="D188" s="69"/>
      <c r="E188" s="69"/>
      <c r="F188" s="69">
        <f t="shared" si="15"/>
        <v>0</v>
      </c>
      <c r="G188" s="69"/>
      <c r="H188" s="69"/>
    </row>
    <row r="189">
      <c r="A189" s="69"/>
      <c r="B189" s="69"/>
      <c r="C189" s="69"/>
      <c r="D189" s="69"/>
      <c r="E189" s="69"/>
      <c r="F189" s="69">
        <f t="shared" si="15"/>
        <v>0</v>
      </c>
      <c r="G189" s="69"/>
      <c r="H189" s="69"/>
    </row>
    <row r="190">
      <c r="A190" s="69"/>
      <c r="B190" s="69"/>
      <c r="C190" s="69"/>
      <c r="D190" s="69"/>
      <c r="E190" s="69"/>
      <c r="F190" s="69">
        <f t="shared" si="15"/>
        <v>0</v>
      </c>
      <c r="G190" s="69"/>
      <c r="H190" s="69"/>
    </row>
    <row r="191">
      <c r="A191" s="69"/>
      <c r="B191" s="69"/>
      <c r="C191" s="69"/>
      <c r="D191" s="69"/>
      <c r="E191" s="69"/>
      <c r="F191" s="69">
        <f t="shared" si="15"/>
        <v>0</v>
      </c>
      <c r="G191" s="69"/>
      <c r="H191" s="69"/>
    </row>
    <row r="192">
      <c r="A192" s="69"/>
      <c r="B192" s="69"/>
      <c r="C192" s="69"/>
      <c r="D192" s="69"/>
      <c r="E192" s="69"/>
      <c r="F192" s="69">
        <f t="shared" si="15"/>
        <v>0</v>
      </c>
      <c r="G192" s="69"/>
      <c r="H192" s="69"/>
    </row>
    <row r="193">
      <c r="A193" s="69"/>
      <c r="B193" s="69"/>
      <c r="C193" s="69"/>
      <c r="D193" s="69"/>
      <c r="E193" s="69"/>
      <c r="F193" s="69">
        <f t="shared" si="15"/>
        <v>0</v>
      </c>
      <c r="G193" s="69"/>
      <c r="H193" s="69"/>
    </row>
    <row r="194">
      <c r="A194" s="69"/>
      <c r="B194" s="69"/>
      <c r="C194" s="69"/>
      <c r="D194" s="69"/>
      <c r="E194" s="69"/>
      <c r="F194" s="69">
        <f t="shared" si="15"/>
        <v>0</v>
      </c>
      <c r="G194" s="69"/>
      <c r="H194" s="69"/>
    </row>
    <row r="195">
      <c r="A195" s="69"/>
      <c r="B195" s="69"/>
      <c r="C195" s="69"/>
      <c r="D195" s="69"/>
      <c r="E195" s="69"/>
      <c r="F195" s="69">
        <f t="shared" si="15"/>
        <v>0</v>
      </c>
      <c r="G195" s="69"/>
      <c r="H195" s="69"/>
    </row>
    <row r="196">
      <c r="A196" s="69"/>
      <c r="B196" s="69"/>
      <c r="C196" s="69"/>
      <c r="D196" s="69"/>
      <c r="E196" s="69"/>
      <c r="F196" s="69">
        <f t="shared" si="15"/>
        <v>0</v>
      </c>
      <c r="G196" s="69"/>
      <c r="H196" s="69"/>
    </row>
    <row r="197">
      <c r="F197" s="69">
        <f t="shared" si="15"/>
        <v>0</v>
      </c>
    </row>
    <row r="198">
      <c r="F198" s="69">
        <f t="shared" si="15"/>
        <v>0</v>
      </c>
    </row>
    <row r="199">
      <c r="F199" s="69">
        <f t="shared" si="15"/>
        <v>0</v>
      </c>
    </row>
    <row r="200">
      <c r="F200" s="69">
        <f t="shared" si="15"/>
        <v>0</v>
      </c>
    </row>
    <row r="201">
      <c r="F201" s="69">
        <f t="shared" si="15"/>
        <v>0</v>
      </c>
    </row>
    <row r="202">
      <c r="F202" s="69">
        <f t="shared" si="15"/>
        <v>0</v>
      </c>
    </row>
    <row r="203">
      <c r="F203" s="69">
        <f t="shared" si="15"/>
        <v>0</v>
      </c>
    </row>
    <row r="204">
      <c r="F204" s="69">
        <f t="shared" si="15"/>
        <v>0</v>
      </c>
    </row>
    <row r="205">
      <c r="F205" s="69">
        <f t="shared" si="15"/>
        <v>0</v>
      </c>
    </row>
    <row r="206">
      <c r="F206" s="69">
        <f t="shared" si="15"/>
        <v>0</v>
      </c>
    </row>
    <row r="207">
      <c r="F207" s="69">
        <f t="shared" si="15"/>
        <v>0</v>
      </c>
    </row>
    <row r="208">
      <c r="F208" s="69">
        <f t="shared" si="15"/>
        <v>0</v>
      </c>
    </row>
    <row r="209">
      <c r="F209" s="69">
        <f t="shared" si="15"/>
        <v>0</v>
      </c>
    </row>
    <row r="210">
      <c r="F210" s="69">
        <f t="shared" si="15"/>
        <v>0</v>
      </c>
    </row>
    <row r="211">
      <c r="F211" s="69">
        <f t="shared" si="15"/>
        <v>0</v>
      </c>
    </row>
    <row r="212">
      <c r="F212" s="69">
        <f t="shared" si="15"/>
        <v>0</v>
      </c>
    </row>
  </sheetData>
  <mergeCells count="20">
    <mergeCell ref="A6:H6"/>
    <mergeCell ref="A7:H7"/>
    <mergeCell ref="A9:H9"/>
    <mergeCell ref="A21:E21"/>
    <mergeCell ref="A24:H24"/>
    <mergeCell ref="J24:L24"/>
    <mergeCell ref="A69:E69"/>
    <mergeCell ref="A131:H131"/>
    <mergeCell ref="J131:L131"/>
    <mergeCell ref="A149:H149"/>
    <mergeCell ref="J149:L149"/>
    <mergeCell ref="A169:H169"/>
    <mergeCell ref="J169:L169"/>
    <mergeCell ref="A72:H72"/>
    <mergeCell ref="J72:L72"/>
    <mergeCell ref="A106:E106"/>
    <mergeCell ref="A110:H110"/>
    <mergeCell ref="J110:L110"/>
    <mergeCell ref="A121:H121"/>
    <mergeCell ref="J121:L121"/>
  </mergeCells>
  <hyperlinks>
    <hyperlink r:id="rId1" ref="A7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5"/>
    <col customWidth="1" min="3" max="3" width="11.5"/>
    <col customWidth="1" min="4" max="4" width="17.75"/>
  </cols>
  <sheetData>
    <row r="5">
      <c r="A5" s="326">
        <v>44927.0</v>
      </c>
      <c r="B5" s="327"/>
      <c r="C5" s="327"/>
      <c r="D5" s="328"/>
    </row>
    <row r="6" hidden="1">
      <c r="A6" s="329" t="s">
        <v>7</v>
      </c>
      <c r="B6" s="330" t="s">
        <v>686</v>
      </c>
      <c r="C6" s="330" t="s">
        <v>238</v>
      </c>
      <c r="D6" s="330" t="s">
        <v>239</v>
      </c>
    </row>
    <row r="7" hidden="1">
      <c r="A7" s="58" t="s">
        <v>621</v>
      </c>
      <c r="B7" s="59" t="s">
        <v>626</v>
      </c>
      <c r="C7" s="97">
        <f>300+300+300+200+200</f>
        <v>1300</v>
      </c>
      <c r="D7" s="65"/>
    </row>
    <row r="8" hidden="1">
      <c r="A8" s="62"/>
      <c r="B8" s="59" t="s">
        <v>629</v>
      </c>
      <c r="C8" s="96">
        <v>100.0</v>
      </c>
      <c r="D8" s="59" t="s">
        <v>630</v>
      </c>
    </row>
    <row r="9" hidden="1">
      <c r="A9" s="62"/>
      <c r="B9" s="59" t="s">
        <v>633</v>
      </c>
      <c r="C9" s="96">
        <v>240.0</v>
      </c>
      <c r="D9" s="65"/>
    </row>
    <row r="10" hidden="1">
      <c r="A10" s="62"/>
      <c r="B10" s="59" t="s">
        <v>636</v>
      </c>
      <c r="C10" s="96">
        <v>60.0</v>
      </c>
      <c r="D10" s="59" t="s">
        <v>547</v>
      </c>
    </row>
    <row r="11" hidden="1">
      <c r="A11" s="58" t="s">
        <v>642</v>
      </c>
      <c r="B11" s="59" t="s">
        <v>643</v>
      </c>
      <c r="C11" s="96">
        <v>800.0</v>
      </c>
      <c r="D11" s="65"/>
    </row>
    <row r="12" hidden="1">
      <c r="A12" s="62"/>
      <c r="B12" s="59" t="s">
        <v>647</v>
      </c>
      <c r="C12" s="96">
        <v>510.0</v>
      </c>
      <c r="D12" s="65"/>
    </row>
    <row r="13" hidden="1">
      <c r="A13" s="62"/>
      <c r="B13" s="59" t="s">
        <v>650</v>
      </c>
      <c r="C13" s="96">
        <v>220.0</v>
      </c>
      <c r="D13" s="65"/>
    </row>
    <row r="14" hidden="1">
      <c r="A14" s="62"/>
      <c r="B14" s="59" t="s">
        <v>652</v>
      </c>
      <c r="C14" s="96">
        <v>100.0</v>
      </c>
      <c r="D14" s="65"/>
    </row>
    <row r="15" hidden="1">
      <c r="A15" s="62"/>
      <c r="B15" s="59" t="s">
        <v>655</v>
      </c>
      <c r="C15" s="96">
        <v>170.0</v>
      </c>
      <c r="D15" s="65"/>
    </row>
    <row r="16" hidden="1">
      <c r="A16" s="58" t="s">
        <v>658</v>
      </c>
      <c r="B16" s="59" t="s">
        <v>659</v>
      </c>
      <c r="C16" s="96">
        <v>480.0</v>
      </c>
      <c r="D16" s="65"/>
    </row>
    <row r="17" hidden="1">
      <c r="A17" s="62"/>
      <c r="B17" s="59" t="s">
        <v>664</v>
      </c>
      <c r="C17" s="96">
        <v>1050.0</v>
      </c>
      <c r="D17" s="65"/>
    </row>
    <row r="18" hidden="1">
      <c r="A18" s="62"/>
      <c r="B18" s="59" t="s">
        <v>647</v>
      </c>
      <c r="C18" s="96">
        <v>110.0</v>
      </c>
      <c r="D18" s="65"/>
    </row>
    <row r="19" hidden="1">
      <c r="A19" s="62"/>
      <c r="B19" s="59" t="s">
        <v>668</v>
      </c>
      <c r="C19" s="96">
        <v>400.0</v>
      </c>
      <c r="D19" s="59" t="s">
        <v>669</v>
      </c>
    </row>
    <row r="20" hidden="1">
      <c r="A20" s="62"/>
      <c r="B20" s="59" t="s">
        <v>672</v>
      </c>
      <c r="C20" s="96">
        <v>310.0</v>
      </c>
      <c r="D20" s="59" t="s">
        <v>673</v>
      </c>
    </row>
    <row r="21" hidden="1">
      <c r="A21" s="62"/>
      <c r="B21" s="59" t="s">
        <v>676</v>
      </c>
      <c r="C21" s="96">
        <v>100.0</v>
      </c>
      <c r="D21" s="65"/>
    </row>
    <row r="22" hidden="1">
      <c r="A22" s="58" t="s">
        <v>678</v>
      </c>
      <c r="B22" s="59" t="s">
        <v>679</v>
      </c>
      <c r="C22" s="97">
        <f>150+150+100</f>
        <v>400</v>
      </c>
      <c r="D22" s="59" t="s">
        <v>383</v>
      </c>
    </row>
    <row r="23" hidden="1">
      <c r="A23" s="62"/>
      <c r="B23" s="59" t="s">
        <v>680</v>
      </c>
      <c r="C23" s="96">
        <v>300.0</v>
      </c>
      <c r="D23" s="65"/>
    </row>
    <row r="24" hidden="1">
      <c r="A24" s="62"/>
      <c r="B24" s="59" t="s">
        <v>647</v>
      </c>
      <c r="C24" s="96">
        <v>180.0</v>
      </c>
      <c r="D24" s="65"/>
    </row>
    <row r="25" hidden="1">
      <c r="A25" s="58" t="s">
        <v>682</v>
      </c>
      <c r="B25" s="59" t="s">
        <v>683</v>
      </c>
      <c r="C25" s="96">
        <v>350.0</v>
      </c>
      <c r="D25" s="65"/>
    </row>
    <row r="26" hidden="1">
      <c r="A26" s="62"/>
      <c r="B26" s="59" t="s">
        <v>685</v>
      </c>
      <c r="C26" s="82">
        <v>1000.0</v>
      </c>
      <c r="D26" s="65"/>
    </row>
    <row r="27" hidden="1">
      <c r="A27" s="62"/>
      <c r="B27" s="59" t="s">
        <v>647</v>
      </c>
      <c r="C27" s="96">
        <v>40.0</v>
      </c>
      <c r="D27" s="65"/>
    </row>
    <row r="28" hidden="1">
      <c r="A28" s="62"/>
      <c r="B28" s="59" t="s">
        <v>688</v>
      </c>
      <c r="C28" s="96">
        <v>60.0</v>
      </c>
      <c r="D28" s="59" t="s">
        <v>689</v>
      </c>
    </row>
    <row r="29" hidden="1">
      <c r="A29" s="58" t="s">
        <v>691</v>
      </c>
      <c r="B29" s="64" t="s">
        <v>697</v>
      </c>
      <c r="C29" s="82">
        <f>10000+10000+13000</f>
        <v>33000</v>
      </c>
      <c r="D29" s="107"/>
    </row>
    <row r="30" hidden="1">
      <c r="A30" s="62"/>
      <c r="B30" s="59" t="s">
        <v>647</v>
      </c>
      <c r="C30" s="96">
        <v>240.0</v>
      </c>
      <c r="D30" s="107"/>
    </row>
    <row r="31" hidden="1">
      <c r="A31" s="58" t="s">
        <v>700</v>
      </c>
      <c r="B31" s="59" t="s">
        <v>647</v>
      </c>
      <c r="C31" s="96">
        <f>140+150+100</f>
        <v>390</v>
      </c>
      <c r="D31" s="107"/>
    </row>
    <row r="32" hidden="1">
      <c r="A32" s="62"/>
      <c r="B32" s="59" t="s">
        <v>701</v>
      </c>
      <c r="C32" s="96">
        <v>400.0</v>
      </c>
      <c r="D32" s="107"/>
    </row>
    <row r="33" hidden="1">
      <c r="A33" s="62"/>
      <c r="B33" s="59" t="s">
        <v>703</v>
      </c>
      <c r="C33" s="96">
        <v>3100.0</v>
      </c>
      <c r="D33" s="107"/>
    </row>
    <row r="34" hidden="1">
      <c r="A34" s="58" t="s">
        <v>624</v>
      </c>
      <c r="B34" s="59" t="s">
        <v>704</v>
      </c>
      <c r="C34" s="96">
        <v>2250.0</v>
      </c>
      <c r="D34" s="107"/>
    </row>
    <row r="35" hidden="1">
      <c r="A35" s="62"/>
      <c r="B35" s="59" t="s">
        <v>706</v>
      </c>
      <c r="C35" s="96">
        <v>100.0</v>
      </c>
      <c r="D35" s="107"/>
    </row>
    <row r="36" hidden="1">
      <c r="A36" s="62"/>
      <c r="B36" s="59" t="s">
        <v>647</v>
      </c>
      <c r="C36" s="82">
        <f>60+170+100</f>
        <v>330</v>
      </c>
      <c r="D36" s="107"/>
    </row>
    <row r="37" hidden="1">
      <c r="A37" s="62"/>
      <c r="B37" s="179" t="s">
        <v>651</v>
      </c>
      <c r="C37" s="180">
        <v>16780.0</v>
      </c>
      <c r="D37" s="107"/>
    </row>
    <row r="38" hidden="1">
      <c r="A38" s="62"/>
      <c r="B38" s="179" t="s">
        <v>653</v>
      </c>
      <c r="C38" s="180">
        <v>24300.0</v>
      </c>
      <c r="D38" s="107"/>
    </row>
    <row r="39" hidden="1">
      <c r="A39" s="62"/>
      <c r="B39" s="179" t="s">
        <v>656</v>
      </c>
      <c r="C39" s="180">
        <v>7800.0</v>
      </c>
      <c r="D39" s="107"/>
    </row>
    <row r="40" hidden="1">
      <c r="A40" s="62"/>
      <c r="B40" s="179" t="s">
        <v>660</v>
      </c>
      <c r="C40" s="180">
        <v>7565.0</v>
      </c>
      <c r="D40" s="107"/>
    </row>
    <row r="41" hidden="1">
      <c r="A41" s="62"/>
      <c r="B41" s="59" t="s">
        <v>708</v>
      </c>
      <c r="C41" s="97">
        <f>500+110+140+100</f>
        <v>850</v>
      </c>
      <c r="D41" s="107"/>
    </row>
    <row r="42" hidden="1">
      <c r="A42" s="58" t="s">
        <v>710</v>
      </c>
      <c r="B42" s="59" t="s">
        <v>647</v>
      </c>
      <c r="C42" s="97">
        <f>120+100+140+120</f>
        <v>480</v>
      </c>
      <c r="D42" s="107"/>
    </row>
    <row r="43" hidden="1">
      <c r="A43" s="62"/>
      <c r="B43" s="59" t="s">
        <v>711</v>
      </c>
      <c r="C43" s="96">
        <v>470.0</v>
      </c>
      <c r="D43" s="107"/>
    </row>
    <row r="44" hidden="1">
      <c r="A44" s="58" t="s">
        <v>713</v>
      </c>
      <c r="B44" s="59" t="s">
        <v>714</v>
      </c>
      <c r="C44" s="97">
        <f>40+50+60</f>
        <v>150</v>
      </c>
      <c r="D44" s="107"/>
    </row>
    <row r="45" hidden="1">
      <c r="A45" s="62"/>
      <c r="B45" s="59" t="s">
        <v>715</v>
      </c>
      <c r="C45" s="96">
        <v>49341.0</v>
      </c>
      <c r="D45" s="65"/>
    </row>
    <row r="46" hidden="1">
      <c r="A46" s="62"/>
      <c r="B46" s="59" t="s">
        <v>647</v>
      </c>
      <c r="C46" s="97">
        <f>90+410</f>
        <v>500</v>
      </c>
      <c r="D46" s="65"/>
    </row>
    <row r="47" hidden="1">
      <c r="A47" s="58" t="s">
        <v>634</v>
      </c>
      <c r="B47" s="59" t="s">
        <v>716</v>
      </c>
      <c r="C47" s="97">
        <f>1400*9</f>
        <v>12600</v>
      </c>
      <c r="D47" s="65"/>
    </row>
    <row r="48" hidden="1">
      <c r="A48" s="62"/>
      <c r="B48" s="59" t="s">
        <v>717</v>
      </c>
      <c r="C48" s="96">
        <v>250.0</v>
      </c>
      <c r="D48" s="65"/>
    </row>
    <row r="49" hidden="1">
      <c r="A49" s="62"/>
      <c r="B49" s="59" t="s">
        <v>350</v>
      </c>
      <c r="C49" s="96">
        <v>120.0</v>
      </c>
      <c r="D49" s="65"/>
    </row>
    <row r="50" hidden="1">
      <c r="A50" s="62"/>
      <c r="B50" s="179" t="s">
        <v>665</v>
      </c>
      <c r="C50" s="180">
        <v>10100.0</v>
      </c>
      <c r="D50" s="65"/>
    </row>
    <row r="51" hidden="1">
      <c r="A51" s="62"/>
      <c r="B51" s="179" t="s">
        <v>667</v>
      </c>
      <c r="C51" s="180">
        <v>16500.0</v>
      </c>
      <c r="D51" s="65"/>
    </row>
    <row r="52" hidden="1">
      <c r="A52" s="62"/>
      <c r="B52" s="59" t="s">
        <v>472</v>
      </c>
      <c r="C52" s="96">
        <v>900.0</v>
      </c>
      <c r="D52" s="65"/>
    </row>
    <row r="53" hidden="1">
      <c r="A53" s="62"/>
      <c r="B53" s="59" t="s">
        <v>647</v>
      </c>
      <c r="C53" s="97">
        <f>160+90+30+100</f>
        <v>380</v>
      </c>
      <c r="D53" s="65"/>
    </row>
    <row r="54" hidden="1">
      <c r="A54" s="58" t="s">
        <v>640</v>
      </c>
      <c r="B54" s="179" t="s">
        <v>648</v>
      </c>
      <c r="C54" s="96">
        <v>40000.0</v>
      </c>
      <c r="D54" s="65"/>
    </row>
    <row r="55" hidden="1">
      <c r="A55" s="62"/>
      <c r="B55" s="59" t="s">
        <v>720</v>
      </c>
      <c r="C55" s="96">
        <f>140+210</f>
        <v>350</v>
      </c>
      <c r="D55" s="59" t="s">
        <v>721</v>
      </c>
    </row>
    <row r="56" hidden="1">
      <c r="A56" s="62"/>
      <c r="B56" s="59" t="s">
        <v>722</v>
      </c>
      <c r="C56" s="96">
        <f>250+10+25</f>
        <v>285</v>
      </c>
      <c r="D56" s="65"/>
    </row>
    <row r="57" hidden="1">
      <c r="A57" s="58" t="s">
        <v>645</v>
      </c>
      <c r="B57" s="59" t="s">
        <v>723</v>
      </c>
      <c r="C57" s="96">
        <v>100000.0</v>
      </c>
      <c r="D57" s="65"/>
    </row>
    <row r="58" hidden="1">
      <c r="A58" s="62"/>
      <c r="B58" s="59" t="s">
        <v>724</v>
      </c>
      <c r="C58" s="97">
        <f>250+275+160+60</f>
        <v>745</v>
      </c>
      <c r="D58" s="65"/>
    </row>
    <row r="59" hidden="1">
      <c r="A59" s="62"/>
      <c r="B59" s="59" t="s">
        <v>647</v>
      </c>
      <c r="C59" s="97">
        <f>100+60</f>
        <v>160</v>
      </c>
      <c r="D59" s="65"/>
    </row>
    <row r="60" hidden="1">
      <c r="A60" s="58" t="s">
        <v>725</v>
      </c>
      <c r="B60" s="59" t="s">
        <v>647</v>
      </c>
      <c r="C60" s="96">
        <f>80+140+90+40+80+70+120</f>
        <v>620</v>
      </c>
      <c r="D60" s="65"/>
    </row>
    <row r="61" hidden="1">
      <c r="A61" s="62"/>
      <c r="B61" s="59" t="s">
        <v>726</v>
      </c>
      <c r="C61" s="97">
        <f>50+180+50+400+300+100</f>
        <v>1080</v>
      </c>
      <c r="D61" s="59" t="s">
        <v>727</v>
      </c>
    </row>
    <row r="62" hidden="1">
      <c r="A62" s="62"/>
      <c r="B62" s="59" t="s">
        <v>728</v>
      </c>
      <c r="C62" s="96">
        <v>930.0</v>
      </c>
      <c r="D62" s="65"/>
    </row>
    <row r="63" hidden="1">
      <c r="A63" s="62"/>
      <c r="B63" s="59" t="s">
        <v>729</v>
      </c>
      <c r="C63" s="96">
        <v>13000.0</v>
      </c>
      <c r="D63" s="65"/>
    </row>
    <row r="64" hidden="1">
      <c r="A64" s="62"/>
      <c r="B64" s="59" t="s">
        <v>730</v>
      </c>
      <c r="C64" s="96">
        <v>270.0</v>
      </c>
      <c r="D64" s="65"/>
    </row>
    <row r="65" hidden="1">
      <c r="A65" s="62"/>
      <c r="B65" s="59" t="s">
        <v>731</v>
      </c>
      <c r="C65" s="96">
        <v>7500.0</v>
      </c>
      <c r="D65" s="65"/>
    </row>
    <row r="66" hidden="1">
      <c r="A66" s="62"/>
      <c r="B66" s="59" t="s">
        <v>350</v>
      </c>
      <c r="C66" s="96">
        <v>180.0</v>
      </c>
      <c r="D66" s="65"/>
    </row>
    <row r="67" hidden="1">
      <c r="A67" s="62"/>
      <c r="B67" s="186" t="s">
        <v>737</v>
      </c>
      <c r="C67" s="96">
        <v>500.0</v>
      </c>
      <c r="D67" s="65"/>
    </row>
    <row r="68" hidden="1">
      <c r="A68" s="62"/>
      <c r="B68" s="59" t="s">
        <v>685</v>
      </c>
      <c r="C68" s="82">
        <v>1000.0</v>
      </c>
      <c r="D68" s="65"/>
    </row>
    <row r="69" hidden="1">
      <c r="A69" s="62"/>
      <c r="B69" s="59" t="s">
        <v>738</v>
      </c>
      <c r="C69" s="96">
        <v>59000.0</v>
      </c>
      <c r="D69" s="59" t="s">
        <v>739</v>
      </c>
    </row>
    <row r="70" hidden="1">
      <c r="A70" s="62"/>
      <c r="B70" s="59" t="s">
        <v>350</v>
      </c>
      <c r="C70" s="97">
        <f>20+150+162+100+10+10</f>
        <v>452</v>
      </c>
      <c r="D70" s="65"/>
    </row>
    <row r="71" hidden="1">
      <c r="A71" s="62"/>
      <c r="B71" s="59" t="s">
        <v>647</v>
      </c>
      <c r="C71" s="97">
        <f>70+100</f>
        <v>170</v>
      </c>
      <c r="D71" s="65"/>
    </row>
    <row r="72" hidden="1">
      <c r="A72" s="58" t="s">
        <v>740</v>
      </c>
      <c r="B72" s="59" t="s">
        <v>350</v>
      </c>
      <c r="C72" s="97">
        <f>200+70+50+50</f>
        <v>370</v>
      </c>
      <c r="D72" s="65"/>
    </row>
    <row r="73" hidden="1">
      <c r="A73" s="62"/>
      <c r="B73" s="59" t="s">
        <v>647</v>
      </c>
      <c r="C73" s="96">
        <v>120.0</v>
      </c>
      <c r="D73" s="65"/>
    </row>
    <row r="74" hidden="1">
      <c r="A74" s="62"/>
      <c r="B74" s="59" t="s">
        <v>711</v>
      </c>
      <c r="C74" s="96">
        <v>362.0</v>
      </c>
      <c r="D74" s="65"/>
    </row>
    <row r="75" hidden="1">
      <c r="A75" s="58" t="s">
        <v>670</v>
      </c>
      <c r="B75" s="59" t="s">
        <v>720</v>
      </c>
      <c r="C75" s="96">
        <v>500.0</v>
      </c>
      <c r="D75" s="65"/>
    </row>
    <row r="76" hidden="1">
      <c r="A76" s="62"/>
      <c r="B76" s="59" t="s">
        <v>741</v>
      </c>
      <c r="C76" s="96">
        <f>120+300</f>
        <v>420</v>
      </c>
      <c r="D76" s="65"/>
    </row>
    <row r="77" hidden="1">
      <c r="A77" s="62"/>
      <c r="B77" s="59" t="s">
        <v>742</v>
      </c>
      <c r="C77" s="96">
        <v>730.0</v>
      </c>
      <c r="D77" s="65"/>
    </row>
    <row r="78" hidden="1">
      <c r="A78" s="62"/>
      <c r="B78" s="59" t="s">
        <v>743</v>
      </c>
      <c r="C78" s="96">
        <v>1600.0</v>
      </c>
      <c r="D78" s="65"/>
    </row>
    <row r="79" hidden="1">
      <c r="A79" s="62"/>
      <c r="B79" s="186" t="s">
        <v>633</v>
      </c>
      <c r="C79" s="96">
        <v>215.0</v>
      </c>
      <c r="D79" s="65"/>
    </row>
    <row r="80" hidden="1">
      <c r="A80" s="62"/>
      <c r="B80" s="59" t="s">
        <v>647</v>
      </c>
      <c r="C80" s="97">
        <f>70+230+70</f>
        <v>370</v>
      </c>
      <c r="D80" s="65"/>
    </row>
    <row r="81" hidden="1">
      <c r="A81" s="58" t="s">
        <v>744</v>
      </c>
      <c r="B81" s="59" t="s">
        <v>459</v>
      </c>
      <c r="C81" s="97">
        <f>50+50+20+20+55+180+150</f>
        <v>525</v>
      </c>
      <c r="D81" s="65"/>
    </row>
    <row r="82" hidden="1">
      <c r="A82" s="62"/>
      <c r="B82" s="186" t="s">
        <v>633</v>
      </c>
      <c r="C82" s="97">
        <f>100+80</f>
        <v>180</v>
      </c>
      <c r="D82" s="65"/>
    </row>
    <row r="83" hidden="1">
      <c r="A83" s="62"/>
      <c r="B83" s="59" t="s">
        <v>647</v>
      </c>
      <c r="C83" s="96">
        <v>410.0</v>
      </c>
      <c r="D83" s="65"/>
    </row>
    <row r="84" hidden="1">
      <c r="A84" s="62"/>
      <c r="B84" s="59" t="s">
        <v>745</v>
      </c>
      <c r="C84" s="96">
        <f>1000+2500</f>
        <v>3500</v>
      </c>
      <c r="D84" s="65"/>
    </row>
    <row r="85" hidden="1">
      <c r="A85" s="58" t="s">
        <v>36</v>
      </c>
      <c r="B85" s="59" t="s">
        <v>711</v>
      </c>
      <c r="C85" s="96">
        <v>355.0</v>
      </c>
      <c r="D85" s="65"/>
    </row>
    <row r="86" hidden="1">
      <c r="A86" s="62"/>
      <c r="B86" s="59" t="s">
        <v>685</v>
      </c>
      <c r="C86" s="82">
        <v>1000.0</v>
      </c>
      <c r="D86" s="65"/>
    </row>
    <row r="87" hidden="1">
      <c r="A87" s="62"/>
      <c r="B87" s="59" t="s">
        <v>748</v>
      </c>
      <c r="C87" s="96">
        <v>15500.0</v>
      </c>
      <c r="D87" s="59" t="s">
        <v>387</v>
      </c>
    </row>
    <row r="88" hidden="1">
      <c r="A88" s="62"/>
      <c r="B88" s="59" t="s">
        <v>749</v>
      </c>
      <c r="C88" s="96">
        <v>3000.0</v>
      </c>
      <c r="D88" s="59" t="s">
        <v>721</v>
      </c>
    </row>
    <row r="89" hidden="1">
      <c r="A89" s="62"/>
      <c r="B89" s="59" t="s">
        <v>647</v>
      </c>
      <c r="C89" s="97">
        <f>90+1334</f>
        <v>1424</v>
      </c>
      <c r="D89" s="65"/>
    </row>
    <row r="90" hidden="1">
      <c r="A90" s="62"/>
      <c r="B90" s="59" t="s">
        <v>459</v>
      </c>
      <c r="C90" s="97">
        <f>80+170</f>
        <v>250</v>
      </c>
      <c r="D90" s="65"/>
    </row>
    <row r="91" hidden="1">
      <c r="A91" s="58" t="s">
        <v>39</v>
      </c>
      <c r="B91" s="59" t="s">
        <v>751</v>
      </c>
      <c r="C91" s="96">
        <v>600.0</v>
      </c>
      <c r="D91" s="65"/>
    </row>
    <row r="92" hidden="1">
      <c r="A92" s="62"/>
      <c r="B92" s="59" t="s">
        <v>752</v>
      </c>
      <c r="C92" s="96">
        <v>10000.0</v>
      </c>
      <c r="D92" s="59" t="s">
        <v>753</v>
      </c>
    </row>
    <row r="93" hidden="1">
      <c r="A93" s="62"/>
      <c r="B93" s="59" t="s">
        <v>350</v>
      </c>
      <c r="C93" s="96">
        <v>80.0</v>
      </c>
      <c r="D93" s="59" t="s">
        <v>754</v>
      </c>
    </row>
    <row r="94" hidden="1">
      <c r="A94" s="62"/>
      <c r="B94" s="59" t="s">
        <v>755</v>
      </c>
      <c r="C94" s="96">
        <v>130.0</v>
      </c>
      <c r="D94" s="65"/>
    </row>
    <row r="95" hidden="1">
      <c r="A95" s="58" t="s">
        <v>661</v>
      </c>
      <c r="B95" s="59" t="s">
        <v>756</v>
      </c>
      <c r="C95" s="96">
        <v>750.0</v>
      </c>
      <c r="D95" s="59" t="s">
        <v>757</v>
      </c>
    </row>
    <row r="96" hidden="1">
      <c r="A96" s="62"/>
      <c r="B96" s="59" t="s">
        <v>758</v>
      </c>
      <c r="C96" s="96">
        <v>1650.0</v>
      </c>
      <c r="D96" s="59" t="s">
        <v>759</v>
      </c>
    </row>
    <row r="97" hidden="1">
      <c r="A97" s="62"/>
      <c r="B97" s="59" t="s">
        <v>760</v>
      </c>
      <c r="C97" s="96">
        <v>149300.0</v>
      </c>
      <c r="D97" s="65"/>
    </row>
    <row r="98" hidden="1">
      <c r="A98" s="62"/>
      <c r="B98" s="59" t="s">
        <v>350</v>
      </c>
      <c r="C98" s="97">
        <f>120+400</f>
        <v>520</v>
      </c>
      <c r="D98" s="65"/>
    </row>
    <row r="99" hidden="1">
      <c r="A99" s="62"/>
      <c r="B99" s="59" t="s">
        <v>375</v>
      </c>
      <c r="C99" s="97">
        <f>190+40+15+5+16+5+285</f>
        <v>556</v>
      </c>
      <c r="D99" s="65"/>
    </row>
    <row r="100" hidden="1">
      <c r="A100" s="62"/>
      <c r="B100" s="59" t="s">
        <v>647</v>
      </c>
      <c r="C100" s="190">
        <f>100+50</f>
        <v>150</v>
      </c>
      <c r="D100" s="65"/>
    </row>
    <row r="101" hidden="1">
      <c r="A101" s="62"/>
      <c r="B101" s="59" t="s">
        <v>761</v>
      </c>
      <c r="C101" s="191">
        <v>120.0</v>
      </c>
      <c r="D101" s="65"/>
    </row>
    <row r="102" hidden="1">
      <c r="A102" s="62"/>
      <c r="B102" s="59" t="s">
        <v>728</v>
      </c>
      <c r="C102" s="191">
        <v>700.0</v>
      </c>
      <c r="D102" s="59" t="s">
        <v>762</v>
      </c>
    </row>
    <row r="103" hidden="1">
      <c r="A103" s="58" t="s">
        <v>763</v>
      </c>
      <c r="B103" s="59" t="s">
        <v>764</v>
      </c>
      <c r="C103" s="190">
        <f>20+180+30+80+90+180</f>
        <v>580</v>
      </c>
      <c r="D103" s="65"/>
    </row>
    <row r="104" hidden="1">
      <c r="A104" s="62"/>
      <c r="B104" s="59" t="s">
        <v>765</v>
      </c>
      <c r="C104" s="191">
        <v>12000.0</v>
      </c>
      <c r="D104" s="65"/>
    </row>
    <row r="105" hidden="1">
      <c r="A105" s="62"/>
      <c r="B105" s="59" t="s">
        <v>766</v>
      </c>
      <c r="C105" s="191">
        <v>160.0</v>
      </c>
      <c r="D105" s="59" t="s">
        <v>767</v>
      </c>
    </row>
    <row r="106" hidden="1">
      <c r="A106" s="62"/>
      <c r="B106" s="59" t="s">
        <v>768</v>
      </c>
      <c r="C106" s="191">
        <f>2390+30+120</f>
        <v>2540</v>
      </c>
      <c r="D106" s="59"/>
    </row>
    <row r="107" hidden="1">
      <c r="A107" s="62"/>
      <c r="B107" s="59" t="s">
        <v>647</v>
      </c>
      <c r="C107" s="191">
        <f>80+555+150</f>
        <v>785</v>
      </c>
      <c r="D107" s="65"/>
    </row>
    <row r="108" hidden="1">
      <c r="A108" s="58" t="s">
        <v>769</v>
      </c>
      <c r="B108" s="59" t="s">
        <v>770</v>
      </c>
      <c r="C108" s="191">
        <v>8420.0</v>
      </c>
      <c r="D108" s="65"/>
    </row>
    <row r="109" hidden="1">
      <c r="A109" s="62"/>
      <c r="B109" s="59" t="s">
        <v>752</v>
      </c>
      <c r="C109" s="96">
        <v>10000.0</v>
      </c>
      <c r="D109" s="59" t="s">
        <v>771</v>
      </c>
    </row>
    <row r="110" hidden="1">
      <c r="A110" s="62"/>
      <c r="B110" s="59" t="s">
        <v>772</v>
      </c>
      <c r="C110" s="191">
        <v>850.0</v>
      </c>
      <c r="D110" s="65"/>
    </row>
    <row r="111" hidden="1">
      <c r="A111" s="62"/>
      <c r="B111" s="59" t="s">
        <v>647</v>
      </c>
      <c r="C111" s="331">
        <f>80+35</f>
        <v>115</v>
      </c>
      <c r="D111" s="65"/>
    </row>
    <row r="112" hidden="1">
      <c r="A112" s="62"/>
      <c r="B112" s="59" t="s">
        <v>773</v>
      </c>
      <c r="C112" s="191">
        <v>1500.0</v>
      </c>
      <c r="D112" s="65"/>
    </row>
    <row r="113" hidden="1">
      <c r="A113" s="62"/>
      <c r="B113" s="59" t="s">
        <v>774</v>
      </c>
      <c r="C113" s="191">
        <v>517.0</v>
      </c>
      <c r="D113" s="65"/>
    </row>
    <row r="114" hidden="1">
      <c r="A114" s="62"/>
      <c r="B114" s="59" t="s">
        <v>775</v>
      </c>
      <c r="C114" s="193">
        <v>970.0</v>
      </c>
      <c r="D114" s="65"/>
    </row>
    <row r="115" hidden="1">
      <c r="A115" s="66" t="s">
        <v>1185</v>
      </c>
      <c r="B115" s="39"/>
      <c r="C115" s="91">
        <f>SUM(C7:C114)</f>
        <v>657242</v>
      </c>
      <c r="D115" s="68"/>
    </row>
    <row r="118">
      <c r="A118" s="326">
        <v>44958.0</v>
      </c>
      <c r="B118" s="327"/>
      <c r="C118" s="327"/>
      <c r="D118" s="328"/>
    </row>
    <row r="119" hidden="1">
      <c r="A119" s="329" t="s">
        <v>7</v>
      </c>
      <c r="B119" s="330" t="s">
        <v>686</v>
      </c>
      <c r="C119" s="330" t="s">
        <v>238</v>
      </c>
      <c r="D119" s="330" t="s">
        <v>239</v>
      </c>
    </row>
    <row r="120" hidden="1">
      <c r="A120" s="58" t="s">
        <v>301</v>
      </c>
      <c r="B120" s="59" t="s">
        <v>778</v>
      </c>
      <c r="C120" s="97">
        <f>120+120</f>
        <v>240</v>
      </c>
      <c r="D120" s="65"/>
    </row>
    <row r="121" hidden="1">
      <c r="A121" s="62"/>
      <c r="B121" s="59" t="s">
        <v>782</v>
      </c>
      <c r="C121" s="96">
        <v>470.0</v>
      </c>
      <c r="D121" s="65"/>
    </row>
    <row r="122" hidden="1">
      <c r="A122" s="62"/>
      <c r="B122" s="59" t="s">
        <v>647</v>
      </c>
      <c r="C122" s="97">
        <f>140+70+80</f>
        <v>290</v>
      </c>
      <c r="D122" s="59"/>
    </row>
    <row r="123" hidden="1">
      <c r="A123" s="58" t="s">
        <v>309</v>
      </c>
      <c r="B123" s="59" t="s">
        <v>784</v>
      </c>
      <c r="C123" s="96">
        <v>400.0</v>
      </c>
      <c r="D123" s="65"/>
    </row>
    <row r="124" hidden="1">
      <c r="A124" s="58"/>
      <c r="B124" s="59" t="s">
        <v>647</v>
      </c>
      <c r="C124" s="97">
        <f>90+70</f>
        <v>160</v>
      </c>
      <c r="D124" s="65"/>
    </row>
    <row r="125" hidden="1">
      <c r="A125" s="58" t="s">
        <v>779</v>
      </c>
      <c r="B125" s="59" t="s">
        <v>791</v>
      </c>
      <c r="C125" s="96">
        <v>1300.0</v>
      </c>
      <c r="D125" s="65"/>
    </row>
    <row r="126" hidden="1">
      <c r="A126" s="62"/>
      <c r="B126" s="59" t="s">
        <v>793</v>
      </c>
      <c r="C126" s="97">
        <f>150+20+50+30+50+50</f>
        <v>350</v>
      </c>
      <c r="D126" s="65"/>
    </row>
    <row r="127" hidden="1">
      <c r="A127" s="62"/>
      <c r="B127" s="59" t="s">
        <v>795</v>
      </c>
      <c r="C127" s="96">
        <v>3000.0</v>
      </c>
      <c r="D127" s="59"/>
    </row>
    <row r="128" hidden="1">
      <c r="A128" s="62"/>
      <c r="B128" s="59" t="s">
        <v>798</v>
      </c>
      <c r="C128" s="96">
        <v>330.0</v>
      </c>
      <c r="D128" s="59"/>
    </row>
    <row r="129" hidden="1">
      <c r="A129" s="62"/>
      <c r="B129" s="59" t="s">
        <v>801</v>
      </c>
      <c r="C129" s="96">
        <v>40.0</v>
      </c>
      <c r="D129" s="59"/>
    </row>
    <row r="130" hidden="1">
      <c r="A130" s="62"/>
      <c r="B130" s="59" t="s">
        <v>804</v>
      </c>
      <c r="C130" s="96">
        <v>360.0</v>
      </c>
      <c r="D130" s="59"/>
    </row>
    <row r="131" hidden="1">
      <c r="A131" s="62"/>
      <c r="B131" s="59" t="s">
        <v>808</v>
      </c>
      <c r="C131" s="96">
        <f>160+450+250</f>
        <v>860</v>
      </c>
      <c r="D131" s="65"/>
    </row>
    <row r="132" hidden="1">
      <c r="A132" s="58" t="s">
        <v>312</v>
      </c>
      <c r="B132" s="59" t="s">
        <v>811</v>
      </c>
      <c r="C132" s="96">
        <v>85.0</v>
      </c>
      <c r="D132" s="65"/>
    </row>
    <row r="133" hidden="1">
      <c r="A133" s="58" t="s">
        <v>48</v>
      </c>
      <c r="B133" s="59" t="s">
        <v>647</v>
      </c>
      <c r="C133" s="96">
        <v>80.0</v>
      </c>
      <c r="D133" s="65"/>
    </row>
    <row r="134" hidden="1">
      <c r="A134" s="65"/>
      <c r="B134" s="59" t="s">
        <v>814</v>
      </c>
      <c r="C134" s="97">
        <f>7000+2800+3000</f>
        <v>12800</v>
      </c>
      <c r="D134" s="59"/>
    </row>
    <row r="135" hidden="1">
      <c r="A135" s="59" t="s">
        <v>787</v>
      </c>
      <c r="B135" s="59" t="s">
        <v>800</v>
      </c>
      <c r="C135" s="96">
        <v>1500.0</v>
      </c>
      <c r="D135" s="59"/>
    </row>
    <row r="136" hidden="1">
      <c r="A136" s="65"/>
      <c r="B136" s="59" t="s">
        <v>803</v>
      </c>
      <c r="C136" s="96">
        <v>2000.0</v>
      </c>
      <c r="D136" s="59"/>
    </row>
    <row r="137" hidden="1">
      <c r="A137" s="65"/>
      <c r="B137" s="59" t="s">
        <v>794</v>
      </c>
      <c r="C137" s="96">
        <v>500.0</v>
      </c>
      <c r="D137" s="59"/>
    </row>
    <row r="138" hidden="1">
      <c r="A138" s="65"/>
      <c r="B138" s="59" t="s">
        <v>824</v>
      </c>
      <c r="C138" s="97">
        <f>150+150+200+520+120+400+20</f>
        <v>1560</v>
      </c>
      <c r="D138" s="59"/>
    </row>
    <row r="139" hidden="1">
      <c r="A139" s="65"/>
      <c r="B139" s="59" t="s">
        <v>826</v>
      </c>
      <c r="C139" s="96">
        <v>177800.0</v>
      </c>
      <c r="D139" s="65"/>
    </row>
    <row r="140" hidden="1">
      <c r="A140" s="65"/>
      <c r="B140" s="59" t="s">
        <v>827</v>
      </c>
      <c r="C140" s="97">
        <f>580+450+800+1680+900+480+270+200+80</f>
        <v>5440</v>
      </c>
      <c r="D140" s="59"/>
    </row>
    <row r="141" hidden="1">
      <c r="A141" s="58" t="s">
        <v>829</v>
      </c>
      <c r="B141" s="59" t="s">
        <v>824</v>
      </c>
      <c r="C141" s="91">
        <f>220+300+140+15+130</f>
        <v>805</v>
      </c>
      <c r="D141" s="107"/>
    </row>
    <row r="142" hidden="1">
      <c r="A142" s="62"/>
      <c r="B142" s="59" t="s">
        <v>350</v>
      </c>
      <c r="C142" s="91">
        <f>100+100+100+75+30+30+30+100</f>
        <v>565</v>
      </c>
      <c r="D142" s="107"/>
    </row>
    <row r="143" hidden="1">
      <c r="A143" s="58" t="s">
        <v>832</v>
      </c>
      <c r="B143" s="59" t="s">
        <v>350</v>
      </c>
      <c r="C143" s="90">
        <v>120.0</v>
      </c>
      <c r="D143" s="107"/>
    </row>
    <row r="144" hidden="1">
      <c r="A144" s="62"/>
      <c r="B144" s="59" t="s">
        <v>824</v>
      </c>
      <c r="C144" s="91">
        <f>530+200</f>
        <v>730</v>
      </c>
      <c r="D144" s="107"/>
    </row>
    <row r="145" hidden="1">
      <c r="A145" s="62"/>
      <c r="B145" s="59" t="s">
        <v>836</v>
      </c>
      <c r="C145" s="90">
        <v>500.0</v>
      </c>
      <c r="D145" s="107"/>
    </row>
    <row r="146" hidden="1">
      <c r="A146" s="58" t="s">
        <v>59</v>
      </c>
      <c r="B146" s="206" t="s">
        <v>796</v>
      </c>
      <c r="C146" s="180">
        <f>18950-300</f>
        <v>18650</v>
      </c>
      <c r="D146" s="107"/>
    </row>
    <row r="147" hidden="1">
      <c r="A147" s="62"/>
      <c r="B147" s="206" t="s">
        <v>806</v>
      </c>
      <c r="C147" s="180">
        <f>14700-300</f>
        <v>14400</v>
      </c>
      <c r="D147" s="107"/>
    </row>
    <row r="148" hidden="1">
      <c r="A148" s="62"/>
      <c r="B148" s="206" t="s">
        <v>794</v>
      </c>
      <c r="C148" s="180">
        <v>15650.0</v>
      </c>
      <c r="D148" s="107"/>
    </row>
    <row r="149" hidden="1">
      <c r="A149" s="208"/>
      <c r="B149" s="179" t="s">
        <v>809</v>
      </c>
      <c r="C149" s="180">
        <v>16500.0</v>
      </c>
      <c r="D149" s="107"/>
    </row>
    <row r="150" hidden="1">
      <c r="A150" s="208"/>
      <c r="B150" s="179" t="s">
        <v>675</v>
      </c>
      <c r="C150" s="210">
        <v>150.0</v>
      </c>
      <c r="D150" s="107"/>
    </row>
    <row r="151" hidden="1">
      <c r="A151" s="62"/>
      <c r="B151" s="206" t="s">
        <v>800</v>
      </c>
      <c r="C151" s="90">
        <v>8100.0</v>
      </c>
      <c r="D151" s="107"/>
    </row>
    <row r="152" hidden="1">
      <c r="A152" s="62"/>
      <c r="B152" s="59" t="s">
        <v>350</v>
      </c>
      <c r="C152" s="91">
        <f>100+100+20+170</f>
        <v>390</v>
      </c>
      <c r="D152" s="107"/>
    </row>
    <row r="153" hidden="1">
      <c r="A153" s="72"/>
      <c r="B153" s="211" t="s">
        <v>843</v>
      </c>
      <c r="C153" s="212">
        <v>16000.0</v>
      </c>
      <c r="D153" s="107"/>
    </row>
    <row r="154" hidden="1">
      <c r="A154" s="58" t="s">
        <v>61</v>
      </c>
      <c r="B154" s="59" t="s">
        <v>647</v>
      </c>
      <c r="C154" s="90">
        <v>250.0</v>
      </c>
      <c r="D154" s="107"/>
    </row>
    <row r="155" hidden="1">
      <c r="A155" s="58" t="s">
        <v>845</v>
      </c>
      <c r="B155" s="59" t="s">
        <v>647</v>
      </c>
      <c r="C155" s="91">
        <f>230+200</f>
        <v>430</v>
      </c>
      <c r="D155" s="107"/>
    </row>
    <row r="156" hidden="1">
      <c r="A156" s="62"/>
      <c r="B156" s="59" t="s">
        <v>846</v>
      </c>
      <c r="C156" s="91">
        <f>20+30+20+30+300</f>
        <v>400</v>
      </c>
      <c r="D156" s="107"/>
    </row>
    <row r="157" hidden="1">
      <c r="A157" s="58" t="s">
        <v>847</v>
      </c>
      <c r="B157" s="59" t="s">
        <v>848</v>
      </c>
      <c r="C157" s="201">
        <f>6060+500+100+200+500+29861+5920+2050</f>
        <v>45191</v>
      </c>
      <c r="D157" s="107"/>
    </row>
    <row r="158" hidden="1">
      <c r="A158" s="58" t="s">
        <v>358</v>
      </c>
      <c r="B158" s="59" t="s">
        <v>577</v>
      </c>
      <c r="C158" s="90">
        <v>480.0</v>
      </c>
      <c r="D158" s="107"/>
    </row>
    <row r="159" hidden="1">
      <c r="A159" s="58" t="s">
        <v>63</v>
      </c>
      <c r="B159" s="59" t="s">
        <v>853</v>
      </c>
      <c r="C159" s="90">
        <f>460+100</f>
        <v>560</v>
      </c>
      <c r="D159" s="65"/>
    </row>
    <row r="160" hidden="1">
      <c r="A160" s="62"/>
      <c r="B160" s="59" t="s">
        <v>350</v>
      </c>
      <c r="C160" s="90">
        <v>300.0</v>
      </c>
      <c r="D160" s="65"/>
    </row>
    <row r="161" hidden="1">
      <c r="A161" s="58" t="s">
        <v>364</v>
      </c>
      <c r="B161" s="179" t="s">
        <v>789</v>
      </c>
      <c r="C161" s="180">
        <v>4900.0</v>
      </c>
      <c r="D161" s="65"/>
    </row>
    <row r="162" hidden="1">
      <c r="A162" s="62"/>
      <c r="B162" s="179" t="s">
        <v>792</v>
      </c>
      <c r="C162" s="180">
        <f>44500-500</f>
        <v>44000</v>
      </c>
      <c r="D162" s="65"/>
    </row>
    <row r="163" hidden="1">
      <c r="A163" s="62"/>
      <c r="B163" s="59" t="s">
        <v>855</v>
      </c>
      <c r="C163" s="90">
        <v>2700.0</v>
      </c>
      <c r="D163" s="65"/>
    </row>
    <row r="164" hidden="1">
      <c r="A164" s="62"/>
      <c r="B164" s="59" t="s">
        <v>856</v>
      </c>
      <c r="C164" s="90">
        <v>5000.0</v>
      </c>
      <c r="D164" s="65"/>
    </row>
    <row r="165" hidden="1">
      <c r="A165" s="62"/>
      <c r="B165" s="59" t="s">
        <v>857</v>
      </c>
      <c r="C165" s="90">
        <v>2000.0</v>
      </c>
      <c r="D165" s="65"/>
    </row>
    <row r="166" hidden="1">
      <c r="A166" s="62"/>
      <c r="B166" s="59" t="s">
        <v>858</v>
      </c>
      <c r="C166" s="90">
        <v>127500.0</v>
      </c>
      <c r="D166" s="65"/>
    </row>
    <row r="167" hidden="1">
      <c r="A167" s="213"/>
      <c r="B167" s="179" t="s">
        <v>833</v>
      </c>
      <c r="C167" s="180">
        <v>55200.0</v>
      </c>
      <c r="D167" s="65"/>
    </row>
    <row r="168" hidden="1">
      <c r="A168" s="62"/>
      <c r="B168" s="59" t="s">
        <v>859</v>
      </c>
      <c r="C168" s="90">
        <v>5000.0</v>
      </c>
      <c r="D168" s="65"/>
    </row>
    <row r="169" hidden="1">
      <c r="A169" s="62"/>
      <c r="B169" s="206" t="s">
        <v>803</v>
      </c>
      <c r="C169" s="180">
        <f>10650-200-2000</f>
        <v>8450</v>
      </c>
      <c r="D169" s="65"/>
    </row>
    <row r="170" hidden="1">
      <c r="A170" s="62"/>
      <c r="B170" s="59" t="s">
        <v>860</v>
      </c>
      <c r="C170" s="90">
        <v>16000.0</v>
      </c>
      <c r="D170" s="65"/>
    </row>
    <row r="171" hidden="1">
      <c r="A171" s="62"/>
      <c r="B171" s="59" t="s">
        <v>861</v>
      </c>
      <c r="C171" s="90">
        <v>4000.0</v>
      </c>
      <c r="D171" s="65"/>
    </row>
    <row r="172" hidden="1">
      <c r="A172" s="58"/>
      <c r="B172" s="59" t="s">
        <v>862</v>
      </c>
      <c r="C172" s="90">
        <v>34315.0</v>
      </c>
      <c r="D172" s="65"/>
    </row>
    <row r="173" hidden="1">
      <c r="A173" s="58" t="s">
        <v>73</v>
      </c>
      <c r="B173" s="59" t="s">
        <v>824</v>
      </c>
      <c r="C173" s="90">
        <v>300.0</v>
      </c>
      <c r="D173" s="65"/>
    </row>
    <row r="174" hidden="1">
      <c r="A174" s="62"/>
      <c r="B174" s="59" t="s">
        <v>647</v>
      </c>
      <c r="C174" s="91">
        <f>140+110+150+180</f>
        <v>580</v>
      </c>
      <c r="D174" s="65"/>
    </row>
    <row r="175" hidden="1">
      <c r="A175" s="58" t="s">
        <v>863</v>
      </c>
      <c r="B175" s="59" t="s">
        <v>864</v>
      </c>
      <c r="C175" s="91">
        <f>140+110+300</f>
        <v>550</v>
      </c>
      <c r="D175" s="65"/>
    </row>
    <row r="176" hidden="1">
      <c r="A176" s="62"/>
      <c r="B176" s="59" t="s">
        <v>866</v>
      </c>
      <c r="C176" s="90">
        <v>1020.0</v>
      </c>
      <c r="D176" s="65"/>
    </row>
    <row r="177" hidden="1">
      <c r="A177" s="62"/>
      <c r="B177" s="59" t="s">
        <v>867</v>
      </c>
      <c r="C177" s="91">
        <f>400+50+60</f>
        <v>510</v>
      </c>
      <c r="D177" s="65"/>
    </row>
    <row r="178" hidden="1">
      <c r="A178" s="62"/>
      <c r="B178" s="59" t="s">
        <v>292</v>
      </c>
      <c r="C178" s="90">
        <v>23000.0</v>
      </c>
      <c r="D178" s="65"/>
    </row>
    <row r="179" hidden="1">
      <c r="A179" s="62"/>
      <c r="B179" s="59" t="s">
        <v>317</v>
      </c>
      <c r="C179" s="90">
        <v>24500.0</v>
      </c>
      <c r="D179" s="65"/>
    </row>
    <row r="180" hidden="1">
      <c r="A180" s="62"/>
      <c r="B180" s="59" t="s">
        <v>868</v>
      </c>
      <c r="C180" s="90">
        <v>10000.0</v>
      </c>
      <c r="D180" s="65"/>
    </row>
    <row r="181" hidden="1">
      <c r="A181" s="62"/>
      <c r="B181" s="59" t="s">
        <v>869</v>
      </c>
      <c r="C181" s="90">
        <v>2000.0</v>
      </c>
      <c r="D181" s="65"/>
    </row>
    <row r="182" hidden="1">
      <c r="A182" s="58" t="s">
        <v>810</v>
      </c>
      <c r="B182" s="59" t="s">
        <v>871</v>
      </c>
      <c r="C182" s="91">
        <f>250+350+30+50+50+100+30</f>
        <v>860</v>
      </c>
      <c r="D182" s="65"/>
    </row>
    <row r="183" hidden="1">
      <c r="A183" s="65"/>
      <c r="B183" s="59" t="s">
        <v>872</v>
      </c>
      <c r="C183" s="90">
        <v>20000.0</v>
      </c>
      <c r="D183" s="65"/>
    </row>
    <row r="184" hidden="1">
      <c r="A184" s="65"/>
      <c r="B184" s="59" t="s">
        <v>873</v>
      </c>
      <c r="C184" s="90">
        <v>900.0</v>
      </c>
      <c r="D184" s="65"/>
    </row>
    <row r="185" hidden="1">
      <c r="A185" s="65"/>
      <c r="B185" s="59" t="s">
        <v>824</v>
      </c>
      <c r="C185" s="90">
        <f>100+120+70</f>
        <v>290</v>
      </c>
      <c r="D185" s="65"/>
    </row>
    <row r="186" hidden="1">
      <c r="A186" s="66" t="s">
        <v>1185</v>
      </c>
      <c r="B186" s="39"/>
      <c r="C186" s="91">
        <f>SUM(C120:C185)</f>
        <v>743311</v>
      </c>
      <c r="D186" s="68"/>
    </row>
    <row r="189">
      <c r="A189" s="326">
        <v>44986.0</v>
      </c>
      <c r="B189" s="327"/>
      <c r="C189" s="327"/>
      <c r="D189" s="328"/>
    </row>
    <row r="190" hidden="1">
      <c r="A190" s="329" t="s">
        <v>7</v>
      </c>
      <c r="B190" s="330" t="s">
        <v>686</v>
      </c>
      <c r="C190" s="330" t="s">
        <v>238</v>
      </c>
      <c r="D190" s="330" t="s">
        <v>239</v>
      </c>
    </row>
    <row r="191" hidden="1">
      <c r="A191" s="59" t="s">
        <v>875</v>
      </c>
      <c r="B191" s="59" t="s">
        <v>824</v>
      </c>
      <c r="C191" s="96">
        <v>400.0</v>
      </c>
      <c r="D191" s="65"/>
    </row>
    <row r="192" hidden="1">
      <c r="A192" s="59" t="s">
        <v>876</v>
      </c>
      <c r="B192" s="59" t="s">
        <v>877</v>
      </c>
      <c r="C192" s="97">
        <f>20+100+25+20+250+20+50+310+50+50+20+250</f>
        <v>1165</v>
      </c>
      <c r="D192" s="65"/>
    </row>
    <row r="193" hidden="1">
      <c r="A193" s="65"/>
      <c r="B193" s="59" t="s">
        <v>824</v>
      </c>
      <c r="C193" s="97">
        <f>200+300+150+100</f>
        <v>750</v>
      </c>
      <c r="D193" s="65"/>
    </row>
    <row r="194" hidden="1">
      <c r="A194" s="59" t="s">
        <v>374</v>
      </c>
      <c r="B194" s="59" t="s">
        <v>824</v>
      </c>
      <c r="C194" s="96">
        <v>500.0</v>
      </c>
      <c r="D194" s="65"/>
    </row>
    <row r="195" hidden="1">
      <c r="A195" s="65"/>
      <c r="B195" s="59" t="s">
        <v>882</v>
      </c>
      <c r="C195" s="96">
        <v>1000.0</v>
      </c>
      <c r="D195" s="65"/>
    </row>
    <row r="196" hidden="1">
      <c r="A196" s="65"/>
      <c r="B196" s="59" t="s">
        <v>675</v>
      </c>
      <c r="C196" s="96">
        <v>120.0</v>
      </c>
      <c r="D196" s="65"/>
    </row>
    <row r="197" hidden="1">
      <c r="A197" s="65"/>
      <c r="B197" s="59" t="s">
        <v>884</v>
      </c>
      <c r="C197" s="96">
        <v>160.0</v>
      </c>
      <c r="D197" s="65"/>
    </row>
    <row r="198" hidden="1">
      <c r="A198" s="59" t="s">
        <v>887</v>
      </c>
      <c r="B198" s="59" t="s">
        <v>888</v>
      </c>
      <c r="C198" s="96">
        <v>1000.0</v>
      </c>
      <c r="D198" s="65"/>
    </row>
    <row r="199" hidden="1">
      <c r="A199" s="65"/>
      <c r="B199" s="59" t="s">
        <v>888</v>
      </c>
      <c r="C199" s="96">
        <v>4200.0</v>
      </c>
      <c r="D199" s="59"/>
    </row>
    <row r="200" hidden="1">
      <c r="A200" s="65"/>
      <c r="B200" s="59" t="s">
        <v>892</v>
      </c>
      <c r="C200" s="97">
        <f>20+120+50+60+300</f>
        <v>550</v>
      </c>
      <c r="D200" s="65"/>
    </row>
    <row r="201" hidden="1">
      <c r="A201" s="65"/>
      <c r="B201" s="59" t="s">
        <v>677</v>
      </c>
      <c r="C201" s="96">
        <v>3000.0</v>
      </c>
      <c r="D201" s="59"/>
    </row>
    <row r="202" hidden="1">
      <c r="A202" s="65"/>
      <c r="B202" s="59" t="s">
        <v>633</v>
      </c>
      <c r="C202" s="97">
        <f>340+765</f>
        <v>1105</v>
      </c>
      <c r="D202" s="65"/>
    </row>
    <row r="203" hidden="1">
      <c r="A203" s="59" t="s">
        <v>897</v>
      </c>
      <c r="B203" s="59" t="s">
        <v>898</v>
      </c>
      <c r="C203" s="96">
        <v>22500.0</v>
      </c>
      <c r="D203" s="59" t="s">
        <v>899</v>
      </c>
    </row>
    <row r="204" hidden="1">
      <c r="A204" s="65"/>
      <c r="B204" s="59" t="s">
        <v>900</v>
      </c>
      <c r="C204" s="97">
        <f>70+300+20+80+300+120+20+330</f>
        <v>1240</v>
      </c>
      <c r="D204" s="65"/>
    </row>
    <row r="205" hidden="1">
      <c r="A205" s="65"/>
      <c r="B205" s="59" t="s">
        <v>901</v>
      </c>
      <c r="C205" s="96">
        <v>800.0</v>
      </c>
      <c r="D205" s="59" t="s">
        <v>902</v>
      </c>
    </row>
    <row r="206" hidden="1">
      <c r="A206" s="59" t="s">
        <v>904</v>
      </c>
      <c r="B206" s="59" t="s">
        <v>905</v>
      </c>
      <c r="C206" s="97">
        <f>220+300+250+20+150</f>
        <v>940</v>
      </c>
      <c r="D206" s="65"/>
    </row>
    <row r="207" hidden="1">
      <c r="A207" s="65"/>
      <c r="B207" s="59" t="s">
        <v>824</v>
      </c>
      <c r="C207" s="97">
        <f>90+200</f>
        <v>290</v>
      </c>
      <c r="D207" s="65"/>
    </row>
    <row r="208" hidden="1">
      <c r="A208" s="65"/>
      <c r="B208" s="59" t="s">
        <v>908</v>
      </c>
      <c r="C208" s="96">
        <v>1000.0</v>
      </c>
      <c r="D208" s="65"/>
    </row>
    <row r="209" hidden="1">
      <c r="A209" s="208" t="s">
        <v>384</v>
      </c>
      <c r="B209" s="206" t="s">
        <v>889</v>
      </c>
      <c r="C209" s="180">
        <f>18400-300-2000</f>
        <v>16100</v>
      </c>
      <c r="D209" s="65"/>
    </row>
    <row r="210" hidden="1">
      <c r="A210" s="208"/>
      <c r="B210" s="206" t="s">
        <v>891</v>
      </c>
      <c r="C210" s="180">
        <f>20100-300</f>
        <v>19800</v>
      </c>
      <c r="D210" s="65"/>
    </row>
    <row r="211" hidden="1">
      <c r="A211" s="208"/>
      <c r="B211" s="206" t="s">
        <v>893</v>
      </c>
      <c r="C211" s="180">
        <f>15900-300</f>
        <v>15600</v>
      </c>
      <c r="D211" s="65"/>
    </row>
    <row r="212" hidden="1">
      <c r="A212" s="59" t="s">
        <v>87</v>
      </c>
      <c r="B212" s="59" t="s">
        <v>647</v>
      </c>
      <c r="C212" s="96">
        <f>255+300+60+50</f>
        <v>665</v>
      </c>
      <c r="D212" s="59" t="s">
        <v>911</v>
      </c>
    </row>
    <row r="213" hidden="1">
      <c r="A213" s="59" t="s">
        <v>90</v>
      </c>
      <c r="B213" s="59" t="s">
        <v>912</v>
      </c>
      <c r="C213" s="97">
        <f>500+500+250+150</f>
        <v>1400</v>
      </c>
      <c r="D213" s="65"/>
    </row>
    <row r="214" hidden="1">
      <c r="A214" s="65"/>
      <c r="B214" s="59" t="s">
        <v>913</v>
      </c>
      <c r="C214" s="96">
        <v>16500.0</v>
      </c>
      <c r="D214" s="65"/>
    </row>
    <row r="215" hidden="1">
      <c r="A215" s="65"/>
      <c r="B215" s="59" t="s">
        <v>824</v>
      </c>
      <c r="C215" s="97">
        <f>80+300+50+150+220</f>
        <v>800</v>
      </c>
      <c r="D215" s="65"/>
    </row>
    <row r="216" hidden="1">
      <c r="A216" s="65"/>
      <c r="B216" s="59" t="s">
        <v>915</v>
      </c>
      <c r="C216" s="82">
        <f>5000+10150</f>
        <v>15150</v>
      </c>
      <c r="D216" s="65"/>
    </row>
    <row r="217" hidden="1">
      <c r="A217" s="58" t="s">
        <v>885</v>
      </c>
      <c r="B217" s="59" t="s">
        <v>886</v>
      </c>
      <c r="C217" s="96">
        <v>44500.0</v>
      </c>
      <c r="D217" s="65"/>
    </row>
    <row r="218" hidden="1">
      <c r="A218" s="58"/>
      <c r="B218" s="59" t="s">
        <v>647</v>
      </c>
      <c r="C218" s="96">
        <f>545+300+180+40</f>
        <v>1065</v>
      </c>
      <c r="D218" s="59"/>
    </row>
    <row r="219" hidden="1">
      <c r="A219" s="58" t="s">
        <v>95</v>
      </c>
      <c r="B219" s="59" t="s">
        <v>917</v>
      </c>
      <c r="C219" s="97">
        <f>140+220+40</f>
        <v>400</v>
      </c>
      <c r="D219" s="65"/>
    </row>
    <row r="220" hidden="1">
      <c r="A220" s="58" t="s">
        <v>99</v>
      </c>
      <c r="B220" s="59" t="s">
        <v>647</v>
      </c>
      <c r="C220" s="96">
        <f>260+390+75+180+700+100</f>
        <v>1705</v>
      </c>
      <c r="D220" s="65"/>
    </row>
    <row r="221" hidden="1">
      <c r="A221" s="58" t="s">
        <v>921</v>
      </c>
      <c r="B221" s="59" t="s">
        <v>824</v>
      </c>
      <c r="C221" s="96">
        <f>100+240+40</f>
        <v>380</v>
      </c>
      <c r="D221" s="65"/>
    </row>
    <row r="222" hidden="1">
      <c r="A222" s="62"/>
      <c r="B222" s="59" t="s">
        <v>922</v>
      </c>
      <c r="C222" s="96">
        <v>280.0</v>
      </c>
      <c r="D222" s="65"/>
    </row>
    <row r="223" hidden="1">
      <c r="A223" s="58" t="s">
        <v>103</v>
      </c>
      <c r="B223" s="59" t="s">
        <v>647</v>
      </c>
      <c r="C223" s="96">
        <v>575.0</v>
      </c>
      <c r="D223" s="65"/>
    </row>
    <row r="224" hidden="1">
      <c r="A224" s="62"/>
      <c r="B224" s="59" t="s">
        <v>824</v>
      </c>
      <c r="C224" s="96">
        <v>90.0</v>
      </c>
      <c r="D224" s="65"/>
    </row>
    <row r="225" hidden="1">
      <c r="A225" s="58" t="s">
        <v>878</v>
      </c>
      <c r="B225" s="59" t="s">
        <v>926</v>
      </c>
      <c r="C225" s="97">
        <f>20+10+30+20+20</f>
        <v>100</v>
      </c>
      <c r="D225" s="65"/>
    </row>
    <row r="226" hidden="1">
      <c r="A226" s="62"/>
      <c r="B226" s="59" t="s">
        <v>927</v>
      </c>
      <c r="C226" s="96">
        <v>1390.0</v>
      </c>
      <c r="D226" s="65"/>
    </row>
    <row r="227" hidden="1">
      <c r="A227" s="62"/>
      <c r="B227" s="59" t="s">
        <v>929</v>
      </c>
      <c r="C227" s="96">
        <v>1700.0</v>
      </c>
      <c r="D227" s="65"/>
    </row>
    <row r="228" hidden="1">
      <c r="A228" s="62"/>
      <c r="B228" s="59" t="s">
        <v>647</v>
      </c>
      <c r="C228" s="96">
        <f>150+120+2000</f>
        <v>2270</v>
      </c>
      <c r="D228" s="65"/>
    </row>
    <row r="229" hidden="1">
      <c r="A229" s="62"/>
      <c r="B229" s="59" t="s">
        <v>930</v>
      </c>
      <c r="C229" s="96">
        <v>1900.0</v>
      </c>
      <c r="D229" s="65"/>
    </row>
    <row r="230" hidden="1">
      <c r="A230" s="62"/>
      <c r="B230" s="59" t="s">
        <v>345</v>
      </c>
      <c r="C230" s="96">
        <v>5000.0</v>
      </c>
      <c r="D230" s="65"/>
    </row>
    <row r="231" hidden="1">
      <c r="A231" s="62"/>
      <c r="B231" s="59" t="s">
        <v>932</v>
      </c>
      <c r="C231" s="96">
        <v>10000.0</v>
      </c>
      <c r="D231" s="65"/>
    </row>
    <row r="232" hidden="1">
      <c r="A232" s="58" t="s">
        <v>933</v>
      </c>
      <c r="B232" s="59" t="s">
        <v>824</v>
      </c>
      <c r="C232" s="96">
        <v>250.0</v>
      </c>
      <c r="D232" s="65"/>
    </row>
    <row r="233" hidden="1">
      <c r="A233" s="58" t="s">
        <v>934</v>
      </c>
      <c r="B233" s="59" t="s">
        <v>824</v>
      </c>
      <c r="C233" s="96">
        <v>100.0</v>
      </c>
      <c r="D233" s="65"/>
    </row>
    <row r="234" hidden="1">
      <c r="A234" s="58" t="s">
        <v>935</v>
      </c>
      <c r="B234" s="59" t="s">
        <v>824</v>
      </c>
      <c r="C234" s="96">
        <v>150.0</v>
      </c>
      <c r="D234" s="65"/>
    </row>
    <row r="235" hidden="1">
      <c r="A235" s="58" t="s">
        <v>936</v>
      </c>
      <c r="B235" s="59" t="s">
        <v>784</v>
      </c>
      <c r="C235" s="96">
        <v>320.0</v>
      </c>
      <c r="D235" s="65"/>
    </row>
    <row r="236" hidden="1">
      <c r="A236" s="65"/>
      <c r="B236" s="59" t="s">
        <v>824</v>
      </c>
      <c r="C236" s="96">
        <f>60+20+50+30+50+30</f>
        <v>240</v>
      </c>
      <c r="D236" s="65"/>
    </row>
    <row r="237" hidden="1">
      <c r="A237" s="59" t="s">
        <v>937</v>
      </c>
      <c r="B237" s="59" t="s">
        <v>938</v>
      </c>
      <c r="C237" s="96">
        <v>120.0</v>
      </c>
      <c r="D237" s="65"/>
    </row>
    <row r="238" hidden="1">
      <c r="A238" s="59" t="s">
        <v>881</v>
      </c>
      <c r="B238" s="59" t="s">
        <v>824</v>
      </c>
      <c r="C238" s="96">
        <f>60+50</f>
        <v>110</v>
      </c>
      <c r="D238" s="65"/>
    </row>
    <row r="239" hidden="1">
      <c r="A239" s="66" t="s">
        <v>1185</v>
      </c>
      <c r="B239" s="39"/>
      <c r="C239" s="91">
        <f>SUM(C191:C238)</f>
        <v>199380</v>
      </c>
      <c r="D239" s="68"/>
    </row>
    <row r="240" hidden="1">
      <c r="A240" s="120"/>
      <c r="B240" s="120"/>
      <c r="C240" s="109"/>
      <c r="D240" s="120"/>
    </row>
    <row r="241">
      <c r="A241" s="120"/>
      <c r="B241" s="120"/>
      <c r="C241" s="109"/>
      <c r="D241" s="120"/>
    </row>
    <row r="242">
      <c r="A242" s="326">
        <v>45017.0</v>
      </c>
      <c r="B242" s="327"/>
      <c r="C242" s="327"/>
      <c r="D242" s="328"/>
    </row>
    <row r="243" hidden="1">
      <c r="A243" s="329" t="s">
        <v>7</v>
      </c>
      <c r="B243" s="330" t="s">
        <v>686</v>
      </c>
      <c r="C243" s="330" t="s">
        <v>238</v>
      </c>
      <c r="D243" s="330" t="s">
        <v>239</v>
      </c>
    </row>
    <row r="244" hidden="1">
      <c r="A244" s="58" t="s">
        <v>942</v>
      </c>
      <c r="B244" s="59" t="s">
        <v>943</v>
      </c>
      <c r="C244" s="96">
        <v>3000.0</v>
      </c>
      <c r="D244" s="65"/>
    </row>
    <row r="245" hidden="1">
      <c r="A245" s="62"/>
      <c r="B245" s="59" t="s">
        <v>824</v>
      </c>
      <c r="C245" s="96">
        <v>450.0</v>
      </c>
      <c r="D245" s="65"/>
    </row>
    <row r="246" hidden="1">
      <c r="A246" s="62"/>
      <c r="B246" s="59" t="s">
        <v>947</v>
      </c>
      <c r="C246" s="96">
        <v>150.0</v>
      </c>
      <c r="D246" s="65"/>
    </row>
    <row r="247" hidden="1">
      <c r="A247" s="58" t="s">
        <v>946</v>
      </c>
      <c r="B247" s="59" t="s">
        <v>949</v>
      </c>
      <c r="C247" s="96">
        <v>1000.0</v>
      </c>
      <c r="D247" s="65"/>
    </row>
    <row r="248" hidden="1">
      <c r="A248" s="62"/>
      <c r="B248" s="179" t="s">
        <v>951</v>
      </c>
      <c r="C248" s="232">
        <v>1000.0</v>
      </c>
      <c r="D248" s="65"/>
    </row>
    <row r="249" hidden="1">
      <c r="A249" s="62"/>
      <c r="B249" s="179" t="s">
        <v>675</v>
      </c>
      <c r="C249" s="232">
        <v>120.0</v>
      </c>
      <c r="D249" s="65"/>
    </row>
    <row r="250" hidden="1">
      <c r="A250" s="62"/>
      <c r="B250" s="59" t="s">
        <v>947</v>
      </c>
      <c r="C250" s="96">
        <v>80.0</v>
      </c>
      <c r="D250" s="65"/>
    </row>
    <row r="251" hidden="1">
      <c r="A251" s="58" t="s">
        <v>955</v>
      </c>
      <c r="B251" s="59" t="s">
        <v>947</v>
      </c>
      <c r="C251" s="96">
        <v>70.0</v>
      </c>
      <c r="D251" s="65"/>
    </row>
    <row r="252" hidden="1">
      <c r="A252" s="58" t="s">
        <v>958</v>
      </c>
      <c r="B252" s="59" t="s">
        <v>947</v>
      </c>
      <c r="C252" s="97">
        <f>140+25</f>
        <v>165</v>
      </c>
      <c r="D252" s="65"/>
    </row>
    <row r="253" hidden="1">
      <c r="A253" s="58" t="s">
        <v>960</v>
      </c>
      <c r="B253" s="59" t="s">
        <v>961</v>
      </c>
      <c r="C253" s="97">
        <f>80+50+350+200+120</f>
        <v>800</v>
      </c>
      <c r="D253" s="65"/>
    </row>
    <row r="254" hidden="1">
      <c r="A254" s="58" t="s">
        <v>963</v>
      </c>
      <c r="B254" s="59" t="s">
        <v>964</v>
      </c>
      <c r="C254" s="96">
        <v>200.0</v>
      </c>
      <c r="D254" s="61"/>
    </row>
    <row r="255" hidden="1">
      <c r="A255" s="58" t="s">
        <v>966</v>
      </c>
      <c r="B255" s="59" t="s">
        <v>967</v>
      </c>
      <c r="C255" s="96">
        <v>320.0</v>
      </c>
      <c r="D255" s="65"/>
    </row>
    <row r="256" hidden="1">
      <c r="A256" s="62"/>
      <c r="B256" s="59" t="s">
        <v>647</v>
      </c>
      <c r="C256" s="96">
        <v>100.0</v>
      </c>
      <c r="D256" s="65"/>
    </row>
    <row r="257" hidden="1">
      <c r="A257" s="62"/>
      <c r="B257" s="59" t="s">
        <v>968</v>
      </c>
      <c r="C257" s="82">
        <v>3060.0</v>
      </c>
      <c r="D257" s="65"/>
    </row>
    <row r="258" hidden="1">
      <c r="A258" s="58" t="s">
        <v>969</v>
      </c>
      <c r="B258" s="59" t="s">
        <v>949</v>
      </c>
      <c r="C258" s="82">
        <v>2000.0</v>
      </c>
      <c r="D258" s="65"/>
    </row>
    <row r="259" hidden="1">
      <c r="A259" s="62"/>
      <c r="B259" s="59" t="s">
        <v>824</v>
      </c>
      <c r="C259" s="96">
        <v>120.0</v>
      </c>
      <c r="D259" s="65"/>
    </row>
    <row r="260" hidden="1">
      <c r="A260" s="58" t="s">
        <v>970</v>
      </c>
      <c r="B260" s="59" t="s">
        <v>824</v>
      </c>
      <c r="C260" s="97">
        <f>200+160</f>
        <v>360</v>
      </c>
      <c r="D260" s="65"/>
    </row>
    <row r="261" hidden="1">
      <c r="A261" s="58" t="s">
        <v>971</v>
      </c>
      <c r="B261" s="59" t="s">
        <v>938</v>
      </c>
      <c r="C261" s="96">
        <v>200.0</v>
      </c>
      <c r="D261" s="65"/>
    </row>
    <row r="262" hidden="1">
      <c r="A262" s="58" t="s">
        <v>972</v>
      </c>
      <c r="B262" s="59" t="s">
        <v>647</v>
      </c>
      <c r="C262" s="97">
        <f>250+50+310+190+140+60</f>
        <v>1000</v>
      </c>
      <c r="D262" s="65"/>
    </row>
    <row r="263" hidden="1">
      <c r="A263" s="58" t="s">
        <v>112</v>
      </c>
      <c r="B263" s="59" t="s">
        <v>350</v>
      </c>
      <c r="C263" s="97">
        <f>180+30+50+40+100+100+100</f>
        <v>600</v>
      </c>
      <c r="D263" s="65"/>
    </row>
    <row r="264" hidden="1">
      <c r="A264" s="58" t="s">
        <v>975</v>
      </c>
      <c r="B264" s="59" t="s">
        <v>976</v>
      </c>
      <c r="C264" s="96">
        <v>1000.0</v>
      </c>
      <c r="D264" s="65"/>
    </row>
    <row r="265" hidden="1">
      <c r="A265" s="62"/>
      <c r="B265" s="59" t="s">
        <v>824</v>
      </c>
      <c r="C265" s="97">
        <f>150+150+100+150</f>
        <v>550</v>
      </c>
      <c r="D265" s="65"/>
    </row>
    <row r="266" hidden="1">
      <c r="A266" s="58" t="s">
        <v>945</v>
      </c>
      <c r="B266" s="59" t="s">
        <v>979</v>
      </c>
      <c r="C266" s="97">
        <f>150+250+150</f>
        <v>550</v>
      </c>
      <c r="D266" s="65"/>
    </row>
    <row r="267" hidden="1">
      <c r="A267" s="62"/>
      <c r="B267" s="179" t="s">
        <v>834</v>
      </c>
      <c r="C267" s="238">
        <v>37500.0</v>
      </c>
      <c r="D267" s="65"/>
    </row>
    <row r="268" hidden="1">
      <c r="A268" s="130"/>
      <c r="B268" s="240" t="s">
        <v>983</v>
      </c>
      <c r="C268" s="241">
        <v>2500.0</v>
      </c>
      <c r="D268" s="98"/>
    </row>
    <row r="269" hidden="1">
      <c r="A269" s="130"/>
      <c r="B269" s="240" t="s">
        <v>985</v>
      </c>
      <c r="C269" s="241">
        <v>1570.0</v>
      </c>
      <c r="D269" s="98"/>
    </row>
    <row r="270" hidden="1">
      <c r="A270" s="130"/>
      <c r="B270" s="240" t="s">
        <v>987</v>
      </c>
      <c r="C270" s="241">
        <v>2717.0</v>
      </c>
      <c r="D270" s="98"/>
    </row>
    <row r="271" hidden="1">
      <c r="A271" s="130"/>
      <c r="B271" s="244" t="s">
        <v>989</v>
      </c>
      <c r="C271" s="96">
        <v>200.0</v>
      </c>
      <c r="D271" s="98"/>
    </row>
    <row r="272" hidden="1">
      <c r="A272" s="98"/>
      <c r="B272" s="206" t="s">
        <v>999</v>
      </c>
      <c r="C272" s="246">
        <f>22000+6287</f>
        <v>28287</v>
      </c>
      <c r="D272" s="98"/>
    </row>
    <row r="273" hidden="1">
      <c r="A273" s="98"/>
      <c r="B273" s="206" t="s">
        <v>1000</v>
      </c>
      <c r="C273" s="246">
        <v>22000.0</v>
      </c>
      <c r="D273" s="98"/>
    </row>
    <row r="274" hidden="1">
      <c r="A274" s="98"/>
      <c r="B274" s="206" t="s">
        <v>1001</v>
      </c>
      <c r="C274" s="246">
        <v>6875.0</v>
      </c>
      <c r="D274" s="98"/>
    </row>
    <row r="275" hidden="1">
      <c r="A275" s="98"/>
      <c r="B275" s="206" t="s">
        <v>1002</v>
      </c>
      <c r="C275" s="246">
        <v>6875.0</v>
      </c>
      <c r="D275" s="98"/>
    </row>
    <row r="276" hidden="1">
      <c r="A276" s="98"/>
      <c r="B276" s="248" t="s">
        <v>956</v>
      </c>
      <c r="C276" s="246">
        <f>18050-2000</f>
        <v>16050</v>
      </c>
      <c r="D276" s="98"/>
    </row>
    <row r="277" hidden="1">
      <c r="A277" s="98"/>
      <c r="B277" s="248" t="s">
        <v>959</v>
      </c>
      <c r="C277" s="246">
        <v>20350.0</v>
      </c>
      <c r="D277" s="98"/>
    </row>
    <row r="278" hidden="1">
      <c r="A278" s="98"/>
      <c r="B278" s="248" t="s">
        <v>962</v>
      </c>
      <c r="C278" s="246">
        <v>17100.0</v>
      </c>
      <c r="D278" s="98"/>
    </row>
    <row r="279" hidden="1">
      <c r="A279" s="98"/>
      <c r="B279" s="248" t="s">
        <v>965</v>
      </c>
      <c r="C279" s="246">
        <v>8564.0</v>
      </c>
      <c r="D279" s="98"/>
    </row>
    <row r="280" hidden="1">
      <c r="A280" s="98"/>
      <c r="B280" s="248" t="s">
        <v>895</v>
      </c>
      <c r="C280" s="246">
        <v>16500.0</v>
      </c>
      <c r="D280" s="98"/>
    </row>
    <row r="281" hidden="1">
      <c r="A281" s="98"/>
      <c r="B281" s="248" t="s">
        <v>896</v>
      </c>
      <c r="C281" s="246">
        <v>1700.0</v>
      </c>
      <c r="D281" s="98"/>
    </row>
    <row r="282" hidden="1">
      <c r="A282" s="59" t="s">
        <v>1005</v>
      </c>
      <c r="B282" s="59" t="s">
        <v>824</v>
      </c>
      <c r="C282" s="97">
        <f>70</f>
        <v>70</v>
      </c>
      <c r="D282" s="98"/>
    </row>
    <row r="283" hidden="1">
      <c r="A283" s="59" t="s">
        <v>1007</v>
      </c>
      <c r="B283" s="59" t="s">
        <v>824</v>
      </c>
      <c r="C283" s="97">
        <f>340+350+230+80+170+120+225+200</f>
        <v>1715</v>
      </c>
      <c r="D283" s="98"/>
    </row>
    <row r="284" hidden="1">
      <c r="A284" s="65"/>
      <c r="B284" s="59" t="s">
        <v>1009</v>
      </c>
      <c r="C284" s="96">
        <v>2000.0</v>
      </c>
      <c r="D284" s="99"/>
    </row>
    <row r="285" hidden="1">
      <c r="A285" s="66" t="s">
        <v>1270</v>
      </c>
      <c r="B285" s="39"/>
      <c r="C285" s="91">
        <f>SUM(C244:C284)</f>
        <v>209468</v>
      </c>
      <c r="D285" s="68"/>
    </row>
    <row r="286">
      <c r="A286" s="120"/>
      <c r="B286" s="120"/>
      <c r="C286" s="120"/>
      <c r="D286" s="120"/>
    </row>
    <row r="287">
      <c r="A287" s="120"/>
      <c r="B287" s="120"/>
      <c r="C287" s="120"/>
      <c r="D287" s="120"/>
    </row>
    <row r="288">
      <c r="A288" s="326">
        <v>45047.0</v>
      </c>
      <c r="B288" s="327"/>
      <c r="C288" s="327"/>
      <c r="D288" s="328"/>
    </row>
    <row r="289">
      <c r="A289" s="329" t="s">
        <v>7</v>
      </c>
      <c r="B289" s="330" t="s">
        <v>686</v>
      </c>
      <c r="C289" s="330" t="s">
        <v>238</v>
      </c>
      <c r="D289" s="330" t="s">
        <v>239</v>
      </c>
    </row>
    <row r="290">
      <c r="A290" s="58" t="s">
        <v>1015</v>
      </c>
      <c r="B290" s="59" t="s">
        <v>1016</v>
      </c>
      <c r="C290" s="90">
        <v>3000.0</v>
      </c>
      <c r="D290" s="65"/>
    </row>
    <row r="291">
      <c r="A291" s="62"/>
      <c r="B291" s="59" t="s">
        <v>1017</v>
      </c>
      <c r="C291" s="91">
        <f>250+200+200</f>
        <v>650</v>
      </c>
      <c r="D291" s="65"/>
    </row>
    <row r="292">
      <c r="A292" s="58" t="s">
        <v>1018</v>
      </c>
      <c r="B292" s="59" t="s">
        <v>472</v>
      </c>
      <c r="C292" s="90">
        <v>700.0</v>
      </c>
      <c r="D292" s="65"/>
    </row>
    <row r="293">
      <c r="A293" s="62"/>
      <c r="B293" s="59" t="s">
        <v>1019</v>
      </c>
      <c r="C293" s="90">
        <f>505+30+250+50</f>
        <v>835</v>
      </c>
      <c r="D293" s="65"/>
    </row>
    <row r="294">
      <c r="A294" s="58" t="s">
        <v>121</v>
      </c>
      <c r="B294" s="59" t="s">
        <v>1020</v>
      </c>
      <c r="C294" s="90">
        <v>650.0</v>
      </c>
      <c r="D294" s="65"/>
    </row>
    <row r="295">
      <c r="A295" s="62"/>
      <c r="B295" s="59" t="s">
        <v>647</v>
      </c>
      <c r="C295" s="90">
        <f>100+190</f>
        <v>290</v>
      </c>
      <c r="D295" s="65"/>
    </row>
    <row r="296">
      <c r="A296" s="62"/>
      <c r="B296" s="59" t="s">
        <v>647</v>
      </c>
      <c r="C296" s="90">
        <v>100.0</v>
      </c>
      <c r="D296" s="65"/>
    </row>
    <row r="297">
      <c r="A297" s="62"/>
      <c r="B297" s="59" t="s">
        <v>1024</v>
      </c>
      <c r="C297" s="90">
        <v>405.0</v>
      </c>
      <c r="D297" s="65"/>
    </row>
    <row r="298">
      <c r="A298" s="58" t="s">
        <v>1014</v>
      </c>
      <c r="B298" s="59" t="s">
        <v>1024</v>
      </c>
      <c r="C298" s="90">
        <v>200.0</v>
      </c>
      <c r="D298" s="65"/>
    </row>
    <row r="299">
      <c r="A299" s="62"/>
      <c r="B299" s="59" t="s">
        <v>824</v>
      </c>
      <c r="C299" s="91">
        <f>116+295+210+240+250+200</f>
        <v>1311</v>
      </c>
      <c r="D299" s="65"/>
    </row>
    <row r="300">
      <c r="A300" s="62"/>
      <c r="B300" s="59" t="s">
        <v>1028</v>
      </c>
      <c r="C300" s="90">
        <v>2445.0</v>
      </c>
      <c r="D300" s="65"/>
    </row>
    <row r="301">
      <c r="A301" s="58" t="s">
        <v>439</v>
      </c>
      <c r="B301" s="59" t="s">
        <v>1030</v>
      </c>
      <c r="C301" s="90">
        <v>1000.0</v>
      </c>
      <c r="D301" s="65"/>
    </row>
    <row r="302">
      <c r="A302" s="62"/>
      <c r="B302" s="206" t="s">
        <v>1026</v>
      </c>
      <c r="C302" s="158">
        <f>13550-1000</f>
        <v>12550</v>
      </c>
      <c r="D302" s="65"/>
    </row>
    <row r="303">
      <c r="A303" s="62"/>
      <c r="B303" s="264" t="s">
        <v>1027</v>
      </c>
      <c r="C303" s="158">
        <v>14650.0</v>
      </c>
      <c r="D303" s="65"/>
    </row>
    <row r="304">
      <c r="A304" s="62"/>
      <c r="B304" s="264" t="s">
        <v>1029</v>
      </c>
      <c r="C304" s="158">
        <v>13700.0</v>
      </c>
      <c r="D304" s="65"/>
    </row>
    <row r="305">
      <c r="A305" s="62"/>
      <c r="B305" s="157" t="s">
        <v>1031</v>
      </c>
      <c r="C305" s="158">
        <v>10300.0</v>
      </c>
      <c r="D305" s="65"/>
    </row>
    <row r="306">
      <c r="A306" s="62"/>
      <c r="B306" s="157" t="s">
        <v>951</v>
      </c>
      <c r="C306" s="161">
        <v>1000.0</v>
      </c>
      <c r="D306" s="65"/>
    </row>
    <row r="307">
      <c r="A307" s="62"/>
      <c r="B307" s="59" t="s">
        <v>824</v>
      </c>
      <c r="C307" s="90">
        <f>380+1500</f>
        <v>1880</v>
      </c>
      <c r="D307" s="65"/>
    </row>
    <row r="308">
      <c r="A308" s="58" t="s">
        <v>444</v>
      </c>
      <c r="B308" s="59" t="s">
        <v>1038</v>
      </c>
      <c r="C308" s="90">
        <v>8000.0</v>
      </c>
      <c r="D308" s="65"/>
    </row>
    <row r="309">
      <c r="A309" s="58" t="s">
        <v>1039</v>
      </c>
      <c r="B309" s="59" t="s">
        <v>1040</v>
      </c>
      <c r="C309" s="90">
        <v>295.0</v>
      </c>
      <c r="D309" s="65"/>
    </row>
    <row r="310">
      <c r="A310" s="62"/>
      <c r="B310" s="59" t="s">
        <v>824</v>
      </c>
      <c r="C310" s="91">
        <f>400+150+45+100</f>
        <v>695</v>
      </c>
      <c r="D310" s="65"/>
    </row>
    <row r="311">
      <c r="A311" s="58" t="s">
        <v>469</v>
      </c>
      <c r="B311" s="59" t="s">
        <v>1043</v>
      </c>
      <c r="C311" s="90">
        <v>1700.0</v>
      </c>
      <c r="D311" s="65"/>
    </row>
    <row r="312">
      <c r="A312" s="62"/>
      <c r="B312" s="59" t="s">
        <v>1044</v>
      </c>
      <c r="C312" s="90">
        <v>32550.0</v>
      </c>
      <c r="D312" s="266"/>
    </row>
    <row r="313">
      <c r="A313" s="62"/>
      <c r="B313" s="59" t="s">
        <v>1045</v>
      </c>
      <c r="C313" s="90">
        <v>25500.0</v>
      </c>
      <c r="D313" s="266"/>
    </row>
    <row r="314">
      <c r="A314" s="62"/>
      <c r="B314" s="59" t="s">
        <v>1046</v>
      </c>
      <c r="C314" s="90">
        <v>3000.0</v>
      </c>
      <c r="D314" s="266"/>
    </row>
    <row r="315">
      <c r="A315" s="58" t="s">
        <v>474</v>
      </c>
      <c r="B315" s="59" t="s">
        <v>1050</v>
      </c>
      <c r="C315" s="90">
        <v>16000.0</v>
      </c>
      <c r="D315" s="65"/>
    </row>
  </sheetData>
  <mergeCells count="9">
    <mergeCell ref="A285:B285"/>
    <mergeCell ref="A288:D288"/>
    <mergeCell ref="A5:D5"/>
    <mergeCell ref="A115:B115"/>
    <mergeCell ref="A118:D118"/>
    <mergeCell ref="A186:B186"/>
    <mergeCell ref="A189:D189"/>
    <mergeCell ref="A239:B239"/>
    <mergeCell ref="A242:D24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3" max="4" width="19.13"/>
    <col customWidth="1" min="5" max="5" width="16.75"/>
    <col customWidth="1" min="7" max="7" width="22.0"/>
    <col customWidth="1" min="8" max="8" width="19.13"/>
    <col customWidth="1" min="9" max="9" width="18.25"/>
    <col customWidth="1" min="10" max="10" width="14.25"/>
    <col customWidth="1" min="11" max="11" width="27.38"/>
    <col customWidth="1" min="12" max="12" width="13.88"/>
  </cols>
  <sheetData>
    <row r="5">
      <c r="A5" s="332" t="s">
        <v>6</v>
      </c>
      <c r="B5" s="333" t="s">
        <v>7</v>
      </c>
      <c r="C5" s="334" t="s">
        <v>1271</v>
      </c>
      <c r="D5" s="333" t="s">
        <v>1246</v>
      </c>
      <c r="E5" s="333" t="s">
        <v>1272</v>
      </c>
      <c r="F5" s="333" t="s">
        <v>1273</v>
      </c>
      <c r="G5" s="334" t="s">
        <v>1274</v>
      </c>
      <c r="H5" s="333" t="s">
        <v>1275</v>
      </c>
      <c r="I5" s="333" t="s">
        <v>1276</v>
      </c>
      <c r="J5" s="333" t="s">
        <v>1277</v>
      </c>
      <c r="K5" s="333" t="s">
        <v>1278</v>
      </c>
      <c r="L5" s="333" t="s">
        <v>618</v>
      </c>
    </row>
    <row r="6">
      <c r="A6" s="335">
        <v>1.0</v>
      </c>
      <c r="F6" s="41">
        <v>0.0</v>
      </c>
      <c r="G6" s="41">
        <v>0.0</v>
      </c>
      <c r="H6" s="41">
        <v>0.0</v>
      </c>
      <c r="I6" s="41">
        <v>0.0</v>
      </c>
      <c r="J6" s="138">
        <f t="shared" ref="J6:J38" si="1">G6-H6-I6</f>
        <v>0</v>
      </c>
    </row>
    <row r="7">
      <c r="A7" s="335">
        <v>2.0</v>
      </c>
      <c r="J7" s="138">
        <f t="shared" si="1"/>
        <v>0</v>
      </c>
    </row>
    <row r="8">
      <c r="A8" s="335">
        <v>3.0</v>
      </c>
      <c r="J8" s="138">
        <f t="shared" si="1"/>
        <v>0</v>
      </c>
    </row>
    <row r="9">
      <c r="A9" s="335">
        <v>4.0</v>
      </c>
      <c r="J9" s="138">
        <f t="shared" si="1"/>
        <v>0</v>
      </c>
    </row>
    <row r="10">
      <c r="A10" s="335">
        <v>5.0</v>
      </c>
      <c r="J10" s="138">
        <f t="shared" si="1"/>
        <v>0</v>
      </c>
    </row>
    <row r="11">
      <c r="A11" s="335">
        <v>6.0</v>
      </c>
      <c r="J11" s="138">
        <f t="shared" si="1"/>
        <v>0</v>
      </c>
    </row>
    <row r="12">
      <c r="A12" s="335">
        <v>7.0</v>
      </c>
      <c r="J12" s="138">
        <f t="shared" si="1"/>
        <v>0</v>
      </c>
    </row>
    <row r="13">
      <c r="A13" s="335">
        <v>8.0</v>
      </c>
      <c r="J13" s="138">
        <f t="shared" si="1"/>
        <v>0</v>
      </c>
    </row>
    <row r="14">
      <c r="A14" s="335">
        <v>9.0</v>
      </c>
      <c r="J14" s="138">
        <f t="shared" si="1"/>
        <v>0</v>
      </c>
    </row>
    <row r="15">
      <c r="A15" s="335">
        <v>10.0</v>
      </c>
      <c r="J15" s="138">
        <f t="shared" si="1"/>
        <v>0</v>
      </c>
    </row>
    <row r="16">
      <c r="A16" s="335">
        <v>11.0</v>
      </c>
      <c r="J16" s="138">
        <f t="shared" si="1"/>
        <v>0</v>
      </c>
    </row>
    <row r="17">
      <c r="A17" s="335">
        <v>12.0</v>
      </c>
      <c r="J17" s="138">
        <f t="shared" si="1"/>
        <v>0</v>
      </c>
    </row>
    <row r="18">
      <c r="A18" s="335">
        <v>13.0</v>
      </c>
      <c r="J18" s="138">
        <f t="shared" si="1"/>
        <v>0</v>
      </c>
    </row>
    <row r="19">
      <c r="A19" s="335">
        <v>14.0</v>
      </c>
      <c r="J19" s="138">
        <f t="shared" si="1"/>
        <v>0</v>
      </c>
    </row>
    <row r="20">
      <c r="A20" s="335">
        <v>15.0</v>
      </c>
      <c r="J20" s="138">
        <f t="shared" si="1"/>
        <v>0</v>
      </c>
    </row>
    <row r="21">
      <c r="A21" s="335">
        <v>16.0</v>
      </c>
      <c r="J21" s="138">
        <f t="shared" si="1"/>
        <v>0</v>
      </c>
    </row>
    <row r="22">
      <c r="A22" s="335">
        <v>17.0</v>
      </c>
      <c r="J22" s="138">
        <f t="shared" si="1"/>
        <v>0</v>
      </c>
    </row>
    <row r="23">
      <c r="A23" s="335">
        <v>18.0</v>
      </c>
      <c r="J23" s="138">
        <f t="shared" si="1"/>
        <v>0</v>
      </c>
    </row>
    <row r="24">
      <c r="A24" s="335">
        <v>19.0</v>
      </c>
      <c r="J24" s="138">
        <f t="shared" si="1"/>
        <v>0</v>
      </c>
    </row>
    <row r="25">
      <c r="A25" s="335">
        <v>20.0</v>
      </c>
      <c r="J25" s="138">
        <f t="shared" si="1"/>
        <v>0</v>
      </c>
    </row>
    <row r="26">
      <c r="A26" s="335">
        <v>21.0</v>
      </c>
      <c r="J26" s="138">
        <f t="shared" si="1"/>
        <v>0</v>
      </c>
    </row>
    <row r="27">
      <c r="A27" s="335">
        <v>22.0</v>
      </c>
      <c r="J27" s="138">
        <f t="shared" si="1"/>
        <v>0</v>
      </c>
    </row>
    <row r="28">
      <c r="A28" s="335">
        <v>23.0</v>
      </c>
      <c r="J28" s="138">
        <f t="shared" si="1"/>
        <v>0</v>
      </c>
    </row>
    <row r="29">
      <c r="J29" s="138">
        <f t="shared" si="1"/>
        <v>0</v>
      </c>
    </row>
    <row r="30">
      <c r="J30" s="138">
        <f t="shared" si="1"/>
        <v>0</v>
      </c>
    </row>
    <row r="31">
      <c r="J31" s="138">
        <f t="shared" si="1"/>
        <v>0</v>
      </c>
    </row>
    <row r="32">
      <c r="J32" s="138">
        <f t="shared" si="1"/>
        <v>0</v>
      </c>
    </row>
    <row r="33">
      <c r="J33" s="138">
        <f t="shared" si="1"/>
        <v>0</v>
      </c>
    </row>
    <row r="34">
      <c r="J34" s="138">
        <f t="shared" si="1"/>
        <v>0</v>
      </c>
    </row>
    <row r="35">
      <c r="J35" s="138">
        <f t="shared" si="1"/>
        <v>0</v>
      </c>
    </row>
    <row r="36">
      <c r="J36" s="138">
        <f t="shared" si="1"/>
        <v>0</v>
      </c>
    </row>
    <row r="37">
      <c r="J37" s="138">
        <f t="shared" si="1"/>
        <v>0</v>
      </c>
    </row>
    <row r="38">
      <c r="J38" s="138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4" width="15.75"/>
    <col customWidth="1" min="5" max="5" width="19.25"/>
    <col customWidth="1" hidden="1" min="6" max="6" width="14.75"/>
    <col customWidth="1" min="7" max="7" width="22.0"/>
    <col customWidth="1" min="8" max="8" width="18.0"/>
  </cols>
  <sheetData>
    <row r="5">
      <c r="A5" s="336" t="s">
        <v>1279</v>
      </c>
    </row>
    <row r="6">
      <c r="A6" s="336" t="s">
        <v>1280</v>
      </c>
    </row>
    <row r="7">
      <c r="A7" s="336" t="s">
        <v>1281</v>
      </c>
    </row>
    <row r="8">
      <c r="A8" s="336" t="s">
        <v>1282</v>
      </c>
    </row>
    <row r="9">
      <c r="A9" s="3"/>
      <c r="B9" s="3"/>
      <c r="C9" s="337"/>
      <c r="D9" s="337"/>
      <c r="E9" s="337"/>
      <c r="F9" s="337"/>
      <c r="G9" s="3"/>
      <c r="H9" s="3"/>
    </row>
    <row r="10" ht="38.25" customHeight="1">
      <c r="A10" s="338" t="s">
        <v>7</v>
      </c>
      <c r="B10" s="339" t="s">
        <v>1283</v>
      </c>
      <c r="C10" s="340" t="s">
        <v>1284</v>
      </c>
      <c r="D10" s="340" t="s">
        <v>1285</v>
      </c>
      <c r="E10" s="341" t="s">
        <v>1286</v>
      </c>
      <c r="F10" s="340" t="s">
        <v>1287</v>
      </c>
      <c r="G10" s="339" t="s">
        <v>1288</v>
      </c>
      <c r="H10" s="339" t="s">
        <v>618</v>
      </c>
      <c r="I10" s="342"/>
      <c r="J10" s="342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</row>
    <row r="11">
      <c r="A11" s="343">
        <v>44930.0</v>
      </c>
      <c r="B11" s="193" t="s">
        <v>1289</v>
      </c>
      <c r="C11" s="96">
        <v>6000.0</v>
      </c>
      <c r="D11" s="96"/>
      <c r="E11" s="96"/>
      <c r="F11" s="97">
        <f>C11+D11-E11</f>
        <v>6000</v>
      </c>
      <c r="G11" s="344">
        <f>F150</f>
        <v>56000</v>
      </c>
      <c r="H11" s="345"/>
    </row>
    <row r="12">
      <c r="A12" s="346" t="s">
        <v>478</v>
      </c>
      <c r="B12" s="193" t="s">
        <v>1290</v>
      </c>
      <c r="C12" s="96"/>
      <c r="D12" s="96">
        <v>50000.0</v>
      </c>
      <c r="E12" s="96"/>
      <c r="F12" s="97">
        <f t="shared" ref="F12:F150" si="1">F11+C12+D12-E12</f>
        <v>56000</v>
      </c>
      <c r="G12" s="269"/>
      <c r="H12" s="193" t="s">
        <v>1291</v>
      </c>
    </row>
    <row r="13">
      <c r="A13" s="347"/>
      <c r="B13" s="345"/>
      <c r="C13" s="96"/>
      <c r="D13" s="97"/>
      <c r="E13" s="97"/>
      <c r="F13" s="97">
        <f t="shared" si="1"/>
        <v>56000</v>
      </c>
      <c r="G13" s="269"/>
      <c r="H13" s="345"/>
    </row>
    <row r="14">
      <c r="A14" s="347"/>
      <c r="B14" s="345"/>
      <c r="C14" s="97"/>
      <c r="D14" s="96"/>
      <c r="E14" s="96"/>
      <c r="F14" s="97">
        <f t="shared" si="1"/>
        <v>56000</v>
      </c>
      <c r="G14" s="269"/>
      <c r="H14" s="345"/>
    </row>
    <row r="15">
      <c r="A15" s="347"/>
      <c r="B15" s="345"/>
      <c r="C15" s="96"/>
      <c r="D15" s="97"/>
      <c r="E15" s="96"/>
      <c r="F15" s="97">
        <f t="shared" si="1"/>
        <v>56000</v>
      </c>
      <c r="G15" s="269"/>
      <c r="H15" s="345"/>
    </row>
    <row r="16">
      <c r="A16" s="347"/>
      <c r="B16" s="345"/>
      <c r="C16" s="97"/>
      <c r="D16" s="96"/>
      <c r="E16" s="97"/>
      <c r="F16" s="97">
        <f t="shared" si="1"/>
        <v>56000</v>
      </c>
      <c r="G16" s="269"/>
      <c r="H16" s="345"/>
    </row>
    <row r="17">
      <c r="A17" s="347"/>
      <c r="B17" s="345"/>
      <c r="C17" s="97"/>
      <c r="D17" s="97"/>
      <c r="E17" s="97"/>
      <c r="F17" s="97">
        <f t="shared" si="1"/>
        <v>56000</v>
      </c>
      <c r="G17" s="269"/>
      <c r="H17" s="345"/>
    </row>
    <row r="18">
      <c r="A18" s="347"/>
      <c r="B18" s="345"/>
      <c r="C18" s="97"/>
      <c r="D18" s="97"/>
      <c r="E18" s="97"/>
      <c r="F18" s="97">
        <f t="shared" si="1"/>
        <v>56000</v>
      </c>
      <c r="G18" s="269"/>
      <c r="H18" s="345"/>
    </row>
    <row r="19">
      <c r="A19" s="347"/>
      <c r="B19" s="345"/>
      <c r="C19" s="97"/>
      <c r="D19" s="97"/>
      <c r="E19" s="97"/>
      <c r="F19" s="97">
        <f t="shared" si="1"/>
        <v>56000</v>
      </c>
      <c r="G19" s="269"/>
      <c r="H19" s="345"/>
    </row>
    <row r="20">
      <c r="A20" s="347"/>
      <c r="B20" s="345"/>
      <c r="C20" s="97"/>
      <c r="D20" s="97"/>
      <c r="E20" s="97"/>
      <c r="F20" s="97">
        <f t="shared" si="1"/>
        <v>56000</v>
      </c>
      <c r="G20" s="269"/>
      <c r="H20" s="345"/>
    </row>
    <row r="21">
      <c r="A21" s="347"/>
      <c r="B21" s="345"/>
      <c r="C21" s="97"/>
      <c r="D21" s="97"/>
      <c r="E21" s="97"/>
      <c r="F21" s="97">
        <f t="shared" si="1"/>
        <v>56000</v>
      </c>
      <c r="G21" s="269"/>
      <c r="H21" s="345"/>
    </row>
    <row r="22">
      <c r="A22" s="347"/>
      <c r="B22" s="345"/>
      <c r="C22" s="97"/>
      <c r="D22" s="97"/>
      <c r="E22" s="97"/>
      <c r="F22" s="97">
        <f t="shared" si="1"/>
        <v>56000</v>
      </c>
      <c r="G22" s="269"/>
      <c r="H22" s="345"/>
    </row>
    <row r="23">
      <c r="A23" s="347"/>
      <c r="B23" s="345"/>
      <c r="C23" s="97"/>
      <c r="D23" s="97"/>
      <c r="E23" s="97"/>
      <c r="F23" s="97">
        <f t="shared" si="1"/>
        <v>56000</v>
      </c>
      <c r="G23" s="269"/>
      <c r="H23" s="345"/>
    </row>
    <row r="24">
      <c r="A24" s="347"/>
      <c r="B24" s="345"/>
      <c r="C24" s="97"/>
      <c r="D24" s="97"/>
      <c r="E24" s="97"/>
      <c r="F24" s="97">
        <f t="shared" si="1"/>
        <v>56000</v>
      </c>
      <c r="G24" s="269"/>
      <c r="H24" s="345"/>
    </row>
    <row r="25">
      <c r="A25" s="347"/>
      <c r="B25" s="345"/>
      <c r="C25" s="97"/>
      <c r="D25" s="97"/>
      <c r="E25" s="97"/>
      <c r="F25" s="97">
        <f t="shared" si="1"/>
        <v>56000</v>
      </c>
      <c r="G25" s="269"/>
      <c r="H25" s="345"/>
    </row>
    <row r="26">
      <c r="A26" s="347"/>
      <c r="B26" s="345"/>
      <c r="C26" s="97"/>
      <c r="D26" s="97"/>
      <c r="E26" s="97"/>
      <c r="F26" s="97">
        <f t="shared" si="1"/>
        <v>56000</v>
      </c>
      <c r="G26" s="269"/>
      <c r="H26" s="345"/>
    </row>
    <row r="27">
      <c r="A27" s="347"/>
      <c r="B27" s="345"/>
      <c r="C27" s="97"/>
      <c r="D27" s="97"/>
      <c r="E27" s="97"/>
      <c r="F27" s="97">
        <f t="shared" si="1"/>
        <v>56000</v>
      </c>
      <c r="G27" s="269"/>
      <c r="H27" s="345"/>
    </row>
    <row r="28">
      <c r="A28" s="347"/>
      <c r="B28" s="345"/>
      <c r="C28" s="97"/>
      <c r="D28" s="97"/>
      <c r="E28" s="97"/>
      <c r="F28" s="97">
        <f t="shared" si="1"/>
        <v>56000</v>
      </c>
      <c r="G28" s="269"/>
      <c r="H28" s="345"/>
    </row>
    <row r="29">
      <c r="A29" s="347"/>
      <c r="B29" s="345"/>
      <c r="C29" s="97"/>
      <c r="D29" s="97"/>
      <c r="E29" s="97"/>
      <c r="F29" s="97">
        <f t="shared" si="1"/>
        <v>56000</v>
      </c>
      <c r="G29" s="269"/>
      <c r="H29" s="345"/>
    </row>
    <row r="30">
      <c r="A30" s="347"/>
      <c r="B30" s="345"/>
      <c r="C30" s="97"/>
      <c r="D30" s="97"/>
      <c r="E30" s="97"/>
      <c r="F30" s="97">
        <f t="shared" si="1"/>
        <v>56000</v>
      </c>
      <c r="G30" s="269"/>
      <c r="H30" s="345"/>
    </row>
    <row r="31">
      <c r="A31" s="347"/>
      <c r="B31" s="345"/>
      <c r="C31" s="97"/>
      <c r="D31" s="97"/>
      <c r="E31" s="97"/>
      <c r="F31" s="97">
        <f t="shared" si="1"/>
        <v>56000</v>
      </c>
      <c r="G31" s="269"/>
      <c r="H31" s="345"/>
    </row>
    <row r="32">
      <c r="A32" s="347"/>
      <c r="B32" s="345"/>
      <c r="C32" s="97"/>
      <c r="D32" s="97"/>
      <c r="E32" s="97"/>
      <c r="F32" s="97">
        <f t="shared" si="1"/>
        <v>56000</v>
      </c>
      <c r="G32" s="269"/>
      <c r="H32" s="345"/>
    </row>
    <row r="33">
      <c r="A33" s="347"/>
      <c r="B33" s="345"/>
      <c r="C33" s="97"/>
      <c r="D33" s="97"/>
      <c r="E33" s="97"/>
      <c r="F33" s="97">
        <f t="shared" si="1"/>
        <v>56000</v>
      </c>
      <c r="G33" s="269"/>
      <c r="H33" s="345"/>
    </row>
    <row r="34">
      <c r="A34" s="347"/>
      <c r="B34" s="345"/>
      <c r="C34" s="97"/>
      <c r="D34" s="97"/>
      <c r="E34" s="97"/>
      <c r="F34" s="97">
        <f t="shared" si="1"/>
        <v>56000</v>
      </c>
      <c r="G34" s="269"/>
      <c r="H34" s="345"/>
    </row>
    <row r="35">
      <c r="A35" s="347"/>
      <c r="B35" s="345"/>
      <c r="C35" s="97"/>
      <c r="D35" s="97"/>
      <c r="E35" s="97"/>
      <c r="F35" s="97">
        <f t="shared" si="1"/>
        <v>56000</v>
      </c>
      <c r="G35" s="269"/>
      <c r="H35" s="345"/>
    </row>
    <row r="36">
      <c r="A36" s="347"/>
      <c r="B36" s="345"/>
      <c r="C36" s="97"/>
      <c r="D36" s="97"/>
      <c r="E36" s="97"/>
      <c r="F36" s="97">
        <f t="shared" si="1"/>
        <v>56000</v>
      </c>
      <c r="G36" s="269"/>
      <c r="H36" s="345"/>
    </row>
    <row r="37">
      <c r="A37" s="347"/>
      <c r="B37" s="345"/>
      <c r="C37" s="97"/>
      <c r="D37" s="97"/>
      <c r="E37" s="97"/>
      <c r="F37" s="97">
        <f t="shared" si="1"/>
        <v>56000</v>
      </c>
      <c r="G37" s="269"/>
      <c r="H37" s="345"/>
    </row>
    <row r="38">
      <c r="A38" s="347"/>
      <c r="B38" s="345"/>
      <c r="C38" s="97"/>
      <c r="D38" s="97"/>
      <c r="E38" s="97"/>
      <c r="F38" s="97">
        <f t="shared" si="1"/>
        <v>56000</v>
      </c>
      <c r="G38" s="269"/>
      <c r="H38" s="345"/>
    </row>
    <row r="39">
      <c r="A39" s="347"/>
      <c r="B39" s="345"/>
      <c r="C39" s="97"/>
      <c r="D39" s="97"/>
      <c r="E39" s="97"/>
      <c r="F39" s="97">
        <f t="shared" si="1"/>
        <v>56000</v>
      </c>
      <c r="G39" s="269"/>
      <c r="H39" s="345"/>
    </row>
    <row r="40">
      <c r="A40" s="347"/>
      <c r="B40" s="345"/>
      <c r="C40" s="97"/>
      <c r="D40" s="97"/>
      <c r="E40" s="97"/>
      <c r="F40" s="97">
        <f t="shared" si="1"/>
        <v>56000</v>
      </c>
      <c r="G40" s="269"/>
      <c r="H40" s="345"/>
    </row>
    <row r="41">
      <c r="A41" s="347"/>
      <c r="B41" s="345"/>
      <c r="C41" s="97"/>
      <c r="D41" s="97"/>
      <c r="E41" s="97"/>
      <c r="F41" s="97">
        <f t="shared" si="1"/>
        <v>56000</v>
      </c>
      <c r="G41" s="269"/>
      <c r="H41" s="345"/>
    </row>
    <row r="42">
      <c r="A42" s="347"/>
      <c r="B42" s="345"/>
      <c r="C42" s="97"/>
      <c r="D42" s="97"/>
      <c r="E42" s="97"/>
      <c r="F42" s="97">
        <f t="shared" si="1"/>
        <v>56000</v>
      </c>
      <c r="G42" s="269"/>
      <c r="H42" s="345"/>
    </row>
    <row r="43">
      <c r="A43" s="347"/>
      <c r="B43" s="345"/>
      <c r="C43" s="97"/>
      <c r="D43" s="97"/>
      <c r="E43" s="97"/>
      <c r="F43" s="97">
        <f t="shared" si="1"/>
        <v>56000</v>
      </c>
      <c r="G43" s="269"/>
      <c r="H43" s="345"/>
    </row>
    <row r="44">
      <c r="A44" s="347"/>
      <c r="B44" s="345"/>
      <c r="C44" s="97"/>
      <c r="D44" s="97"/>
      <c r="E44" s="97"/>
      <c r="F44" s="97">
        <f t="shared" si="1"/>
        <v>56000</v>
      </c>
      <c r="G44" s="269"/>
      <c r="H44" s="345"/>
    </row>
    <row r="45">
      <c r="A45" s="347"/>
      <c r="B45" s="345"/>
      <c r="C45" s="97"/>
      <c r="D45" s="97"/>
      <c r="E45" s="97"/>
      <c r="F45" s="97">
        <f t="shared" si="1"/>
        <v>56000</v>
      </c>
      <c r="G45" s="269"/>
      <c r="H45" s="345"/>
    </row>
    <row r="46">
      <c r="A46" s="347"/>
      <c r="B46" s="345"/>
      <c r="C46" s="97"/>
      <c r="D46" s="97"/>
      <c r="E46" s="97"/>
      <c r="F46" s="97">
        <f t="shared" si="1"/>
        <v>56000</v>
      </c>
      <c r="G46" s="269"/>
      <c r="H46" s="345"/>
    </row>
    <row r="47">
      <c r="A47" s="347"/>
      <c r="B47" s="345"/>
      <c r="C47" s="97"/>
      <c r="D47" s="97"/>
      <c r="E47" s="97"/>
      <c r="F47" s="97">
        <f t="shared" si="1"/>
        <v>56000</v>
      </c>
      <c r="G47" s="269"/>
      <c r="H47" s="345"/>
    </row>
    <row r="48">
      <c r="A48" s="347"/>
      <c r="B48" s="345"/>
      <c r="C48" s="97"/>
      <c r="D48" s="97"/>
      <c r="E48" s="97"/>
      <c r="F48" s="97">
        <f t="shared" si="1"/>
        <v>56000</v>
      </c>
      <c r="G48" s="269"/>
      <c r="H48" s="345"/>
    </row>
    <row r="49">
      <c r="A49" s="347"/>
      <c r="B49" s="345"/>
      <c r="C49" s="97"/>
      <c r="D49" s="97"/>
      <c r="E49" s="97"/>
      <c r="F49" s="97">
        <f t="shared" si="1"/>
        <v>56000</v>
      </c>
      <c r="G49" s="269"/>
      <c r="H49" s="345"/>
    </row>
    <row r="50">
      <c r="A50" s="347"/>
      <c r="B50" s="345"/>
      <c r="C50" s="97"/>
      <c r="D50" s="97"/>
      <c r="E50" s="97"/>
      <c r="F50" s="97">
        <f t="shared" si="1"/>
        <v>56000</v>
      </c>
      <c r="G50" s="269"/>
      <c r="H50" s="345"/>
    </row>
    <row r="51">
      <c r="A51" s="347"/>
      <c r="B51" s="345"/>
      <c r="C51" s="97"/>
      <c r="D51" s="97"/>
      <c r="E51" s="97"/>
      <c r="F51" s="97">
        <f t="shared" si="1"/>
        <v>56000</v>
      </c>
      <c r="G51" s="269"/>
      <c r="H51" s="345"/>
    </row>
    <row r="52">
      <c r="A52" s="347"/>
      <c r="B52" s="345"/>
      <c r="C52" s="97"/>
      <c r="D52" s="97"/>
      <c r="E52" s="97"/>
      <c r="F52" s="97">
        <f t="shared" si="1"/>
        <v>56000</v>
      </c>
      <c r="G52" s="269"/>
      <c r="H52" s="345"/>
    </row>
    <row r="53">
      <c r="A53" s="347"/>
      <c r="B53" s="345"/>
      <c r="C53" s="97"/>
      <c r="D53" s="97"/>
      <c r="E53" s="97"/>
      <c r="F53" s="97">
        <f t="shared" si="1"/>
        <v>56000</v>
      </c>
      <c r="G53" s="269"/>
      <c r="H53" s="345"/>
    </row>
    <row r="54">
      <c r="A54" s="347"/>
      <c r="B54" s="345"/>
      <c r="C54" s="97"/>
      <c r="D54" s="97"/>
      <c r="E54" s="97"/>
      <c r="F54" s="97">
        <f t="shared" si="1"/>
        <v>56000</v>
      </c>
      <c r="G54" s="269"/>
      <c r="H54" s="345"/>
    </row>
    <row r="55">
      <c r="A55" s="347"/>
      <c r="B55" s="345"/>
      <c r="C55" s="97"/>
      <c r="D55" s="97"/>
      <c r="E55" s="97"/>
      <c r="F55" s="97">
        <f t="shared" si="1"/>
        <v>56000</v>
      </c>
      <c r="G55" s="269"/>
      <c r="H55" s="345"/>
    </row>
    <row r="56">
      <c r="A56" s="347"/>
      <c r="B56" s="345"/>
      <c r="C56" s="97"/>
      <c r="D56" s="97"/>
      <c r="E56" s="97"/>
      <c r="F56" s="97">
        <f t="shared" si="1"/>
        <v>56000</v>
      </c>
      <c r="G56" s="269"/>
      <c r="H56" s="345"/>
    </row>
    <row r="57">
      <c r="A57" s="347"/>
      <c r="B57" s="345"/>
      <c r="C57" s="97"/>
      <c r="D57" s="97"/>
      <c r="E57" s="97"/>
      <c r="F57" s="97">
        <f t="shared" si="1"/>
        <v>56000</v>
      </c>
      <c r="G57" s="269"/>
      <c r="H57" s="345"/>
    </row>
    <row r="58">
      <c r="A58" s="347"/>
      <c r="B58" s="345"/>
      <c r="C58" s="97"/>
      <c r="D58" s="97"/>
      <c r="E58" s="97"/>
      <c r="F58" s="97">
        <f t="shared" si="1"/>
        <v>56000</v>
      </c>
      <c r="G58" s="269"/>
      <c r="H58" s="345"/>
    </row>
    <row r="59">
      <c r="A59" s="347"/>
      <c r="B59" s="345"/>
      <c r="C59" s="97"/>
      <c r="D59" s="97"/>
      <c r="E59" s="97"/>
      <c r="F59" s="97">
        <f t="shared" si="1"/>
        <v>56000</v>
      </c>
      <c r="G59" s="269"/>
      <c r="H59" s="345"/>
    </row>
    <row r="60">
      <c r="A60" s="347"/>
      <c r="B60" s="345"/>
      <c r="C60" s="97"/>
      <c r="D60" s="97"/>
      <c r="E60" s="97"/>
      <c r="F60" s="97">
        <f t="shared" si="1"/>
        <v>56000</v>
      </c>
      <c r="G60" s="269"/>
      <c r="H60" s="345"/>
    </row>
    <row r="61">
      <c r="A61" s="347"/>
      <c r="B61" s="345"/>
      <c r="C61" s="97"/>
      <c r="D61" s="97"/>
      <c r="E61" s="97"/>
      <c r="F61" s="97">
        <f t="shared" si="1"/>
        <v>56000</v>
      </c>
      <c r="G61" s="269"/>
      <c r="H61" s="345"/>
    </row>
    <row r="62">
      <c r="A62" s="347"/>
      <c r="B62" s="345"/>
      <c r="C62" s="97"/>
      <c r="D62" s="97"/>
      <c r="E62" s="97"/>
      <c r="F62" s="97">
        <f t="shared" si="1"/>
        <v>56000</v>
      </c>
      <c r="G62" s="269"/>
      <c r="H62" s="345"/>
    </row>
    <row r="63">
      <c r="A63" s="347"/>
      <c r="B63" s="345"/>
      <c r="C63" s="97"/>
      <c r="D63" s="97"/>
      <c r="E63" s="97"/>
      <c r="F63" s="97">
        <f t="shared" si="1"/>
        <v>56000</v>
      </c>
      <c r="G63" s="269"/>
      <c r="H63" s="345"/>
    </row>
    <row r="64">
      <c r="A64" s="347"/>
      <c r="B64" s="345"/>
      <c r="C64" s="97"/>
      <c r="D64" s="97"/>
      <c r="E64" s="97"/>
      <c r="F64" s="97">
        <f t="shared" si="1"/>
        <v>56000</v>
      </c>
      <c r="G64" s="269"/>
      <c r="H64" s="345"/>
    </row>
    <row r="65">
      <c r="A65" s="347"/>
      <c r="B65" s="345"/>
      <c r="C65" s="97"/>
      <c r="D65" s="97"/>
      <c r="E65" s="97"/>
      <c r="F65" s="97">
        <f t="shared" si="1"/>
        <v>56000</v>
      </c>
      <c r="G65" s="269"/>
      <c r="H65" s="345"/>
    </row>
    <row r="66">
      <c r="A66" s="347"/>
      <c r="B66" s="345"/>
      <c r="C66" s="97"/>
      <c r="D66" s="97"/>
      <c r="E66" s="97"/>
      <c r="F66" s="97">
        <f t="shared" si="1"/>
        <v>56000</v>
      </c>
      <c r="G66" s="269"/>
      <c r="H66" s="345"/>
    </row>
    <row r="67">
      <c r="A67" s="347"/>
      <c r="B67" s="345"/>
      <c r="C67" s="97"/>
      <c r="D67" s="97"/>
      <c r="E67" s="97"/>
      <c r="F67" s="97">
        <f t="shared" si="1"/>
        <v>56000</v>
      </c>
      <c r="G67" s="269"/>
      <c r="H67" s="345"/>
    </row>
    <row r="68">
      <c r="A68" s="347"/>
      <c r="B68" s="345"/>
      <c r="C68" s="97"/>
      <c r="D68" s="97"/>
      <c r="E68" s="97"/>
      <c r="F68" s="97">
        <f t="shared" si="1"/>
        <v>56000</v>
      </c>
      <c r="G68" s="269"/>
      <c r="H68" s="345"/>
    </row>
    <row r="69">
      <c r="A69" s="347"/>
      <c r="B69" s="345"/>
      <c r="C69" s="97"/>
      <c r="D69" s="97"/>
      <c r="E69" s="97"/>
      <c r="F69" s="97">
        <f t="shared" si="1"/>
        <v>56000</v>
      </c>
      <c r="G69" s="269"/>
      <c r="H69" s="345"/>
    </row>
    <row r="70">
      <c r="A70" s="347"/>
      <c r="B70" s="345"/>
      <c r="C70" s="97"/>
      <c r="D70" s="97"/>
      <c r="E70" s="97"/>
      <c r="F70" s="97">
        <f t="shared" si="1"/>
        <v>56000</v>
      </c>
      <c r="G70" s="269"/>
      <c r="H70" s="345"/>
    </row>
    <row r="71">
      <c r="A71" s="347"/>
      <c r="B71" s="345"/>
      <c r="C71" s="97"/>
      <c r="D71" s="97"/>
      <c r="E71" s="97"/>
      <c r="F71" s="97">
        <f t="shared" si="1"/>
        <v>56000</v>
      </c>
      <c r="G71" s="269"/>
      <c r="H71" s="345"/>
    </row>
    <row r="72">
      <c r="A72" s="347"/>
      <c r="B72" s="345"/>
      <c r="C72" s="97"/>
      <c r="D72" s="97"/>
      <c r="E72" s="97"/>
      <c r="F72" s="97">
        <f t="shared" si="1"/>
        <v>56000</v>
      </c>
      <c r="G72" s="269"/>
      <c r="H72" s="345"/>
    </row>
    <row r="73">
      <c r="A73" s="347"/>
      <c r="B73" s="345"/>
      <c r="C73" s="97"/>
      <c r="D73" s="97"/>
      <c r="E73" s="97"/>
      <c r="F73" s="97">
        <f t="shared" si="1"/>
        <v>56000</v>
      </c>
      <c r="G73" s="269"/>
      <c r="H73" s="345"/>
    </row>
    <row r="74">
      <c r="A74" s="347"/>
      <c r="B74" s="345"/>
      <c r="C74" s="97"/>
      <c r="D74" s="97"/>
      <c r="E74" s="97"/>
      <c r="F74" s="97">
        <f t="shared" si="1"/>
        <v>56000</v>
      </c>
      <c r="G74" s="269"/>
      <c r="H74" s="345"/>
    </row>
    <row r="75">
      <c r="A75" s="347"/>
      <c r="B75" s="345"/>
      <c r="C75" s="97"/>
      <c r="D75" s="97"/>
      <c r="E75" s="97"/>
      <c r="F75" s="97">
        <f t="shared" si="1"/>
        <v>56000</v>
      </c>
      <c r="G75" s="269"/>
      <c r="H75" s="345"/>
    </row>
    <row r="76">
      <c r="A76" s="347"/>
      <c r="B76" s="345"/>
      <c r="C76" s="97"/>
      <c r="D76" s="97"/>
      <c r="E76" s="97"/>
      <c r="F76" s="97">
        <f t="shared" si="1"/>
        <v>56000</v>
      </c>
      <c r="G76" s="269"/>
      <c r="H76" s="345"/>
    </row>
    <row r="77">
      <c r="A77" s="347"/>
      <c r="B77" s="345"/>
      <c r="C77" s="97"/>
      <c r="D77" s="97"/>
      <c r="E77" s="97"/>
      <c r="F77" s="97">
        <f t="shared" si="1"/>
        <v>56000</v>
      </c>
      <c r="G77" s="269"/>
      <c r="H77" s="345"/>
    </row>
    <row r="78">
      <c r="A78" s="347"/>
      <c r="B78" s="345"/>
      <c r="C78" s="97"/>
      <c r="D78" s="97"/>
      <c r="E78" s="97"/>
      <c r="F78" s="97">
        <f t="shared" si="1"/>
        <v>56000</v>
      </c>
      <c r="G78" s="269"/>
      <c r="H78" s="345"/>
    </row>
    <row r="79">
      <c r="A79" s="347"/>
      <c r="B79" s="345"/>
      <c r="C79" s="97"/>
      <c r="D79" s="97"/>
      <c r="E79" s="97"/>
      <c r="F79" s="97">
        <f t="shared" si="1"/>
        <v>56000</v>
      </c>
      <c r="G79" s="269"/>
      <c r="H79" s="345"/>
    </row>
    <row r="80">
      <c r="A80" s="347"/>
      <c r="B80" s="345"/>
      <c r="C80" s="97"/>
      <c r="D80" s="97"/>
      <c r="E80" s="97"/>
      <c r="F80" s="97">
        <f t="shared" si="1"/>
        <v>56000</v>
      </c>
      <c r="G80" s="269"/>
      <c r="H80" s="345"/>
    </row>
    <row r="81">
      <c r="A81" s="347"/>
      <c r="B81" s="345"/>
      <c r="C81" s="97"/>
      <c r="D81" s="97"/>
      <c r="E81" s="97"/>
      <c r="F81" s="97">
        <f t="shared" si="1"/>
        <v>56000</v>
      </c>
      <c r="G81" s="269"/>
      <c r="H81" s="345"/>
    </row>
    <row r="82">
      <c r="A82" s="347"/>
      <c r="B82" s="345"/>
      <c r="C82" s="97"/>
      <c r="D82" s="97"/>
      <c r="E82" s="97"/>
      <c r="F82" s="97">
        <f t="shared" si="1"/>
        <v>56000</v>
      </c>
      <c r="G82" s="269"/>
      <c r="H82" s="345"/>
    </row>
    <row r="83">
      <c r="A83" s="347"/>
      <c r="B83" s="345"/>
      <c r="C83" s="97"/>
      <c r="D83" s="97"/>
      <c r="E83" s="97"/>
      <c r="F83" s="97">
        <f t="shared" si="1"/>
        <v>56000</v>
      </c>
      <c r="G83" s="269"/>
      <c r="H83" s="345"/>
    </row>
    <row r="84">
      <c r="A84" s="347"/>
      <c r="B84" s="345"/>
      <c r="C84" s="97"/>
      <c r="D84" s="97"/>
      <c r="E84" s="97"/>
      <c r="F84" s="97">
        <f t="shared" si="1"/>
        <v>56000</v>
      </c>
      <c r="G84" s="269"/>
      <c r="H84" s="345"/>
    </row>
    <row r="85">
      <c r="A85" s="347"/>
      <c r="B85" s="345"/>
      <c r="C85" s="97"/>
      <c r="D85" s="97"/>
      <c r="E85" s="97"/>
      <c r="F85" s="97">
        <f t="shared" si="1"/>
        <v>56000</v>
      </c>
      <c r="G85" s="269"/>
      <c r="H85" s="345"/>
    </row>
    <row r="86">
      <c r="A86" s="347"/>
      <c r="B86" s="345"/>
      <c r="C86" s="97"/>
      <c r="D86" s="97"/>
      <c r="E86" s="97"/>
      <c r="F86" s="97">
        <f t="shared" si="1"/>
        <v>56000</v>
      </c>
      <c r="G86" s="269"/>
      <c r="H86" s="345"/>
    </row>
    <row r="87">
      <c r="A87" s="347"/>
      <c r="B87" s="345"/>
      <c r="C87" s="97"/>
      <c r="D87" s="97"/>
      <c r="E87" s="97"/>
      <c r="F87" s="97">
        <f t="shared" si="1"/>
        <v>56000</v>
      </c>
      <c r="G87" s="269"/>
      <c r="H87" s="345"/>
    </row>
    <row r="88">
      <c r="A88" s="347"/>
      <c r="B88" s="345"/>
      <c r="C88" s="97"/>
      <c r="D88" s="97"/>
      <c r="E88" s="97"/>
      <c r="F88" s="97">
        <f t="shared" si="1"/>
        <v>56000</v>
      </c>
      <c r="G88" s="269"/>
      <c r="H88" s="345"/>
    </row>
    <row r="89">
      <c r="A89" s="347"/>
      <c r="B89" s="345"/>
      <c r="C89" s="97"/>
      <c r="D89" s="97"/>
      <c r="E89" s="97"/>
      <c r="F89" s="97">
        <f t="shared" si="1"/>
        <v>56000</v>
      </c>
      <c r="G89" s="269"/>
      <c r="H89" s="345"/>
    </row>
    <row r="90">
      <c r="A90" s="347"/>
      <c r="B90" s="345"/>
      <c r="C90" s="97"/>
      <c r="D90" s="97"/>
      <c r="E90" s="97"/>
      <c r="F90" s="97">
        <f t="shared" si="1"/>
        <v>56000</v>
      </c>
      <c r="G90" s="269"/>
      <c r="H90" s="345"/>
    </row>
    <row r="91">
      <c r="A91" s="347"/>
      <c r="B91" s="345"/>
      <c r="C91" s="97"/>
      <c r="D91" s="97"/>
      <c r="E91" s="97"/>
      <c r="F91" s="97">
        <f t="shared" si="1"/>
        <v>56000</v>
      </c>
      <c r="G91" s="269"/>
      <c r="H91" s="345"/>
    </row>
    <row r="92">
      <c r="A92" s="347"/>
      <c r="B92" s="345"/>
      <c r="C92" s="97"/>
      <c r="D92" s="97"/>
      <c r="E92" s="97"/>
      <c r="F92" s="97">
        <f t="shared" si="1"/>
        <v>56000</v>
      </c>
      <c r="G92" s="269"/>
      <c r="H92" s="345"/>
    </row>
    <row r="93">
      <c r="A93" s="347"/>
      <c r="B93" s="345"/>
      <c r="C93" s="97"/>
      <c r="D93" s="97"/>
      <c r="E93" s="97"/>
      <c r="F93" s="97">
        <f t="shared" si="1"/>
        <v>56000</v>
      </c>
      <c r="G93" s="269"/>
      <c r="H93" s="345"/>
    </row>
    <row r="94">
      <c r="A94" s="347"/>
      <c r="B94" s="345"/>
      <c r="C94" s="97"/>
      <c r="D94" s="97"/>
      <c r="E94" s="97"/>
      <c r="F94" s="97">
        <f t="shared" si="1"/>
        <v>56000</v>
      </c>
      <c r="G94" s="269"/>
      <c r="H94" s="345"/>
    </row>
    <row r="95">
      <c r="A95" s="347"/>
      <c r="B95" s="345"/>
      <c r="C95" s="97"/>
      <c r="D95" s="97"/>
      <c r="E95" s="97"/>
      <c r="F95" s="97">
        <f t="shared" si="1"/>
        <v>56000</v>
      </c>
      <c r="G95" s="269"/>
      <c r="H95" s="345"/>
    </row>
    <row r="96">
      <c r="A96" s="347"/>
      <c r="B96" s="345"/>
      <c r="C96" s="97"/>
      <c r="D96" s="97"/>
      <c r="E96" s="97"/>
      <c r="F96" s="97">
        <f t="shared" si="1"/>
        <v>56000</v>
      </c>
      <c r="G96" s="269"/>
      <c r="H96" s="345"/>
    </row>
    <row r="97">
      <c r="A97" s="347"/>
      <c r="B97" s="345"/>
      <c r="C97" s="97"/>
      <c r="D97" s="97"/>
      <c r="E97" s="97"/>
      <c r="F97" s="97">
        <f t="shared" si="1"/>
        <v>56000</v>
      </c>
      <c r="G97" s="269"/>
      <c r="H97" s="345"/>
    </row>
    <row r="98">
      <c r="A98" s="347"/>
      <c r="B98" s="345"/>
      <c r="C98" s="97"/>
      <c r="D98" s="97"/>
      <c r="E98" s="97"/>
      <c r="F98" s="97">
        <f t="shared" si="1"/>
        <v>56000</v>
      </c>
      <c r="G98" s="269"/>
      <c r="H98" s="345"/>
    </row>
    <row r="99">
      <c r="A99" s="347"/>
      <c r="B99" s="345"/>
      <c r="C99" s="97"/>
      <c r="D99" s="97"/>
      <c r="E99" s="97"/>
      <c r="F99" s="97">
        <f t="shared" si="1"/>
        <v>56000</v>
      </c>
      <c r="G99" s="269"/>
      <c r="H99" s="345"/>
    </row>
    <row r="100">
      <c r="A100" s="347"/>
      <c r="B100" s="345"/>
      <c r="C100" s="97"/>
      <c r="D100" s="97"/>
      <c r="E100" s="97"/>
      <c r="F100" s="97">
        <f t="shared" si="1"/>
        <v>56000</v>
      </c>
      <c r="G100" s="269"/>
      <c r="H100" s="345"/>
    </row>
    <row r="101">
      <c r="A101" s="347"/>
      <c r="B101" s="345"/>
      <c r="C101" s="97"/>
      <c r="D101" s="97"/>
      <c r="E101" s="97"/>
      <c r="F101" s="97">
        <f t="shared" si="1"/>
        <v>56000</v>
      </c>
      <c r="G101" s="269"/>
      <c r="H101" s="345"/>
    </row>
    <row r="102">
      <c r="A102" s="347"/>
      <c r="B102" s="345"/>
      <c r="C102" s="97"/>
      <c r="D102" s="97"/>
      <c r="E102" s="97"/>
      <c r="F102" s="97">
        <f t="shared" si="1"/>
        <v>56000</v>
      </c>
      <c r="G102" s="269"/>
      <c r="H102" s="345"/>
    </row>
    <row r="103">
      <c r="A103" s="347"/>
      <c r="B103" s="345"/>
      <c r="C103" s="97"/>
      <c r="D103" s="97"/>
      <c r="E103" s="97"/>
      <c r="F103" s="97">
        <f t="shared" si="1"/>
        <v>56000</v>
      </c>
      <c r="G103" s="269"/>
      <c r="H103" s="345"/>
    </row>
    <row r="104">
      <c r="A104" s="347"/>
      <c r="B104" s="345"/>
      <c r="C104" s="97"/>
      <c r="D104" s="97"/>
      <c r="E104" s="97"/>
      <c r="F104" s="97">
        <f t="shared" si="1"/>
        <v>56000</v>
      </c>
      <c r="G104" s="269"/>
      <c r="H104" s="345"/>
    </row>
    <row r="105">
      <c r="A105" s="347"/>
      <c r="B105" s="345"/>
      <c r="C105" s="97"/>
      <c r="D105" s="97"/>
      <c r="E105" s="97"/>
      <c r="F105" s="97">
        <f t="shared" si="1"/>
        <v>56000</v>
      </c>
      <c r="G105" s="269"/>
      <c r="H105" s="345"/>
    </row>
    <row r="106">
      <c r="A106" s="347"/>
      <c r="B106" s="345"/>
      <c r="C106" s="97"/>
      <c r="D106" s="97"/>
      <c r="E106" s="97"/>
      <c r="F106" s="97">
        <f t="shared" si="1"/>
        <v>56000</v>
      </c>
      <c r="G106" s="269"/>
      <c r="H106" s="345"/>
    </row>
    <row r="107">
      <c r="A107" s="347"/>
      <c r="B107" s="345"/>
      <c r="C107" s="97"/>
      <c r="D107" s="97"/>
      <c r="E107" s="97"/>
      <c r="F107" s="97">
        <f t="shared" si="1"/>
        <v>56000</v>
      </c>
      <c r="G107" s="269"/>
      <c r="H107" s="345"/>
    </row>
    <row r="108">
      <c r="A108" s="347"/>
      <c r="B108" s="345"/>
      <c r="C108" s="97"/>
      <c r="D108" s="97"/>
      <c r="E108" s="97"/>
      <c r="F108" s="97">
        <f t="shared" si="1"/>
        <v>56000</v>
      </c>
      <c r="G108" s="269"/>
      <c r="H108" s="345"/>
    </row>
    <row r="109">
      <c r="A109" s="347"/>
      <c r="B109" s="345"/>
      <c r="C109" s="97"/>
      <c r="D109" s="97"/>
      <c r="E109" s="97"/>
      <c r="F109" s="97">
        <f t="shared" si="1"/>
        <v>56000</v>
      </c>
      <c r="G109" s="269"/>
      <c r="H109" s="345"/>
    </row>
    <row r="110">
      <c r="A110" s="347"/>
      <c r="B110" s="345"/>
      <c r="C110" s="97"/>
      <c r="D110" s="97"/>
      <c r="E110" s="97"/>
      <c r="F110" s="97">
        <f t="shared" si="1"/>
        <v>56000</v>
      </c>
      <c r="G110" s="269"/>
      <c r="H110" s="345"/>
    </row>
    <row r="111">
      <c r="A111" s="347"/>
      <c r="B111" s="345"/>
      <c r="C111" s="97"/>
      <c r="D111" s="97"/>
      <c r="E111" s="97"/>
      <c r="F111" s="97">
        <f t="shared" si="1"/>
        <v>56000</v>
      </c>
      <c r="G111" s="269"/>
      <c r="H111" s="345"/>
    </row>
    <row r="112">
      <c r="A112" s="347"/>
      <c r="B112" s="345"/>
      <c r="C112" s="97"/>
      <c r="D112" s="97"/>
      <c r="E112" s="97"/>
      <c r="F112" s="97">
        <f t="shared" si="1"/>
        <v>56000</v>
      </c>
      <c r="G112" s="269"/>
      <c r="H112" s="345"/>
    </row>
    <row r="113">
      <c r="A113" s="347"/>
      <c r="B113" s="345"/>
      <c r="C113" s="97"/>
      <c r="D113" s="97"/>
      <c r="E113" s="97"/>
      <c r="F113" s="97">
        <f t="shared" si="1"/>
        <v>56000</v>
      </c>
      <c r="G113" s="269"/>
      <c r="H113" s="345"/>
    </row>
    <row r="114">
      <c r="A114" s="347"/>
      <c r="B114" s="345"/>
      <c r="C114" s="97"/>
      <c r="D114" s="97"/>
      <c r="E114" s="97"/>
      <c r="F114" s="97">
        <f t="shared" si="1"/>
        <v>56000</v>
      </c>
      <c r="G114" s="269"/>
      <c r="H114" s="345"/>
    </row>
    <row r="115">
      <c r="A115" s="347"/>
      <c r="B115" s="345"/>
      <c r="C115" s="97"/>
      <c r="D115" s="97"/>
      <c r="E115" s="97"/>
      <c r="F115" s="97">
        <f t="shared" si="1"/>
        <v>56000</v>
      </c>
      <c r="G115" s="269"/>
      <c r="H115" s="345"/>
    </row>
    <row r="116">
      <c r="A116" s="347"/>
      <c r="B116" s="345"/>
      <c r="C116" s="97"/>
      <c r="D116" s="97"/>
      <c r="E116" s="97"/>
      <c r="F116" s="97">
        <f t="shared" si="1"/>
        <v>56000</v>
      </c>
      <c r="G116" s="269"/>
      <c r="H116" s="345"/>
    </row>
    <row r="117">
      <c r="A117" s="347"/>
      <c r="B117" s="345"/>
      <c r="C117" s="97"/>
      <c r="D117" s="97"/>
      <c r="E117" s="97"/>
      <c r="F117" s="97">
        <f t="shared" si="1"/>
        <v>56000</v>
      </c>
      <c r="G117" s="269"/>
      <c r="H117" s="345"/>
    </row>
    <row r="118">
      <c r="A118" s="347"/>
      <c r="B118" s="345"/>
      <c r="C118" s="97"/>
      <c r="D118" s="97"/>
      <c r="E118" s="97"/>
      <c r="F118" s="97">
        <f t="shared" si="1"/>
        <v>56000</v>
      </c>
      <c r="G118" s="269"/>
      <c r="H118" s="345"/>
    </row>
    <row r="119">
      <c r="A119" s="347"/>
      <c r="B119" s="345"/>
      <c r="C119" s="97"/>
      <c r="D119" s="97"/>
      <c r="E119" s="97"/>
      <c r="F119" s="97">
        <f t="shared" si="1"/>
        <v>56000</v>
      </c>
      <c r="G119" s="269"/>
      <c r="H119" s="345"/>
    </row>
    <row r="120">
      <c r="A120" s="347"/>
      <c r="B120" s="345"/>
      <c r="C120" s="97"/>
      <c r="D120" s="97"/>
      <c r="E120" s="97"/>
      <c r="F120" s="97">
        <f t="shared" si="1"/>
        <v>56000</v>
      </c>
      <c r="G120" s="269"/>
      <c r="H120" s="345"/>
    </row>
    <row r="121">
      <c r="A121" s="347"/>
      <c r="B121" s="345"/>
      <c r="C121" s="97"/>
      <c r="D121" s="97"/>
      <c r="E121" s="97"/>
      <c r="F121" s="97">
        <f t="shared" si="1"/>
        <v>56000</v>
      </c>
      <c r="G121" s="269"/>
      <c r="H121" s="345"/>
    </row>
    <row r="122">
      <c r="A122" s="347"/>
      <c r="B122" s="345"/>
      <c r="C122" s="97"/>
      <c r="D122" s="97"/>
      <c r="E122" s="97"/>
      <c r="F122" s="97">
        <f t="shared" si="1"/>
        <v>56000</v>
      </c>
      <c r="G122" s="269"/>
      <c r="H122" s="345"/>
    </row>
    <row r="123">
      <c r="A123" s="347"/>
      <c r="B123" s="345"/>
      <c r="C123" s="97"/>
      <c r="D123" s="97"/>
      <c r="E123" s="97"/>
      <c r="F123" s="97">
        <f t="shared" si="1"/>
        <v>56000</v>
      </c>
      <c r="G123" s="269"/>
      <c r="H123" s="345"/>
    </row>
    <row r="124">
      <c r="A124" s="347"/>
      <c r="B124" s="345"/>
      <c r="C124" s="97"/>
      <c r="D124" s="97"/>
      <c r="E124" s="97"/>
      <c r="F124" s="97">
        <f t="shared" si="1"/>
        <v>56000</v>
      </c>
      <c r="G124" s="269"/>
      <c r="H124" s="345"/>
    </row>
    <row r="125">
      <c r="A125" s="347"/>
      <c r="B125" s="345"/>
      <c r="C125" s="97"/>
      <c r="D125" s="97"/>
      <c r="E125" s="97"/>
      <c r="F125" s="97">
        <f t="shared" si="1"/>
        <v>56000</v>
      </c>
      <c r="G125" s="269"/>
      <c r="H125" s="345"/>
    </row>
    <row r="126">
      <c r="A126" s="347"/>
      <c r="B126" s="345"/>
      <c r="C126" s="97"/>
      <c r="D126" s="97"/>
      <c r="E126" s="97"/>
      <c r="F126" s="97">
        <f t="shared" si="1"/>
        <v>56000</v>
      </c>
      <c r="G126" s="269"/>
      <c r="H126" s="345"/>
    </row>
    <row r="127">
      <c r="A127" s="347"/>
      <c r="B127" s="345"/>
      <c r="C127" s="97"/>
      <c r="D127" s="97"/>
      <c r="E127" s="97"/>
      <c r="F127" s="97">
        <f t="shared" si="1"/>
        <v>56000</v>
      </c>
      <c r="G127" s="269"/>
      <c r="H127" s="345"/>
    </row>
    <row r="128">
      <c r="A128" s="347"/>
      <c r="B128" s="345"/>
      <c r="C128" s="97"/>
      <c r="D128" s="97"/>
      <c r="E128" s="97"/>
      <c r="F128" s="97">
        <f t="shared" si="1"/>
        <v>56000</v>
      </c>
      <c r="G128" s="269"/>
      <c r="H128" s="345"/>
    </row>
    <row r="129">
      <c r="A129" s="347"/>
      <c r="B129" s="345"/>
      <c r="C129" s="97"/>
      <c r="D129" s="97"/>
      <c r="E129" s="97"/>
      <c r="F129" s="97">
        <f t="shared" si="1"/>
        <v>56000</v>
      </c>
      <c r="G129" s="269"/>
      <c r="H129" s="345"/>
    </row>
    <row r="130">
      <c r="A130" s="347"/>
      <c r="B130" s="345"/>
      <c r="C130" s="97"/>
      <c r="D130" s="97"/>
      <c r="E130" s="97"/>
      <c r="F130" s="97">
        <f t="shared" si="1"/>
        <v>56000</v>
      </c>
      <c r="G130" s="269"/>
      <c r="H130" s="345"/>
    </row>
    <row r="131">
      <c r="A131" s="347"/>
      <c r="B131" s="345"/>
      <c r="C131" s="97"/>
      <c r="D131" s="97"/>
      <c r="E131" s="97"/>
      <c r="F131" s="97">
        <f t="shared" si="1"/>
        <v>56000</v>
      </c>
      <c r="G131" s="269"/>
      <c r="H131" s="345"/>
    </row>
    <row r="132">
      <c r="A132" s="347"/>
      <c r="B132" s="345"/>
      <c r="C132" s="97"/>
      <c r="D132" s="97"/>
      <c r="E132" s="97"/>
      <c r="F132" s="97">
        <f t="shared" si="1"/>
        <v>56000</v>
      </c>
      <c r="G132" s="269"/>
      <c r="H132" s="345"/>
    </row>
    <row r="133">
      <c r="A133" s="347"/>
      <c r="B133" s="345"/>
      <c r="C133" s="97"/>
      <c r="D133" s="97"/>
      <c r="E133" s="97"/>
      <c r="F133" s="97">
        <f t="shared" si="1"/>
        <v>56000</v>
      </c>
      <c r="G133" s="269"/>
      <c r="H133" s="345"/>
    </row>
    <row r="134">
      <c r="A134" s="347"/>
      <c r="B134" s="345"/>
      <c r="C134" s="97"/>
      <c r="D134" s="97"/>
      <c r="E134" s="97"/>
      <c r="F134" s="97">
        <f t="shared" si="1"/>
        <v>56000</v>
      </c>
      <c r="G134" s="269"/>
      <c r="H134" s="345"/>
    </row>
    <row r="135">
      <c r="A135" s="347"/>
      <c r="B135" s="345"/>
      <c r="C135" s="97"/>
      <c r="D135" s="97"/>
      <c r="E135" s="97"/>
      <c r="F135" s="97">
        <f t="shared" si="1"/>
        <v>56000</v>
      </c>
      <c r="G135" s="269"/>
      <c r="H135" s="345"/>
    </row>
    <row r="136">
      <c r="A136" s="347"/>
      <c r="B136" s="345"/>
      <c r="C136" s="97"/>
      <c r="D136" s="97"/>
      <c r="E136" s="97"/>
      <c r="F136" s="97">
        <f t="shared" si="1"/>
        <v>56000</v>
      </c>
      <c r="G136" s="269"/>
      <c r="H136" s="345"/>
    </row>
    <row r="137">
      <c r="A137" s="347"/>
      <c r="B137" s="345"/>
      <c r="C137" s="97"/>
      <c r="D137" s="97"/>
      <c r="E137" s="97"/>
      <c r="F137" s="97">
        <f t="shared" si="1"/>
        <v>56000</v>
      </c>
      <c r="G137" s="269"/>
      <c r="H137" s="345"/>
    </row>
    <row r="138">
      <c r="A138" s="347"/>
      <c r="B138" s="345"/>
      <c r="C138" s="97"/>
      <c r="D138" s="97"/>
      <c r="E138" s="97"/>
      <c r="F138" s="97">
        <f t="shared" si="1"/>
        <v>56000</v>
      </c>
      <c r="G138" s="269"/>
      <c r="H138" s="345"/>
    </row>
    <row r="139">
      <c r="A139" s="347"/>
      <c r="B139" s="345"/>
      <c r="C139" s="97"/>
      <c r="D139" s="97"/>
      <c r="E139" s="97"/>
      <c r="F139" s="97">
        <f t="shared" si="1"/>
        <v>56000</v>
      </c>
      <c r="G139" s="269"/>
      <c r="H139" s="345"/>
    </row>
    <row r="140">
      <c r="A140" s="347"/>
      <c r="B140" s="345"/>
      <c r="C140" s="97"/>
      <c r="D140" s="97"/>
      <c r="E140" s="97"/>
      <c r="F140" s="97">
        <f t="shared" si="1"/>
        <v>56000</v>
      </c>
      <c r="G140" s="269"/>
      <c r="H140" s="345"/>
    </row>
    <row r="141">
      <c r="A141" s="347"/>
      <c r="B141" s="345"/>
      <c r="C141" s="97"/>
      <c r="D141" s="97"/>
      <c r="E141" s="97"/>
      <c r="F141" s="97">
        <f t="shared" si="1"/>
        <v>56000</v>
      </c>
      <c r="G141" s="269"/>
      <c r="H141" s="345"/>
    </row>
    <row r="142">
      <c r="A142" s="347"/>
      <c r="B142" s="345"/>
      <c r="C142" s="97"/>
      <c r="D142" s="97"/>
      <c r="E142" s="97"/>
      <c r="F142" s="97">
        <f t="shared" si="1"/>
        <v>56000</v>
      </c>
      <c r="G142" s="269"/>
      <c r="H142" s="345"/>
    </row>
    <row r="143">
      <c r="A143" s="347"/>
      <c r="B143" s="345"/>
      <c r="C143" s="97"/>
      <c r="D143" s="97"/>
      <c r="E143" s="97"/>
      <c r="F143" s="97">
        <f t="shared" si="1"/>
        <v>56000</v>
      </c>
      <c r="G143" s="269"/>
      <c r="H143" s="345"/>
    </row>
    <row r="144">
      <c r="A144" s="347"/>
      <c r="B144" s="345"/>
      <c r="C144" s="97"/>
      <c r="D144" s="97"/>
      <c r="E144" s="97"/>
      <c r="F144" s="97">
        <f t="shared" si="1"/>
        <v>56000</v>
      </c>
      <c r="G144" s="269"/>
      <c r="H144" s="345"/>
    </row>
    <row r="145">
      <c r="A145" s="347"/>
      <c r="B145" s="345"/>
      <c r="C145" s="97"/>
      <c r="D145" s="97"/>
      <c r="E145" s="97"/>
      <c r="F145" s="97">
        <f t="shared" si="1"/>
        <v>56000</v>
      </c>
      <c r="G145" s="269"/>
      <c r="H145" s="345"/>
    </row>
    <row r="146">
      <c r="A146" s="347"/>
      <c r="B146" s="345"/>
      <c r="C146" s="97"/>
      <c r="D146" s="97"/>
      <c r="E146" s="97"/>
      <c r="F146" s="97">
        <f t="shared" si="1"/>
        <v>56000</v>
      </c>
      <c r="G146" s="269"/>
      <c r="H146" s="345"/>
    </row>
    <row r="147">
      <c r="A147" s="347"/>
      <c r="B147" s="345"/>
      <c r="C147" s="97"/>
      <c r="D147" s="97"/>
      <c r="E147" s="97"/>
      <c r="F147" s="97">
        <f t="shared" si="1"/>
        <v>56000</v>
      </c>
      <c r="G147" s="269"/>
      <c r="H147" s="345"/>
    </row>
    <row r="148">
      <c r="A148" s="347"/>
      <c r="B148" s="345"/>
      <c r="C148" s="97"/>
      <c r="D148" s="97"/>
      <c r="E148" s="97"/>
      <c r="F148" s="97">
        <f t="shared" si="1"/>
        <v>56000</v>
      </c>
      <c r="G148" s="269"/>
      <c r="H148" s="345"/>
    </row>
    <row r="149">
      <c r="A149" s="347"/>
      <c r="B149" s="345"/>
      <c r="C149" s="97"/>
      <c r="D149" s="97"/>
      <c r="E149" s="97"/>
      <c r="F149" s="97">
        <f t="shared" si="1"/>
        <v>56000</v>
      </c>
      <c r="G149" s="269"/>
      <c r="H149" s="345"/>
    </row>
    <row r="150">
      <c r="A150" s="347"/>
      <c r="B150" s="345"/>
      <c r="C150" s="97"/>
      <c r="D150" s="97"/>
      <c r="E150" s="97"/>
      <c r="F150" s="97">
        <f t="shared" si="1"/>
        <v>56000</v>
      </c>
      <c r="G150" s="270"/>
      <c r="H150" s="345"/>
    </row>
    <row r="151">
      <c r="C151" s="30"/>
      <c r="D151" s="30"/>
      <c r="E151" s="30"/>
      <c r="F151" s="30"/>
      <c r="G151" s="30"/>
    </row>
    <row r="152">
      <c r="C152" s="348">
        <f t="shared" ref="C152:E152" si="2">SUM(C11:C150)</f>
        <v>6000</v>
      </c>
      <c r="D152" s="348">
        <f t="shared" si="2"/>
        <v>50000</v>
      </c>
      <c r="E152" s="348">
        <f t="shared" si="2"/>
        <v>0</v>
      </c>
      <c r="F152" s="30"/>
      <c r="G152" s="30"/>
    </row>
  </sheetData>
  <mergeCells count="5">
    <mergeCell ref="A5:H5"/>
    <mergeCell ref="A6:H6"/>
    <mergeCell ref="A7:H7"/>
    <mergeCell ref="A8:H8"/>
    <mergeCell ref="G11:G15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6.0"/>
    <col customWidth="1" min="3" max="3" width="27.63"/>
    <col customWidth="1" min="6" max="6" width="3.5"/>
    <col customWidth="1" min="7" max="7" width="21.88"/>
    <col customWidth="1" min="9" max="9" width="57.25"/>
    <col customWidth="1" min="10" max="10" width="14.75"/>
  </cols>
  <sheetData>
    <row r="5">
      <c r="A5" s="349" t="s">
        <v>1292</v>
      </c>
    </row>
    <row r="6">
      <c r="A6" s="350" t="s">
        <v>1293</v>
      </c>
    </row>
    <row r="7">
      <c r="A7" s="3"/>
      <c r="B7" s="3"/>
      <c r="C7" s="3"/>
    </row>
    <row r="8">
      <c r="A8" s="351" t="s">
        <v>1294</v>
      </c>
      <c r="B8" s="5"/>
      <c r="C8" s="6"/>
    </row>
    <row r="9">
      <c r="A9" s="351" t="s">
        <v>1295</v>
      </c>
      <c r="B9" s="5"/>
      <c r="C9" s="6"/>
    </row>
    <row r="10">
      <c r="A10" s="56" t="s">
        <v>7</v>
      </c>
      <c r="B10" s="57" t="s">
        <v>238</v>
      </c>
      <c r="C10" s="57" t="s">
        <v>239</v>
      </c>
      <c r="F10" s="352" t="s">
        <v>6</v>
      </c>
      <c r="G10" s="352" t="s">
        <v>1283</v>
      </c>
      <c r="H10" s="352" t="s">
        <v>617</v>
      </c>
      <c r="I10" s="105" t="s">
        <v>618</v>
      </c>
    </row>
    <row r="11">
      <c r="A11" s="353" t="s">
        <v>1296</v>
      </c>
      <c r="B11" s="354">
        <v>22283.0</v>
      </c>
      <c r="C11" s="355" t="s">
        <v>1297</v>
      </c>
      <c r="F11" s="105">
        <v>1.0</v>
      </c>
      <c r="G11" s="105" t="s">
        <v>1298</v>
      </c>
      <c r="H11" s="119">
        <v>1300000.0</v>
      </c>
      <c r="I11" s="105" t="s">
        <v>1299</v>
      </c>
    </row>
    <row r="12">
      <c r="A12" s="353" t="s">
        <v>1300</v>
      </c>
      <c r="B12" s="354">
        <v>22500.0</v>
      </c>
      <c r="C12" s="355" t="s">
        <v>1301</v>
      </c>
      <c r="F12" s="105">
        <v>2.0</v>
      </c>
      <c r="G12" s="105" t="s">
        <v>974</v>
      </c>
      <c r="H12" s="119">
        <v>659000.0</v>
      </c>
      <c r="I12" s="105" t="s">
        <v>1302</v>
      </c>
    </row>
    <row r="13">
      <c r="A13" s="353" t="s">
        <v>1303</v>
      </c>
      <c r="B13" s="354">
        <v>22500.0</v>
      </c>
      <c r="C13" s="355" t="s">
        <v>1304</v>
      </c>
      <c r="F13" s="105">
        <v>3.0</v>
      </c>
      <c r="G13" s="105" t="s">
        <v>1305</v>
      </c>
      <c r="H13" s="119">
        <v>402400.0</v>
      </c>
      <c r="I13" s="105" t="s">
        <v>974</v>
      </c>
      <c r="J13" s="105" t="s">
        <v>1306</v>
      </c>
      <c r="K13" s="106">
        <f>130000*4</f>
        <v>520000</v>
      </c>
    </row>
    <row r="14">
      <c r="A14" s="353" t="s">
        <v>1307</v>
      </c>
      <c r="B14" s="354">
        <v>23000.0</v>
      </c>
      <c r="C14" s="355" t="s">
        <v>1308</v>
      </c>
      <c r="F14" s="356" t="s">
        <v>1309</v>
      </c>
      <c r="G14" s="39"/>
      <c r="H14" s="106">
        <f>SUM(H11:H13)</f>
        <v>2361400</v>
      </c>
      <c r="I14" s="107"/>
      <c r="J14" s="105" t="s">
        <v>1310</v>
      </c>
      <c r="K14" s="106">
        <f>20000+90000</f>
        <v>110000</v>
      </c>
    </row>
    <row r="15">
      <c r="A15" s="353" t="s">
        <v>1311</v>
      </c>
      <c r="B15" s="354">
        <v>23000.0</v>
      </c>
      <c r="C15" s="355" t="s">
        <v>1312</v>
      </c>
      <c r="F15" s="107"/>
      <c r="G15" s="107"/>
      <c r="H15" s="106">
        <f>H14/2</f>
        <v>1180700</v>
      </c>
      <c r="I15" s="107"/>
      <c r="J15" s="105" t="s">
        <v>1313</v>
      </c>
      <c r="K15" s="106">
        <f>16000+13000</f>
        <v>29000</v>
      </c>
    </row>
    <row r="16">
      <c r="A16" s="353" t="s">
        <v>1314</v>
      </c>
      <c r="B16" s="354">
        <v>23000.0</v>
      </c>
      <c r="C16" s="355" t="s">
        <v>1315</v>
      </c>
      <c r="F16" s="105">
        <v>4.0</v>
      </c>
      <c r="G16" s="105" t="s">
        <v>1316</v>
      </c>
      <c r="H16" s="106">
        <f>50000+32*15000</f>
        <v>530000</v>
      </c>
      <c r="I16" s="107"/>
      <c r="J16" s="107"/>
      <c r="K16" s="106">
        <f>SUM(K13:K15)</f>
        <v>659000</v>
      </c>
    </row>
    <row r="17">
      <c r="A17" s="353" t="s">
        <v>1317</v>
      </c>
      <c r="B17" s="354">
        <v>23000.0</v>
      </c>
      <c r="C17" s="355" t="s">
        <v>1318</v>
      </c>
      <c r="F17" s="105">
        <v>5.0</v>
      </c>
      <c r="G17" s="105" t="s">
        <v>1319</v>
      </c>
      <c r="H17" s="119">
        <v>53000.0</v>
      </c>
      <c r="I17" s="107"/>
      <c r="K17" s="30"/>
    </row>
    <row r="18">
      <c r="A18" s="353" t="s">
        <v>1320</v>
      </c>
      <c r="B18" s="354">
        <v>23000.0</v>
      </c>
      <c r="C18" s="355" t="s">
        <v>1321</v>
      </c>
      <c r="F18" s="356" t="s">
        <v>1309</v>
      </c>
      <c r="G18" s="39"/>
      <c r="H18" s="106">
        <f>SUM(H15:H17)</f>
        <v>1763700</v>
      </c>
      <c r="I18" s="107"/>
      <c r="K18" s="30"/>
    </row>
    <row r="19">
      <c r="A19" s="353" t="s">
        <v>1322</v>
      </c>
      <c r="B19" s="354">
        <v>15000.0</v>
      </c>
      <c r="C19" s="355" t="s">
        <v>1323</v>
      </c>
      <c r="H19" s="30"/>
      <c r="K19" s="30"/>
    </row>
    <row r="20">
      <c r="A20" s="353" t="s">
        <v>1324</v>
      </c>
      <c r="B20" s="354">
        <f>14000+1600</f>
        <v>15600</v>
      </c>
      <c r="C20" s="355" t="s">
        <v>1325</v>
      </c>
      <c r="H20" s="30"/>
      <c r="K20" s="30"/>
    </row>
    <row r="21">
      <c r="A21" s="353" t="s">
        <v>1326</v>
      </c>
      <c r="B21" s="354">
        <v>15000.0</v>
      </c>
      <c r="C21" s="355" t="s">
        <v>1327</v>
      </c>
      <c r="H21" s="30"/>
      <c r="K21" s="30"/>
    </row>
    <row r="22">
      <c r="A22" s="353" t="s">
        <v>1328</v>
      </c>
      <c r="B22" s="354">
        <v>15000.0</v>
      </c>
      <c r="C22" s="355" t="s">
        <v>1329</v>
      </c>
      <c r="H22" s="30"/>
      <c r="K22" s="30"/>
    </row>
    <row r="23">
      <c r="A23" s="353" t="s">
        <v>1330</v>
      </c>
      <c r="B23" s="354">
        <v>30000.0</v>
      </c>
      <c r="C23" s="355" t="s">
        <v>1331</v>
      </c>
      <c r="H23" s="30"/>
    </row>
    <row r="24">
      <c r="A24" s="353" t="s">
        <v>1332</v>
      </c>
      <c r="B24" s="354">
        <v>15000.0</v>
      </c>
      <c r="C24" s="355" t="s">
        <v>1333</v>
      </c>
    </row>
    <row r="25">
      <c r="A25" s="353" t="s">
        <v>1334</v>
      </c>
      <c r="B25" s="354">
        <v>15000.0</v>
      </c>
      <c r="C25" s="355" t="s">
        <v>1335</v>
      </c>
    </row>
    <row r="26">
      <c r="A26" s="353" t="s">
        <v>1336</v>
      </c>
      <c r="B26" s="354">
        <v>15000.0</v>
      </c>
      <c r="C26" s="355" t="s">
        <v>1337</v>
      </c>
    </row>
    <row r="27">
      <c r="A27" s="353" t="s">
        <v>1338</v>
      </c>
      <c r="B27" s="354">
        <v>15000.0</v>
      </c>
      <c r="C27" s="355" t="s">
        <v>1339</v>
      </c>
    </row>
    <row r="28">
      <c r="A28" s="353" t="s">
        <v>1340</v>
      </c>
      <c r="B28" s="354">
        <v>15000.0</v>
      </c>
      <c r="C28" s="355" t="s">
        <v>1341</v>
      </c>
    </row>
    <row r="29">
      <c r="A29" s="353" t="s">
        <v>1342</v>
      </c>
      <c r="B29" s="354">
        <v>15000.0</v>
      </c>
      <c r="C29" s="355" t="s">
        <v>1343</v>
      </c>
      <c r="K29" s="41" t="s">
        <v>500</v>
      </c>
      <c r="L29" s="138">
        <f>38000+15000</f>
        <v>53000</v>
      </c>
      <c r="M29" s="41" t="s">
        <v>516</v>
      </c>
    </row>
    <row r="30">
      <c r="A30" s="357" t="s">
        <v>1344</v>
      </c>
      <c r="B30" s="358">
        <v>15000.0</v>
      </c>
      <c r="C30" s="355" t="s">
        <v>1345</v>
      </c>
    </row>
    <row r="31">
      <c r="A31" s="357" t="s">
        <v>640</v>
      </c>
      <c r="B31" s="358">
        <v>15000.0</v>
      </c>
      <c r="C31" s="355" t="s">
        <v>1346</v>
      </c>
    </row>
    <row r="32">
      <c r="A32" s="357" t="s">
        <v>73</v>
      </c>
      <c r="B32" s="358">
        <v>15000.0</v>
      </c>
      <c r="C32" s="355" t="s">
        <v>1347</v>
      </c>
    </row>
    <row r="33">
      <c r="A33" s="357" t="s">
        <v>935</v>
      </c>
      <c r="B33" s="358">
        <v>15000.0</v>
      </c>
      <c r="C33" s="355" t="s">
        <v>1348</v>
      </c>
    </row>
    <row r="34">
      <c r="A34" s="357" t="s">
        <v>1057</v>
      </c>
      <c r="B34" s="358">
        <v>45000.0</v>
      </c>
      <c r="C34" s="355" t="s">
        <v>1349</v>
      </c>
    </row>
    <row r="35">
      <c r="A35" s="353"/>
      <c r="B35" s="359"/>
      <c r="C35" s="355" t="s">
        <v>1350</v>
      </c>
    </row>
    <row r="36">
      <c r="A36" s="353"/>
      <c r="B36" s="359"/>
      <c r="C36" s="355" t="s">
        <v>1351</v>
      </c>
    </row>
    <row r="37">
      <c r="A37" s="353"/>
      <c r="B37" s="359"/>
      <c r="C37" s="355" t="s">
        <v>1352</v>
      </c>
    </row>
    <row r="38">
      <c r="A38" s="353"/>
      <c r="B38" s="359"/>
      <c r="C38" s="355" t="s">
        <v>1353</v>
      </c>
    </row>
    <row r="39">
      <c r="A39" s="353"/>
      <c r="B39" s="359"/>
      <c r="C39" s="355" t="s">
        <v>1354</v>
      </c>
    </row>
    <row r="40">
      <c r="A40" s="353"/>
      <c r="B40" s="359"/>
      <c r="C40" s="355" t="s">
        <v>1355</v>
      </c>
    </row>
    <row r="41">
      <c r="A41" s="353"/>
      <c r="B41" s="359"/>
      <c r="C41" s="355" t="s">
        <v>1356</v>
      </c>
    </row>
    <row r="42">
      <c r="A42" s="353"/>
      <c r="B42" s="359"/>
      <c r="C42" s="355" t="s">
        <v>1357</v>
      </c>
    </row>
    <row r="43">
      <c r="A43" s="353"/>
      <c r="B43" s="359"/>
      <c r="C43" s="355" t="s">
        <v>1358</v>
      </c>
    </row>
    <row r="44">
      <c r="A44" s="353"/>
      <c r="B44" s="359"/>
      <c r="C44" s="355" t="s">
        <v>1359</v>
      </c>
    </row>
    <row r="45">
      <c r="A45" s="353"/>
      <c r="B45" s="359"/>
      <c r="C45" s="355" t="s">
        <v>1360</v>
      </c>
    </row>
    <row r="46">
      <c r="A46" s="353"/>
      <c r="B46" s="359"/>
      <c r="C46" s="355" t="s">
        <v>1361</v>
      </c>
    </row>
    <row r="47">
      <c r="A47" s="353"/>
      <c r="B47" s="359"/>
      <c r="C47" s="355" t="s">
        <v>1362</v>
      </c>
    </row>
    <row r="48">
      <c r="A48" s="353"/>
      <c r="B48" s="359"/>
      <c r="C48" s="355" t="s">
        <v>1363</v>
      </c>
    </row>
    <row r="49">
      <c r="A49" s="353"/>
      <c r="B49" s="359"/>
      <c r="C49" s="355" t="s">
        <v>1364</v>
      </c>
    </row>
    <row r="50">
      <c r="A50" s="353"/>
      <c r="B50" s="359"/>
      <c r="C50" s="355" t="s">
        <v>1365</v>
      </c>
    </row>
    <row r="51">
      <c r="A51" s="353"/>
      <c r="B51" s="359"/>
      <c r="C51" s="355" t="s">
        <v>1366</v>
      </c>
    </row>
    <row r="52">
      <c r="A52" s="353"/>
      <c r="B52" s="359"/>
      <c r="C52" s="355" t="s">
        <v>1367</v>
      </c>
    </row>
    <row r="53">
      <c r="A53" s="353"/>
      <c r="B53" s="359"/>
      <c r="C53" s="355" t="s">
        <v>1368</v>
      </c>
    </row>
    <row r="54">
      <c r="A54" s="353"/>
      <c r="B54" s="359"/>
      <c r="C54" s="355" t="s">
        <v>1369</v>
      </c>
    </row>
    <row r="55">
      <c r="A55" s="353"/>
      <c r="B55" s="359"/>
      <c r="C55" s="355" t="s">
        <v>1370</v>
      </c>
    </row>
    <row r="56">
      <c r="A56" s="353"/>
      <c r="B56" s="359"/>
      <c r="C56" s="355" t="s">
        <v>1371</v>
      </c>
    </row>
    <row r="57">
      <c r="A57" s="353"/>
      <c r="B57" s="359"/>
      <c r="C57" s="355" t="s">
        <v>1372</v>
      </c>
    </row>
    <row r="58">
      <c r="A58" s="353"/>
      <c r="B58" s="359"/>
      <c r="C58" s="355" t="s">
        <v>1373</v>
      </c>
    </row>
    <row r="59">
      <c r="A59" s="353"/>
      <c r="B59" s="359"/>
      <c r="C59" s="355" t="s">
        <v>1374</v>
      </c>
    </row>
    <row r="60">
      <c r="A60" s="353"/>
      <c r="B60" s="359"/>
      <c r="C60" s="355" t="s">
        <v>1375</v>
      </c>
    </row>
    <row r="61">
      <c r="A61" s="353"/>
      <c r="B61" s="359"/>
      <c r="C61" s="355" t="s">
        <v>1376</v>
      </c>
    </row>
    <row r="62">
      <c r="A62" s="353"/>
      <c r="B62" s="359"/>
      <c r="C62" s="355" t="s">
        <v>1377</v>
      </c>
    </row>
    <row r="63">
      <c r="A63" s="353"/>
      <c r="B63" s="359"/>
      <c r="C63" s="355" t="s">
        <v>1378</v>
      </c>
    </row>
    <row r="64">
      <c r="A64" s="353"/>
      <c r="B64" s="359"/>
      <c r="C64" s="355" t="s">
        <v>1379</v>
      </c>
    </row>
    <row r="65">
      <c r="A65" s="353"/>
      <c r="B65" s="359"/>
      <c r="C65" s="355" t="s">
        <v>1380</v>
      </c>
    </row>
    <row r="66">
      <c r="A66" s="353"/>
      <c r="B66" s="57"/>
      <c r="C66" s="355" t="s">
        <v>1381</v>
      </c>
    </row>
    <row r="67">
      <c r="A67" s="353"/>
      <c r="B67" s="57"/>
      <c r="C67" s="355" t="s">
        <v>1382</v>
      </c>
    </row>
    <row r="68">
      <c r="A68" s="353"/>
      <c r="B68" s="57"/>
      <c r="C68" s="355" t="s">
        <v>1383</v>
      </c>
    </row>
    <row r="69">
      <c r="A69" s="353"/>
      <c r="B69" s="57"/>
      <c r="C69" s="355" t="s">
        <v>1384</v>
      </c>
    </row>
    <row r="70">
      <c r="A70" s="353"/>
      <c r="B70" s="57"/>
      <c r="C70" s="355" t="s">
        <v>1385</v>
      </c>
    </row>
    <row r="71">
      <c r="A71" s="360">
        <f>SUM(B11:B70)</f>
        <v>467883</v>
      </c>
      <c r="B71" s="5"/>
      <c r="C71" s="6"/>
    </row>
  </sheetData>
  <mergeCells count="7">
    <mergeCell ref="A5:C5"/>
    <mergeCell ref="A6:C6"/>
    <mergeCell ref="A8:C8"/>
    <mergeCell ref="A9:C9"/>
    <mergeCell ref="F14:G14"/>
    <mergeCell ref="F18:G18"/>
    <mergeCell ref="A71:C71"/>
  </mergeCells>
  <drawing r:id="rId1"/>
</worksheet>
</file>