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C:\Rosenberg\Work\USU\Research\ColoradoRiver\RCode\ColoradoRiverFutures\InteractiveWaterBudget\"/>
    </mc:Choice>
  </mc:AlternateContent>
  <xr:revisionPtr revIDLastSave="0" documentId="13_ncr:1_{872C55A4-D3EE-4DB4-9CBB-96509D96FDB9}" xr6:coauthVersionLast="36" xr6:coauthVersionMax="36" xr10:uidLastSave="{00000000-0000-0000-0000-000000000000}"/>
  <bookViews>
    <workbookView xWindow="0" yWindow="0" windowWidth="19200" windowHeight="6640" activeTab="2" xr2:uid="{5373AB19-D84C-490D-97DC-C516D358024A}"/>
  </bookViews>
  <sheets>
    <sheet name="ReadMe-Directions" sheetId="6" r:id="rId1"/>
    <sheet name="Master" sheetId="21" r:id="rId2"/>
    <sheet name="9.0-Trade" sheetId="22" r:id="rId3"/>
    <sheet name="9.0-LawOfRiver" sheetId="11" r:id="rId4"/>
    <sheet name="9.0-Plots" sheetId="20" r:id="rId5"/>
    <sheet name="HydrologicScenarios" sheetId="7" r:id="rId6"/>
    <sheet name="Powell-Elevation-Area" sheetId="2" r:id="rId7"/>
    <sheet name="Mead-Elevation-Area" sheetId="10" r:id="rId8"/>
    <sheet name="11.0-LawOfRiverShort" sheetId="16"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22" l="1"/>
  <c r="C62" i="22"/>
  <c r="C42" i="22"/>
  <c r="B42" i="22"/>
  <c r="D59" i="22"/>
  <c r="E59" i="22"/>
  <c r="F59" i="22"/>
  <c r="G59" i="22"/>
  <c r="D61" i="22"/>
  <c r="E61" i="22"/>
  <c r="F61" i="22"/>
  <c r="G61" i="22"/>
  <c r="C59" i="22"/>
  <c r="D59" i="11"/>
  <c r="D60" i="11"/>
  <c r="D61" i="11"/>
  <c r="E61" i="11"/>
  <c r="F61" i="11"/>
  <c r="G61" i="11"/>
  <c r="H61" i="11"/>
  <c r="I61" i="11"/>
  <c r="J61" i="11"/>
  <c r="K61" i="11"/>
  <c r="L61" i="11"/>
  <c r="D62" i="11"/>
  <c r="C59" i="11"/>
  <c r="C58" i="11"/>
  <c r="C61" i="22"/>
  <c r="E50" i="22"/>
  <c r="F50" i="22" s="1"/>
  <c r="G50" i="22" s="1"/>
  <c r="D50" i="22"/>
  <c r="C61" i="11" l="1"/>
  <c r="B41" i="11"/>
  <c r="B41" i="22"/>
  <c r="C72" i="22" l="1"/>
  <c r="U68" i="22"/>
  <c r="S68" i="22" s="1"/>
  <c r="U67" i="22"/>
  <c r="S67" i="22"/>
  <c r="U66" i="22"/>
  <c r="S66" i="22" s="1"/>
  <c r="U65" i="22"/>
  <c r="S65" i="22"/>
  <c r="U64" i="22"/>
  <c r="S64" i="22" s="1"/>
  <c r="U63" i="22"/>
  <c r="S63" i="22"/>
  <c r="U62" i="22"/>
  <c r="S62" i="22"/>
  <c r="U61" i="22"/>
  <c r="S61" i="22"/>
  <c r="U60" i="22"/>
  <c r="S60" i="22"/>
  <c r="D49" i="22"/>
  <c r="C49" i="22"/>
  <c r="M48" i="22"/>
  <c r="M47" i="22"/>
  <c r="M46" i="22"/>
  <c r="M45" i="22"/>
  <c r="M44" i="22"/>
  <c r="B40" i="22"/>
  <c r="B39" i="22"/>
  <c r="B38" i="22"/>
  <c r="C37" i="22"/>
  <c r="C31" i="22"/>
  <c r="C36" i="22" s="1"/>
  <c r="C30" i="22"/>
  <c r="C29" i="22"/>
  <c r="C26" i="22" s="1"/>
  <c r="B28" i="22"/>
  <c r="B27" i="22"/>
  <c r="B26" i="22"/>
  <c r="C25" i="22"/>
  <c r="D24" i="22"/>
  <c r="C72" i="21"/>
  <c r="U68" i="21"/>
  <c r="S68" i="21"/>
  <c r="U67" i="21"/>
  <c r="S67" i="21"/>
  <c r="U66" i="21"/>
  <c r="S66" i="21"/>
  <c r="U65" i="21"/>
  <c r="S65" i="21"/>
  <c r="U64" i="21"/>
  <c r="S64" i="21"/>
  <c r="U63" i="21"/>
  <c r="S63" i="21"/>
  <c r="U62" i="21"/>
  <c r="S62" i="21"/>
  <c r="U61" i="21"/>
  <c r="S61" i="21"/>
  <c r="U60" i="21"/>
  <c r="S60" i="21"/>
  <c r="C49" i="21"/>
  <c r="M48" i="21"/>
  <c r="M47" i="21"/>
  <c r="M46" i="21"/>
  <c r="M45" i="21"/>
  <c r="M44" i="21"/>
  <c r="B42" i="21"/>
  <c r="B41" i="21"/>
  <c r="B40" i="21"/>
  <c r="B39" i="21"/>
  <c r="B38" i="21"/>
  <c r="C31" i="21"/>
  <c r="C30" i="21"/>
  <c r="C29" i="21"/>
  <c r="C28" i="21"/>
  <c r="B28" i="21"/>
  <c r="C27" i="21"/>
  <c r="B27" i="21"/>
  <c r="B26" i="21"/>
  <c r="C25" i="21"/>
  <c r="C70" i="21" s="1"/>
  <c r="U60" i="11"/>
  <c r="S60" i="11" s="1"/>
  <c r="B40" i="11"/>
  <c r="B39" i="11"/>
  <c r="B38" i="11"/>
  <c r="B42" i="11"/>
  <c r="D24" i="11"/>
  <c r="E24" i="11" s="1"/>
  <c r="C41" i="22" l="1"/>
  <c r="C55" i="22" s="1"/>
  <c r="C67" i="22" s="1"/>
  <c r="C27" i="22"/>
  <c r="C35" i="22"/>
  <c r="D72" i="22"/>
  <c r="E24" i="22"/>
  <c r="C28" i="22"/>
  <c r="C34" i="22" s="1"/>
  <c r="C32" i="22"/>
  <c r="C60" i="22"/>
  <c r="C70" i="22" s="1"/>
  <c r="D49" i="21"/>
  <c r="D72" i="21"/>
  <c r="C34" i="21"/>
  <c r="C36" i="21"/>
  <c r="C37" i="21"/>
  <c r="C33" i="21"/>
  <c r="C35" i="21"/>
  <c r="C26" i="21"/>
  <c r="F24" i="11"/>
  <c r="C68" i="22" l="1"/>
  <c r="C40" i="22"/>
  <c r="C54" i="22" s="1"/>
  <c r="C66" i="22" s="1"/>
  <c r="C38" i="22"/>
  <c r="C52" i="22" s="1"/>
  <c r="C64" i="22" s="1"/>
  <c r="E72" i="22"/>
  <c r="F24" i="22"/>
  <c r="E49" i="22"/>
  <c r="C33" i="22"/>
  <c r="C39" i="22"/>
  <c r="C53" i="22" s="1"/>
  <c r="C65" i="22" s="1"/>
  <c r="C74" i="22" s="1"/>
  <c r="C41" i="21"/>
  <c r="C55" i="21" s="1"/>
  <c r="C67" i="21" s="1"/>
  <c r="C42" i="21"/>
  <c r="C56" i="21" s="1"/>
  <c r="C68" i="21" s="1"/>
  <c r="E72" i="21"/>
  <c r="E49" i="21"/>
  <c r="C32" i="21"/>
  <c r="G24" i="11"/>
  <c r="D26" i="22" l="1"/>
  <c r="C73" i="22"/>
  <c r="C69" i="22"/>
  <c r="D25" i="22" s="1"/>
  <c r="F49" i="22"/>
  <c r="G24" i="22"/>
  <c r="F72" i="22"/>
  <c r="F72" i="21"/>
  <c r="F49" i="21"/>
  <c r="C39" i="21"/>
  <c r="C53" i="21" s="1"/>
  <c r="C65" i="21" s="1"/>
  <c r="C74" i="21" s="1"/>
  <c r="C40" i="21"/>
  <c r="C54" i="21" s="1"/>
  <c r="C66" i="21" s="1"/>
  <c r="C38" i="21"/>
  <c r="C52" i="21" s="1"/>
  <c r="C64" i="21" s="1"/>
  <c r="H24" i="11"/>
  <c r="D60" i="22" l="1"/>
  <c r="D62" i="22"/>
  <c r="D28" i="22"/>
  <c r="G49" i="22"/>
  <c r="H24" i="22"/>
  <c r="G72" i="22"/>
  <c r="D27" i="22"/>
  <c r="D31" i="22"/>
  <c r="C73" i="21"/>
  <c r="C69" i="21"/>
  <c r="D25" i="21" s="1"/>
  <c r="D26" i="21"/>
  <c r="G72" i="21"/>
  <c r="G49" i="21"/>
  <c r="I24" i="11"/>
  <c r="D29" i="22" l="1"/>
  <c r="D35" i="22" s="1"/>
  <c r="D70" i="22"/>
  <c r="H72" i="22"/>
  <c r="H49" i="22"/>
  <c r="H61" i="22"/>
  <c r="I24" i="22"/>
  <c r="D37" i="22"/>
  <c r="D42" i="22" s="1"/>
  <c r="D33" i="22"/>
  <c r="D32" i="22"/>
  <c r="D34" i="22"/>
  <c r="D30" i="22"/>
  <c r="H72" i="21"/>
  <c r="H49" i="21"/>
  <c r="D28" i="21"/>
  <c r="D27" i="21"/>
  <c r="D31" i="21"/>
  <c r="D70" i="21"/>
  <c r="J24" i="11"/>
  <c r="I49" i="22" l="1"/>
  <c r="I72" i="22"/>
  <c r="J24" i="22"/>
  <c r="I61" i="22"/>
  <c r="D36" i="22"/>
  <c r="D56" i="22"/>
  <c r="D68" i="22" s="1"/>
  <c r="D41" i="22"/>
  <c r="D39" i="22" s="1"/>
  <c r="D53" i="22" s="1"/>
  <c r="D65" i="22" s="1"/>
  <c r="D74" i="22" s="1"/>
  <c r="D29" i="21"/>
  <c r="D30" i="21"/>
  <c r="I49" i="21"/>
  <c r="I72" i="21"/>
  <c r="D37" i="21"/>
  <c r="D32" i="21"/>
  <c r="D33" i="21"/>
  <c r="D35" i="21"/>
  <c r="D34" i="21"/>
  <c r="D36" i="21"/>
  <c r="K24" i="11"/>
  <c r="D55" i="22" l="1"/>
  <c r="D67" i="22" s="1"/>
  <c r="D40" i="22"/>
  <c r="D54" i="22" s="1"/>
  <c r="D66" i="22" s="1"/>
  <c r="J61" i="22"/>
  <c r="J49" i="22"/>
  <c r="J72" i="22"/>
  <c r="K24" i="22"/>
  <c r="D38" i="22"/>
  <c r="D52" i="22" s="1"/>
  <c r="D64" i="22" s="1"/>
  <c r="J72" i="21"/>
  <c r="J49" i="21"/>
  <c r="D42" i="21"/>
  <c r="D56" i="21" s="1"/>
  <c r="D68" i="21" s="1"/>
  <c r="D41" i="21"/>
  <c r="D38" i="21" s="1"/>
  <c r="D52" i="21" s="1"/>
  <c r="D64" i="21" s="1"/>
  <c r="L24" i="11"/>
  <c r="D73" i="22" l="1"/>
  <c r="D69" i="22"/>
  <c r="E25" i="22" s="1"/>
  <c r="E26" i="22"/>
  <c r="K49" i="22"/>
  <c r="K72" i="22"/>
  <c r="L24" i="22"/>
  <c r="K61" i="22"/>
  <c r="D73" i="21"/>
  <c r="E26" i="21"/>
  <c r="D40" i="21"/>
  <c r="D54" i="21" s="1"/>
  <c r="D66" i="21" s="1"/>
  <c r="D55" i="21"/>
  <c r="D67" i="21" s="1"/>
  <c r="D39" i="21"/>
  <c r="D53" i="21" s="1"/>
  <c r="D65" i="21" s="1"/>
  <c r="D74" i="21" s="1"/>
  <c r="K72" i="21"/>
  <c r="K49" i="21"/>
  <c r="E60" i="22" l="1"/>
  <c r="E62" i="22"/>
  <c r="L72" i="22"/>
  <c r="L61" i="22"/>
  <c r="L49" i="22"/>
  <c r="E28" i="22"/>
  <c r="E27" i="22"/>
  <c r="E31" i="22"/>
  <c r="E28" i="21"/>
  <c r="D69" i="21"/>
  <c r="E25" i="21" s="1"/>
  <c r="L72" i="21"/>
  <c r="L49" i="21"/>
  <c r="E70" i="22" l="1"/>
  <c r="E29" i="22"/>
  <c r="E35" i="22" s="1"/>
  <c r="E33" i="22"/>
  <c r="E32" i="22"/>
  <c r="E34" i="22"/>
  <c r="E37" i="22"/>
  <c r="E42" i="22" s="1"/>
  <c r="E30" i="22"/>
  <c r="E36" i="22" s="1"/>
  <c r="E27" i="21"/>
  <c r="E31" i="21"/>
  <c r="E30" i="21"/>
  <c r="E41" i="22" l="1"/>
  <c r="E56" i="22"/>
  <c r="E68" i="22" s="1"/>
  <c r="E34" i="21"/>
  <c r="E35" i="21"/>
  <c r="E37" i="21"/>
  <c r="E36" i="21"/>
  <c r="E33" i="21"/>
  <c r="E32" i="21"/>
  <c r="E70" i="21"/>
  <c r="E29" i="21"/>
  <c r="E40" i="22" l="1"/>
  <c r="E54" i="22" s="1"/>
  <c r="E66" i="22" s="1"/>
  <c r="E55" i="22"/>
  <c r="E67" i="22" s="1"/>
  <c r="E38" i="22"/>
  <c r="E52" i="22" s="1"/>
  <c r="E64" i="22" s="1"/>
  <c r="E39" i="22"/>
  <c r="E53" i="22" s="1"/>
  <c r="E65" i="22" s="1"/>
  <c r="E74" i="22" s="1"/>
  <c r="E41" i="21"/>
  <c r="E39" i="21"/>
  <c r="E53" i="21" s="1"/>
  <c r="E65" i="21" s="1"/>
  <c r="E74" i="21" s="1"/>
  <c r="E42" i="21"/>
  <c r="E56" i="21" s="1"/>
  <c r="E68" i="21" s="1"/>
  <c r="E40" i="21"/>
  <c r="E54" i="21" s="1"/>
  <c r="E66" i="21" s="1"/>
  <c r="E38" i="21"/>
  <c r="E52" i="21" s="1"/>
  <c r="E64" i="21" s="1"/>
  <c r="E55" i="21"/>
  <c r="E67" i="21" s="1"/>
  <c r="E69" i="22" l="1"/>
  <c r="F25" i="22" s="1"/>
  <c r="E73" i="22"/>
  <c r="F26" i="22"/>
  <c r="F28" i="22" s="1"/>
  <c r="E69" i="21"/>
  <c r="F25" i="21" s="1"/>
  <c r="E73" i="21"/>
  <c r="F26" i="21"/>
  <c r="F60" i="22" l="1"/>
  <c r="F62" i="22"/>
  <c r="F27" i="22"/>
  <c r="F29" i="22" s="1"/>
  <c r="F31" i="22"/>
  <c r="F30" i="22"/>
  <c r="F28" i="21"/>
  <c r="F27" i="21"/>
  <c r="F70" i="21"/>
  <c r="F31" i="21"/>
  <c r="F33" i="22" l="1"/>
  <c r="F70" i="22"/>
  <c r="F37" i="22"/>
  <c r="F34" i="22"/>
  <c r="F32" i="22"/>
  <c r="F36" i="22"/>
  <c r="F35" i="22"/>
  <c r="F29" i="21"/>
  <c r="F34" i="21"/>
  <c r="F33" i="21"/>
  <c r="F35" i="21"/>
  <c r="F36" i="21"/>
  <c r="F32" i="21"/>
  <c r="F37" i="21"/>
  <c r="F30" i="21"/>
  <c r="F42" i="22" l="1"/>
  <c r="F56" i="22" s="1"/>
  <c r="F68" i="22" s="1"/>
  <c r="F41" i="22"/>
  <c r="F55" i="22" s="1"/>
  <c r="F67" i="22" s="1"/>
  <c r="F42" i="21"/>
  <c r="F39" i="21" s="1"/>
  <c r="F53" i="21" s="1"/>
  <c r="F65" i="21" s="1"/>
  <c r="F74" i="21" s="1"/>
  <c r="F41" i="21"/>
  <c r="F38" i="21" s="1"/>
  <c r="F52" i="21" s="1"/>
  <c r="F64" i="21" s="1"/>
  <c r="F40" i="21"/>
  <c r="F54" i="21" s="1"/>
  <c r="F66" i="21" s="1"/>
  <c r="F56" i="21"/>
  <c r="F68" i="21" s="1"/>
  <c r="F55" i="21"/>
  <c r="F67" i="21" s="1"/>
  <c r="F39" i="22" l="1"/>
  <c r="F53" i="22" s="1"/>
  <c r="F65" i="22" s="1"/>
  <c r="F74" i="22" s="1"/>
  <c r="F40" i="22"/>
  <c r="F54" i="22" s="1"/>
  <c r="F66" i="22" s="1"/>
  <c r="F38" i="22"/>
  <c r="F52" i="22" s="1"/>
  <c r="F64" i="22" s="1"/>
  <c r="F73" i="22" s="1"/>
  <c r="F73" i="21"/>
  <c r="F69" i="21"/>
  <c r="G25" i="21" s="1"/>
  <c r="G26" i="21"/>
  <c r="G26" i="22" l="1"/>
  <c r="G28" i="22" s="1"/>
  <c r="G30" i="22" s="1"/>
  <c r="F69" i="22"/>
  <c r="G25" i="22" s="1"/>
  <c r="G28" i="21"/>
  <c r="G27" i="21"/>
  <c r="G31" i="21"/>
  <c r="G62" i="22" l="1"/>
  <c r="G60" i="22"/>
  <c r="G31" i="22"/>
  <c r="G37" i="22" s="1"/>
  <c r="G42" i="22" s="1"/>
  <c r="G27" i="22"/>
  <c r="G29" i="22" s="1"/>
  <c r="G32" i="21"/>
  <c r="G37" i="21"/>
  <c r="G33" i="21"/>
  <c r="G34" i="21"/>
  <c r="G29" i="21"/>
  <c r="G70" i="21"/>
  <c r="G30" i="21"/>
  <c r="G35" i="22" l="1"/>
  <c r="G70" i="22"/>
  <c r="G33" i="22"/>
  <c r="G34" i="22"/>
  <c r="G32" i="22"/>
  <c r="G36" i="22"/>
  <c r="G56" i="22"/>
  <c r="G68" i="22" s="1"/>
  <c r="G41" i="22"/>
  <c r="G41" i="21"/>
  <c r="G55" i="21" s="1"/>
  <c r="G67" i="21" s="1"/>
  <c r="G42" i="21"/>
  <c r="G40" i="21" s="1"/>
  <c r="G54" i="21" s="1"/>
  <c r="G66" i="21" s="1"/>
  <c r="G38" i="21"/>
  <c r="G52" i="21" s="1"/>
  <c r="G64" i="21" s="1"/>
  <c r="G56" i="21"/>
  <c r="G68" i="21" s="1"/>
  <c r="G36" i="21"/>
  <c r="G35" i="21"/>
  <c r="G39" i="22" l="1"/>
  <c r="G53" i="22" s="1"/>
  <c r="G65" i="22" s="1"/>
  <c r="G74" i="22" s="1"/>
  <c r="G55" i="22"/>
  <c r="G67" i="22" s="1"/>
  <c r="G40" i="22"/>
  <c r="G54" i="22" s="1"/>
  <c r="G66" i="22" s="1"/>
  <c r="G38" i="22"/>
  <c r="G52" i="22" s="1"/>
  <c r="G64" i="22" s="1"/>
  <c r="G73" i="22" s="1"/>
  <c r="G73" i="21"/>
  <c r="H26" i="21"/>
  <c r="G39" i="21"/>
  <c r="G53" i="21" s="1"/>
  <c r="G65" i="21" s="1"/>
  <c r="G74" i="21" s="1"/>
  <c r="H26" i="22" l="1"/>
  <c r="H28" i="22" s="1"/>
  <c r="G69" i="22"/>
  <c r="H25" i="22" s="1"/>
  <c r="H62" i="22" s="1"/>
  <c r="G69" i="21"/>
  <c r="H25" i="21" s="1"/>
  <c r="H28" i="21"/>
  <c r="H58" i="22" l="1"/>
  <c r="H59" i="22"/>
  <c r="H60" i="22"/>
  <c r="H31" i="22"/>
  <c r="H37" i="22" s="1"/>
  <c r="H42" i="22" s="1"/>
  <c r="H27" i="22"/>
  <c r="H29" i="22" s="1"/>
  <c r="H30" i="22"/>
  <c r="H30" i="21"/>
  <c r="H27" i="21"/>
  <c r="H31" i="21"/>
  <c r="H35" i="22" l="1"/>
  <c r="H32" i="22"/>
  <c r="H34" i="22"/>
  <c r="H70" i="22"/>
  <c r="H33" i="22"/>
  <c r="H36" i="22"/>
  <c r="H41" i="22"/>
  <c r="H56" i="22"/>
  <c r="H68" i="22" s="1"/>
  <c r="H70" i="21"/>
  <c r="H34" i="21"/>
  <c r="H37" i="21"/>
  <c r="H33" i="21"/>
  <c r="H36" i="21"/>
  <c r="H32" i="21"/>
  <c r="H29" i="21"/>
  <c r="H35" i="21" s="1"/>
  <c r="H38" i="22" l="1"/>
  <c r="H52" i="22" s="1"/>
  <c r="H64" i="22" s="1"/>
  <c r="H73" i="22" s="1"/>
  <c r="H39" i="22"/>
  <c r="H53" i="22" s="1"/>
  <c r="H65" i="22" s="1"/>
  <c r="H74" i="22" s="1"/>
  <c r="H40" i="22"/>
  <c r="H54" i="22" s="1"/>
  <c r="H66" i="22" s="1"/>
  <c r="H55" i="22"/>
  <c r="H67" i="22" s="1"/>
  <c r="H42" i="21"/>
  <c r="H56" i="21" s="1"/>
  <c r="H68" i="21" s="1"/>
  <c r="H41" i="21"/>
  <c r="H55" i="21" s="1"/>
  <c r="H67" i="21" s="1"/>
  <c r="I26" i="22" l="1"/>
  <c r="I28" i="22" s="1"/>
  <c r="H69" i="22"/>
  <c r="I25" i="22" s="1"/>
  <c r="H38" i="21"/>
  <c r="H52" i="21" s="1"/>
  <c r="H64" i="21" s="1"/>
  <c r="H39" i="21"/>
  <c r="H53" i="21" s="1"/>
  <c r="H65" i="21" s="1"/>
  <c r="H74" i="21" s="1"/>
  <c r="H40" i="21"/>
  <c r="H54" i="21" s="1"/>
  <c r="H66" i="21" s="1"/>
  <c r="I27" i="22" l="1"/>
  <c r="I60" i="22"/>
  <c r="I59" i="22"/>
  <c r="I62" i="22"/>
  <c r="I31" i="22"/>
  <c r="I58" i="22"/>
  <c r="I30" i="22"/>
  <c r="H73" i="21"/>
  <c r="H69" i="21"/>
  <c r="I25" i="21" s="1"/>
  <c r="I26" i="21"/>
  <c r="I29" i="22" l="1"/>
  <c r="I35" i="22" s="1"/>
  <c r="I70" i="22"/>
  <c r="I37" i="22"/>
  <c r="I42" i="22" s="1"/>
  <c r="I36" i="22"/>
  <c r="I33" i="22"/>
  <c r="I32" i="22"/>
  <c r="I34" i="22"/>
  <c r="I28" i="21"/>
  <c r="I27" i="21"/>
  <c r="I31" i="21"/>
  <c r="I41" i="22" l="1"/>
  <c r="I56" i="22"/>
  <c r="I68" i="22" s="1"/>
  <c r="I33" i="21"/>
  <c r="I32" i="21"/>
  <c r="I34" i="21"/>
  <c r="I37" i="21"/>
  <c r="I36" i="21"/>
  <c r="I29" i="21"/>
  <c r="I35" i="21" s="1"/>
  <c r="I70" i="21"/>
  <c r="I30" i="21"/>
  <c r="I39" i="22" l="1"/>
  <c r="I53" i="22" s="1"/>
  <c r="I65" i="22" s="1"/>
  <c r="I74" i="22" s="1"/>
  <c r="I38" i="22"/>
  <c r="I52" i="22" s="1"/>
  <c r="I64" i="22" s="1"/>
  <c r="I73" i="22" s="1"/>
  <c r="I40" i="22"/>
  <c r="I54" i="22" s="1"/>
  <c r="I66" i="22" s="1"/>
  <c r="I55" i="22"/>
  <c r="I67" i="22" s="1"/>
  <c r="I41" i="21"/>
  <c r="I38" i="21" s="1"/>
  <c r="I52" i="21" s="1"/>
  <c r="I64" i="21" s="1"/>
  <c r="I42" i="21"/>
  <c r="I39" i="21"/>
  <c r="I53" i="21" s="1"/>
  <c r="I65" i="21" s="1"/>
  <c r="I74" i="21" s="1"/>
  <c r="I55" i="21"/>
  <c r="I67" i="21" s="1"/>
  <c r="I56" i="21"/>
  <c r="I68" i="21" s="1"/>
  <c r="I69" i="22" l="1"/>
  <c r="J25" i="22" s="1"/>
  <c r="J62" i="22" s="1"/>
  <c r="J26" i="22"/>
  <c r="J28" i="22" s="1"/>
  <c r="I73" i="21"/>
  <c r="J26" i="21"/>
  <c r="I40" i="21"/>
  <c r="I54" i="21" s="1"/>
  <c r="I66" i="21" s="1"/>
  <c r="I69" i="21" s="1"/>
  <c r="J25" i="21" s="1"/>
  <c r="J59" i="22" l="1"/>
  <c r="J31" i="22"/>
  <c r="J37" i="22" s="1"/>
  <c r="J42" i="22" s="1"/>
  <c r="J27" i="22"/>
  <c r="J29" i="22" s="1"/>
  <c r="J58" i="22"/>
  <c r="J60" i="22"/>
  <c r="J30" i="22"/>
  <c r="J27" i="21"/>
  <c r="J31" i="21"/>
  <c r="J70" i="21"/>
  <c r="J28" i="21"/>
  <c r="J70" i="22" l="1"/>
  <c r="J34" i="22"/>
  <c r="J32" i="22"/>
  <c r="J33" i="22"/>
  <c r="J36" i="22"/>
  <c r="J41" i="22"/>
  <c r="J55" i="22" s="1"/>
  <c r="J67" i="22" s="1"/>
  <c r="J56" i="22"/>
  <c r="J68" i="22" s="1"/>
  <c r="J35" i="22"/>
  <c r="J30" i="21"/>
  <c r="J37" i="21"/>
  <c r="J34" i="21"/>
  <c r="J36" i="21"/>
  <c r="J32" i="21"/>
  <c r="J33" i="21"/>
  <c r="J35" i="21"/>
  <c r="J29" i="21"/>
  <c r="J40" i="22" l="1"/>
  <c r="J54" i="22" s="1"/>
  <c r="J66" i="22" s="1"/>
  <c r="J38" i="22"/>
  <c r="J52" i="22" s="1"/>
  <c r="J64" i="22" s="1"/>
  <c r="J73" i="22" s="1"/>
  <c r="J39" i="22"/>
  <c r="J53" i="22" s="1"/>
  <c r="J65" i="22" s="1"/>
  <c r="J74" i="22" s="1"/>
  <c r="J42" i="21"/>
  <c r="J41" i="21"/>
  <c r="J39" i="21" s="1"/>
  <c r="J53" i="21" s="1"/>
  <c r="J65" i="21" s="1"/>
  <c r="J74" i="21" s="1"/>
  <c r="J56" i="21"/>
  <c r="J68" i="21" s="1"/>
  <c r="K26" i="22" l="1"/>
  <c r="K28" i="22" s="1"/>
  <c r="J69" i="22"/>
  <c r="K25" i="22" s="1"/>
  <c r="K31" i="22" s="1"/>
  <c r="J40" i="21"/>
  <c r="J54" i="21" s="1"/>
  <c r="J66" i="21" s="1"/>
  <c r="J55" i="21"/>
  <c r="J67" i="21" s="1"/>
  <c r="J38" i="21"/>
  <c r="J52" i="21" s="1"/>
  <c r="J64" i="21" s="1"/>
  <c r="K60" i="22" l="1"/>
  <c r="K27" i="22"/>
  <c r="K29" i="22" s="1"/>
  <c r="K35" i="22" s="1"/>
  <c r="K62" i="22"/>
  <c r="K59" i="22"/>
  <c r="K58" i="22"/>
  <c r="K32" i="22"/>
  <c r="K37" i="22"/>
  <c r="K42" i="22" s="1"/>
  <c r="K34" i="22"/>
  <c r="K30" i="22"/>
  <c r="K36" i="22" s="1"/>
  <c r="J73" i="21"/>
  <c r="J69" i="21"/>
  <c r="K25" i="21" s="1"/>
  <c r="K26" i="21"/>
  <c r="K33" i="22" l="1"/>
  <c r="K70" i="22"/>
  <c r="K41" i="22"/>
  <c r="K55" i="22" s="1"/>
  <c r="K67" i="22" s="1"/>
  <c r="K28" i="21"/>
  <c r="K27" i="21"/>
  <c r="K70" i="21"/>
  <c r="K31" i="21"/>
  <c r="K39" i="22" l="1"/>
  <c r="K53" i="22" s="1"/>
  <c r="K65" i="22" s="1"/>
  <c r="K74" i="22" s="1"/>
  <c r="K40" i="22"/>
  <c r="K54" i="22" s="1"/>
  <c r="K66" i="22" s="1"/>
  <c r="K56" i="22"/>
  <c r="K68" i="22" s="1"/>
  <c r="K38" i="22"/>
  <c r="K52" i="22" s="1"/>
  <c r="K64" i="22" s="1"/>
  <c r="K34" i="21"/>
  <c r="K33" i="21"/>
  <c r="K37" i="21"/>
  <c r="K32" i="21"/>
  <c r="K29" i="21"/>
  <c r="K35" i="21" s="1"/>
  <c r="K30" i="21"/>
  <c r="K69" i="22" l="1"/>
  <c r="L25" i="22" s="1"/>
  <c r="K73" i="22"/>
  <c r="L26" i="22"/>
  <c r="K42" i="21"/>
  <c r="K41" i="21"/>
  <c r="K39" i="21" s="1"/>
  <c r="K53" i="21" s="1"/>
  <c r="K65" i="21" s="1"/>
  <c r="K74" i="21" s="1"/>
  <c r="K40" i="21"/>
  <c r="K54" i="21" s="1"/>
  <c r="K66" i="21" s="1"/>
  <c r="K38" i="21"/>
  <c r="K52" i="21" s="1"/>
  <c r="K64" i="21" s="1"/>
  <c r="K55" i="21"/>
  <c r="K67" i="21" s="1"/>
  <c r="K56" i="21"/>
  <c r="K68" i="21" s="1"/>
  <c r="K36" i="21"/>
  <c r="L28" i="22" l="1"/>
  <c r="L27" i="22"/>
  <c r="L59" i="22"/>
  <c r="L58" i="22"/>
  <c r="L60" i="22"/>
  <c r="L31" i="22"/>
  <c r="L62" i="22"/>
  <c r="K69" i="21"/>
  <c r="L25" i="21" s="1"/>
  <c r="K73" i="21"/>
  <c r="L26" i="21"/>
  <c r="L70" i="22" l="1"/>
  <c r="L34" i="22"/>
  <c r="L33" i="22"/>
  <c r="L32" i="22"/>
  <c r="L37" i="22"/>
  <c r="L42" i="22" s="1"/>
  <c r="L29" i="22"/>
  <c r="L35" i="22" s="1"/>
  <c r="L30" i="22"/>
  <c r="L36" i="22" s="1"/>
  <c r="L28" i="21"/>
  <c r="L27" i="21"/>
  <c r="L31" i="21"/>
  <c r="L56" i="22" l="1"/>
  <c r="L68" i="22" s="1"/>
  <c r="L41" i="22"/>
  <c r="L55" i="22" s="1"/>
  <c r="L67" i="22" s="1"/>
  <c r="L70" i="21"/>
  <c r="L29" i="21"/>
  <c r="L34" i="21"/>
  <c r="L32" i="21"/>
  <c r="L36" i="21"/>
  <c r="L37" i="21"/>
  <c r="L35" i="21"/>
  <c r="L33" i="21"/>
  <c r="L30" i="21"/>
  <c r="L38" i="22" l="1"/>
  <c r="L52" i="22" s="1"/>
  <c r="L64" i="22" s="1"/>
  <c r="L73" i="22" s="1"/>
  <c r="L39" i="22"/>
  <c r="L53" i="22" s="1"/>
  <c r="L65" i="22" s="1"/>
  <c r="L74" i="22" s="1"/>
  <c r="L40" i="22"/>
  <c r="L54" i="22" s="1"/>
  <c r="L66" i="22" s="1"/>
  <c r="L42" i="21"/>
  <c r="L41" i="21"/>
  <c r="L40" i="21" s="1"/>
  <c r="L54" i="21" s="1"/>
  <c r="L66" i="21" s="1"/>
  <c r="L39" i="21"/>
  <c r="L53" i="21" s="1"/>
  <c r="L65" i="21" s="1"/>
  <c r="L74" i="21" s="1"/>
  <c r="L38" i="21"/>
  <c r="L52" i="21" s="1"/>
  <c r="L64" i="21" s="1"/>
  <c r="L56" i="21"/>
  <c r="L68" i="21" s="1"/>
  <c r="L69" i="22" l="1"/>
  <c r="L73" i="21"/>
  <c r="L55" i="21"/>
  <c r="L67" i="21" s="1"/>
  <c r="L69" i="21" s="1"/>
  <c r="B28" i="11" l="1"/>
  <c r="B27" i="11"/>
  <c r="B26" i="11"/>
  <c r="C30" i="11"/>
  <c r="C29" i="11"/>
  <c r="E49" i="11"/>
  <c r="F49" i="11"/>
  <c r="G49" i="11"/>
  <c r="H49" i="11"/>
  <c r="I49" i="11"/>
  <c r="J49" i="11"/>
  <c r="K49" i="11"/>
  <c r="L49" i="11"/>
  <c r="C49" i="11"/>
  <c r="D49" i="11"/>
  <c r="M45" i="11"/>
  <c r="M46" i="11"/>
  <c r="M47" i="11"/>
  <c r="M48" i="11"/>
  <c r="M44" i="11"/>
  <c r="C25" i="11" l="1"/>
  <c r="E6" i="7"/>
  <c r="F6" i="7"/>
  <c r="G6" i="7" s="1"/>
  <c r="H6" i="7" s="1"/>
  <c r="I6" i="7" s="1"/>
  <c r="J6" i="7" s="1"/>
  <c r="K6" i="7" s="1"/>
  <c r="L6" i="7" s="1"/>
  <c r="M6" i="7" s="1"/>
  <c r="N6" i="7" s="1"/>
  <c r="O6" i="7" s="1"/>
  <c r="P6" i="7" s="1"/>
  <c r="Q6" i="7" s="1"/>
  <c r="R6" i="7" s="1"/>
  <c r="S6" i="7" s="1"/>
  <c r="T6" i="7" s="1"/>
  <c r="U6" i="7" s="1"/>
  <c r="V6" i="7" s="1"/>
  <c r="W6" i="7" s="1"/>
  <c r="E7" i="7"/>
  <c r="F7" i="7" s="1"/>
  <c r="G7" i="7" s="1"/>
  <c r="H7" i="7" s="1"/>
  <c r="I7" i="7" s="1"/>
  <c r="J7" i="7" s="1"/>
  <c r="K7" i="7" s="1"/>
  <c r="L7" i="7" s="1"/>
  <c r="M7" i="7" s="1"/>
  <c r="N7" i="7" s="1"/>
  <c r="O7" i="7" s="1"/>
  <c r="P7" i="7" s="1"/>
  <c r="Q7" i="7" s="1"/>
  <c r="R7" i="7" s="1"/>
  <c r="S7" i="7" s="1"/>
  <c r="T7" i="7" s="1"/>
  <c r="U7" i="7" s="1"/>
  <c r="V7" i="7" s="1"/>
  <c r="W7" i="7" s="1"/>
  <c r="E8" i="7"/>
  <c r="F8" i="7"/>
  <c r="G8" i="7" s="1"/>
  <c r="H8" i="7" s="1"/>
  <c r="I8" i="7" s="1"/>
  <c r="J8" i="7" s="1"/>
  <c r="K8" i="7" s="1"/>
  <c r="L8" i="7" s="1"/>
  <c r="M8" i="7" s="1"/>
  <c r="N8" i="7" s="1"/>
  <c r="O8" i="7" s="1"/>
  <c r="P8" i="7" s="1"/>
  <c r="Q8" i="7" s="1"/>
  <c r="R8" i="7" s="1"/>
  <c r="S8" i="7" s="1"/>
  <c r="T8" i="7" s="1"/>
  <c r="U8" i="7" s="1"/>
  <c r="V8" i="7" s="1"/>
  <c r="W8" i="7" s="1"/>
  <c r="E9" i="7"/>
  <c r="F9" i="7" s="1"/>
  <c r="G9" i="7" s="1"/>
  <c r="H9" i="7" s="1"/>
  <c r="I9" i="7" s="1"/>
  <c r="J9" i="7" s="1"/>
  <c r="K9" i="7" s="1"/>
  <c r="L9" i="7" s="1"/>
  <c r="M9" i="7" s="1"/>
  <c r="N9" i="7" s="1"/>
  <c r="O9" i="7" s="1"/>
  <c r="P9" i="7" s="1"/>
  <c r="Q9" i="7" s="1"/>
  <c r="R9" i="7" s="1"/>
  <c r="S9" i="7" s="1"/>
  <c r="T9" i="7" s="1"/>
  <c r="U9" i="7" s="1"/>
  <c r="V9" i="7" s="1"/>
  <c r="W9" i="7" s="1"/>
  <c r="D7" i="7"/>
  <c r="D8" i="7"/>
  <c r="D9" i="7"/>
  <c r="C62" i="11" l="1"/>
  <c r="C60" i="11"/>
  <c r="C26" i="11"/>
  <c r="C28" i="11"/>
  <c r="C27" i="11"/>
  <c r="C31" i="11"/>
  <c r="U62" i="11"/>
  <c r="U63" i="11"/>
  <c r="U64" i="11"/>
  <c r="U65" i="11"/>
  <c r="U66" i="11"/>
  <c r="U67" i="11"/>
  <c r="U68" i="11"/>
  <c r="U61" i="11"/>
  <c r="C70" i="11" l="1"/>
  <c r="C32" i="11"/>
  <c r="C35" i="11"/>
  <c r="C33" i="11"/>
  <c r="C37" i="11"/>
  <c r="C34" i="11"/>
  <c r="S61" i="11"/>
  <c r="C42" i="11" l="1"/>
  <c r="C41" i="11"/>
  <c r="C55" i="11" s="1"/>
  <c r="C67" i="11" s="1"/>
  <c r="C38" i="11" l="1"/>
  <c r="C52" i="11" s="1"/>
  <c r="C64" i="11" s="1"/>
  <c r="C39" i="11"/>
  <c r="C53" i="11" s="1"/>
  <c r="C65" i="11" s="1"/>
  <c r="C40" i="11"/>
  <c r="C54" i="11" s="1"/>
  <c r="C66" i="11" s="1"/>
  <c r="C46" i="16" l="1"/>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38" i="16" l="1"/>
  <c r="D37" i="16" s="1"/>
  <c r="C37" i="16"/>
  <c r="C32" i="16"/>
  <c r="C33" i="16"/>
  <c r="C55" i="16" s="1"/>
  <c r="D26" i="16" s="1"/>
  <c r="C34" i="16"/>
  <c r="C47" i="16" s="1"/>
  <c r="C56" i="16" s="1"/>
  <c r="D51" i="16"/>
  <c r="E22" i="16"/>
  <c r="D50" i="16" l="1"/>
  <c r="D60" i="16" s="1"/>
  <c r="E59" i="16"/>
  <c r="E23" i="16"/>
  <c r="E35" i="16"/>
  <c r="E36" i="16" s="1"/>
  <c r="F22" i="16"/>
  <c r="E51" i="16"/>
  <c r="C49" i="16" l="1"/>
  <c r="C54" i="16" s="1"/>
  <c r="E38" i="16"/>
  <c r="E37" i="16" s="1"/>
  <c r="F35" i="16"/>
  <c r="G22" i="16"/>
  <c r="F51" i="16"/>
  <c r="F23" i="16"/>
  <c r="F36" i="16"/>
  <c r="F38" i="16" s="1"/>
  <c r="F59" i="16"/>
  <c r="D25" i="16" l="1"/>
  <c r="C57" i="16"/>
  <c r="D24" i="16" s="1"/>
  <c r="D29" i="16" s="1"/>
  <c r="F37" i="16"/>
  <c r="G51" i="16"/>
  <c r="H22" i="16"/>
  <c r="G35" i="16"/>
  <c r="G23" i="16"/>
  <c r="G36" i="16"/>
  <c r="G59" i="16"/>
  <c r="D30" i="16" l="1"/>
  <c r="D31" i="16" s="1"/>
  <c r="D27" i="16"/>
  <c r="G38" i="16"/>
  <c r="G37" i="16" s="1"/>
  <c r="I22" i="16"/>
  <c r="H59" i="16"/>
  <c r="H23" i="16"/>
  <c r="H35" i="16"/>
  <c r="H36" i="16" s="1"/>
  <c r="H51" i="16"/>
  <c r="L72" i="11"/>
  <c r="K72" i="11"/>
  <c r="J72" i="11"/>
  <c r="I72" i="11"/>
  <c r="H72" i="11"/>
  <c r="G72" i="11"/>
  <c r="F72" i="11"/>
  <c r="E72" i="11"/>
  <c r="D72" i="11"/>
  <c r="C72" i="11"/>
  <c r="S68" i="11"/>
  <c r="S67" i="11"/>
  <c r="S66" i="11"/>
  <c r="S65" i="11"/>
  <c r="S64" i="11"/>
  <c r="S63" i="11"/>
  <c r="S62" i="1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73" i="11" l="1"/>
  <c r="C74" i="11"/>
  <c r="C36" i="11"/>
  <c r="C56" i="11"/>
  <c r="C68" i="11" s="1"/>
  <c r="D32" i="16"/>
  <c r="D45" i="16" s="1"/>
  <c r="D49" i="16" s="1"/>
  <c r="D54" i="16" s="1"/>
  <c r="D34" i="16"/>
  <c r="D47" i="16" s="1"/>
  <c r="D56" i="16" s="1"/>
  <c r="D33" i="16"/>
  <c r="D46" i="16" s="1"/>
  <c r="D55" i="16" s="1"/>
  <c r="E26" i="16" s="1"/>
  <c r="E50" i="16" s="1"/>
  <c r="E60" i="16" s="1"/>
  <c r="H38" i="16"/>
  <c r="H37" i="16" s="1"/>
  <c r="I23" i="16"/>
  <c r="I59" i="16"/>
  <c r="I51" i="16"/>
  <c r="I35" i="16"/>
  <c r="I36" i="16" s="1"/>
  <c r="J22" i="16"/>
  <c r="C69" i="11" l="1"/>
  <c r="I38" i="16"/>
  <c r="I37" i="16" s="1"/>
  <c r="D57" i="16"/>
  <c r="E24" i="16" s="1"/>
  <c r="E25" i="16"/>
  <c r="J36" i="16"/>
  <c r="J38" i="16" s="1"/>
  <c r="J23" i="16"/>
  <c r="J35" i="16"/>
  <c r="J59" i="16"/>
  <c r="K22" i="16"/>
  <c r="J51" i="16"/>
  <c r="J37" i="16" l="1"/>
  <c r="K36" i="16"/>
  <c r="K59" i="16"/>
  <c r="K23" i="16"/>
  <c r="K35" i="16"/>
  <c r="L22" i="16"/>
  <c r="K51" i="16"/>
  <c r="E27" i="16"/>
  <c r="E29" i="16"/>
  <c r="E31" i="16" s="1"/>
  <c r="E30" i="16"/>
  <c r="L36" i="16" l="1"/>
  <c r="L59" i="16"/>
  <c r="L23" i="16"/>
  <c r="L35" i="16"/>
  <c r="L38" i="16"/>
  <c r="L51" i="16"/>
  <c r="L37" i="16"/>
  <c r="K38" i="16"/>
  <c r="K37" i="16" s="1"/>
  <c r="E33" i="16"/>
  <c r="E46" i="16" s="1"/>
  <c r="E55" i="16" s="1"/>
  <c r="F26" i="16" s="1"/>
  <c r="E32" i="16"/>
  <c r="E45" i="16" s="1"/>
  <c r="E34" i="16"/>
  <c r="E47" i="16" s="1"/>
  <c r="E56" i="16" s="1"/>
  <c r="E49" i="16" l="1"/>
  <c r="E54" i="16" s="1"/>
  <c r="F50" i="16"/>
  <c r="F60" i="16" s="1"/>
  <c r="D26" i="11" l="1"/>
  <c r="D28" i="11" s="1"/>
  <c r="D30" i="11" s="1"/>
  <c r="E57" i="16"/>
  <c r="F24" i="16" s="1"/>
  <c r="F25" i="16"/>
  <c r="D25" i="11" l="1"/>
  <c r="D58" i="11" s="1"/>
  <c r="F27" i="16"/>
  <c r="F29" i="16"/>
  <c r="F31" i="16" s="1"/>
  <c r="F30" i="16"/>
  <c r="D27" i="11" l="1"/>
  <c r="D29" i="11" s="1"/>
  <c r="D31" i="11"/>
  <c r="D37" i="11" s="1"/>
  <c r="F32" i="16"/>
  <c r="F45" i="16" s="1"/>
  <c r="F34" i="16"/>
  <c r="F47" i="16" s="1"/>
  <c r="F56" i="16" s="1"/>
  <c r="F33" i="16"/>
  <c r="F46" i="16" s="1"/>
  <c r="F55" i="16" s="1"/>
  <c r="G26" i="16" s="1"/>
  <c r="D41" i="11" l="1"/>
  <c r="D55" i="11" s="1"/>
  <c r="D67" i="11" s="1"/>
  <c r="D42" i="11"/>
  <c r="D56" i="11" s="1"/>
  <c r="D68" i="11" s="1"/>
  <c r="D70" i="11"/>
  <c r="D35" i="11"/>
  <c r="D32" i="11"/>
  <c r="D36" i="11"/>
  <c r="D33" i="11"/>
  <c r="D34" i="11"/>
  <c r="G50" i="16"/>
  <c r="F49" i="16"/>
  <c r="F54" i="16" s="1"/>
  <c r="D38" i="11" l="1"/>
  <c r="D52" i="11" s="1"/>
  <c r="D64" i="11" s="1"/>
  <c r="D73" i="11" s="1"/>
  <c r="D40" i="11"/>
  <c r="D54" i="11" s="1"/>
  <c r="D66" i="11" s="1"/>
  <c r="D39" i="11"/>
  <c r="D53" i="11" s="1"/>
  <c r="D65" i="11" s="1"/>
  <c r="D74" i="11" s="1"/>
  <c r="F57" i="16"/>
  <c r="G24" i="16" s="1"/>
  <c r="G25" i="16"/>
  <c r="H50" i="16"/>
  <c r="G60" i="16"/>
  <c r="D69" i="11" l="1"/>
  <c r="E26" i="11"/>
  <c r="E28" i="11" s="1"/>
  <c r="E30" i="11" s="1"/>
  <c r="E25" i="11"/>
  <c r="I50" i="16"/>
  <c r="H60" i="16"/>
  <c r="G27" i="16"/>
  <c r="G29" i="16"/>
  <c r="G31" i="16" s="1"/>
  <c r="G30" i="16"/>
  <c r="E60" i="11" l="1"/>
  <c r="E62" i="11"/>
  <c r="E59" i="11"/>
  <c r="E58" i="11"/>
  <c r="E31" i="11"/>
  <c r="E27" i="11"/>
  <c r="E29" i="11" s="1"/>
  <c r="G33" i="16"/>
  <c r="G46" i="16" s="1"/>
  <c r="G55" i="16" s="1"/>
  <c r="H26" i="16" s="1"/>
  <c r="G32" i="16"/>
  <c r="G45" i="16" s="1"/>
  <c r="G34" i="16"/>
  <c r="G47" i="16" s="1"/>
  <c r="G56" i="16" s="1"/>
  <c r="J50" i="16"/>
  <c r="I60" i="16"/>
  <c r="E70" i="11" l="1"/>
  <c r="E37" i="11"/>
  <c r="K50" i="16"/>
  <c r="J60" i="16"/>
  <c r="G49" i="16"/>
  <c r="G54" i="16" s="1"/>
  <c r="E41" i="11" l="1"/>
  <c r="E42" i="11"/>
  <c r="E56" i="11" s="1"/>
  <c r="E68" i="11" s="1"/>
  <c r="E34" i="11"/>
  <c r="E33" i="11"/>
  <c r="E35" i="11"/>
  <c r="E36" i="11"/>
  <c r="E32" i="11"/>
  <c r="G57" i="16"/>
  <c r="H24" i="16" s="1"/>
  <c r="H25" i="16"/>
  <c r="L50" i="16"/>
  <c r="L60" i="16" s="1"/>
  <c r="K60" i="16"/>
  <c r="E38" i="11" l="1"/>
  <c r="E52" i="11" s="1"/>
  <c r="E64" i="11" s="1"/>
  <c r="E73" i="11" s="1"/>
  <c r="E39" i="11"/>
  <c r="E53" i="11" s="1"/>
  <c r="E65" i="11" s="1"/>
  <c r="E74" i="11" s="1"/>
  <c r="E40" i="11"/>
  <c r="E54" i="11" s="1"/>
  <c r="E66" i="11" s="1"/>
  <c r="E55" i="11"/>
  <c r="E67" i="11" s="1"/>
  <c r="H27" i="16"/>
  <c r="H29" i="16"/>
  <c r="H30" i="16"/>
  <c r="F26" i="11" l="1"/>
  <c r="F28" i="11" s="1"/>
  <c r="F30" i="11" s="1"/>
  <c r="E69" i="11"/>
  <c r="F25" i="11" s="1"/>
  <c r="H31" i="16"/>
  <c r="H34" i="16" s="1"/>
  <c r="H47" i="16" s="1"/>
  <c r="H56" i="16" s="1"/>
  <c r="F59" i="11" l="1"/>
  <c r="F60" i="11"/>
  <c r="F62" i="11"/>
  <c r="F31" i="11"/>
  <c r="F37" i="11" s="1"/>
  <c r="F58" i="11"/>
  <c r="F27" i="11"/>
  <c r="F29" i="11" s="1"/>
  <c r="H33" i="16"/>
  <c r="H46" i="16" s="1"/>
  <c r="H55" i="16" s="1"/>
  <c r="I26" i="16" s="1"/>
  <c r="H32" i="16"/>
  <c r="H45" i="16" s="1"/>
  <c r="H54" i="16" s="1"/>
  <c r="F41" i="11" l="1"/>
  <c r="F42" i="11"/>
  <c r="F56" i="11" s="1"/>
  <c r="F68" i="11" s="1"/>
  <c r="F70" i="11"/>
  <c r="F33" i="11"/>
  <c r="F35" i="11"/>
  <c r="F34" i="11"/>
  <c r="F32" i="11"/>
  <c r="F36" i="11"/>
  <c r="H57" i="16"/>
  <c r="I24" i="16" s="1"/>
  <c r="I27" i="16" s="1"/>
  <c r="I25" i="16"/>
  <c r="F38" i="11" l="1"/>
  <c r="F52" i="11" s="1"/>
  <c r="F64" i="11" s="1"/>
  <c r="F73" i="11" s="1"/>
  <c r="F40" i="11"/>
  <c r="F54" i="11" s="1"/>
  <c r="F66" i="11" s="1"/>
  <c r="F39" i="11"/>
  <c r="F53" i="11" s="1"/>
  <c r="F65" i="11" s="1"/>
  <c r="F74" i="11" s="1"/>
  <c r="F55" i="11"/>
  <c r="F67" i="11" s="1"/>
  <c r="I30" i="16"/>
  <c r="I29" i="16"/>
  <c r="I31" i="16" s="1"/>
  <c r="I34" i="16" s="1"/>
  <c r="I47" i="16" s="1"/>
  <c r="I56" i="16" s="1"/>
  <c r="G26" i="11" l="1"/>
  <c r="G28" i="11" s="1"/>
  <c r="G30" i="11" s="1"/>
  <c r="F69" i="11"/>
  <c r="G25" i="11" s="1"/>
  <c r="I32" i="16"/>
  <c r="I45" i="16" s="1"/>
  <c r="I54" i="16" s="1"/>
  <c r="J25" i="16" s="1"/>
  <c r="I33" i="16"/>
  <c r="I46" i="16" s="1"/>
  <c r="I55" i="16" s="1"/>
  <c r="J26" i="16" s="1"/>
  <c r="G59" i="11" l="1"/>
  <c r="G60" i="11"/>
  <c r="G62" i="11"/>
  <c r="G58" i="11"/>
  <c r="G31" i="11"/>
  <c r="G27" i="11"/>
  <c r="G29" i="11" s="1"/>
  <c r="I57" i="16"/>
  <c r="J24" i="16" s="1"/>
  <c r="J27" i="16" s="1"/>
  <c r="G70" i="11" l="1"/>
  <c r="G37" i="11"/>
  <c r="J30" i="16"/>
  <c r="J29" i="16"/>
  <c r="J31" i="16" s="1"/>
  <c r="J34" i="16" s="1"/>
  <c r="J47" i="16" s="1"/>
  <c r="J56" i="16" s="1"/>
  <c r="G41" i="11" l="1"/>
  <c r="G42" i="11"/>
  <c r="G56" i="11" s="1"/>
  <c r="G68" i="11" s="1"/>
  <c r="G32" i="11"/>
  <c r="G33" i="11"/>
  <c r="G34" i="11"/>
  <c r="G35" i="11"/>
  <c r="G36" i="11"/>
  <c r="J32" i="16"/>
  <c r="J45" i="16" s="1"/>
  <c r="J54" i="16" s="1"/>
  <c r="K25" i="16" s="1"/>
  <c r="J33" i="16"/>
  <c r="J46" i="16" s="1"/>
  <c r="J55" i="16" s="1"/>
  <c r="K26" i="16" s="1"/>
  <c r="G38" i="11" l="1"/>
  <c r="G52" i="11" s="1"/>
  <c r="G64" i="11" s="1"/>
  <c r="G73" i="11" s="1"/>
  <c r="G39" i="11"/>
  <c r="G53" i="11" s="1"/>
  <c r="G65" i="11" s="1"/>
  <c r="G74" i="11" s="1"/>
  <c r="G40" i="11"/>
  <c r="G54" i="11" s="1"/>
  <c r="G66" i="11" s="1"/>
  <c r="G55" i="11"/>
  <c r="G67" i="11" s="1"/>
  <c r="J57" i="16"/>
  <c r="K24" i="16" s="1"/>
  <c r="K27" i="16" s="1"/>
  <c r="H26" i="11" l="1"/>
  <c r="H28" i="11" s="1"/>
  <c r="H30" i="11" s="1"/>
  <c r="G69" i="11"/>
  <c r="K29" i="16"/>
  <c r="K30" i="16"/>
  <c r="H25" i="11" l="1"/>
  <c r="K31" i="16"/>
  <c r="K32" i="16" s="1"/>
  <c r="K45" i="16" s="1"/>
  <c r="K54" i="16" s="1"/>
  <c r="L25" i="16" s="1"/>
  <c r="H59" i="11" l="1"/>
  <c r="H60" i="11"/>
  <c r="H62" i="11"/>
  <c r="H58" i="11"/>
  <c r="H31" i="11"/>
  <c r="H27" i="11"/>
  <c r="H29" i="11" s="1"/>
  <c r="K33" i="16"/>
  <c r="K46" i="16" s="1"/>
  <c r="K55" i="16" s="1"/>
  <c r="L26" i="16" s="1"/>
  <c r="K34" i="16"/>
  <c r="K47" i="16" s="1"/>
  <c r="K56" i="16" s="1"/>
  <c r="H70" i="11" l="1"/>
  <c r="H37" i="11"/>
  <c r="K57" i="16"/>
  <c r="L24" i="16" s="1"/>
  <c r="L30" i="16" s="1"/>
  <c r="H42" i="11" l="1"/>
  <c r="H41" i="11"/>
  <c r="H36" i="11"/>
  <c r="H32" i="11"/>
  <c r="H33" i="11"/>
  <c r="H34" i="11"/>
  <c r="H35" i="11"/>
  <c r="L27" i="16"/>
  <c r="L29" i="16"/>
  <c r="L31" i="16" s="1"/>
  <c r="L32" i="16" s="1"/>
  <c r="L45" i="16" s="1"/>
  <c r="L54" i="16" s="1"/>
  <c r="H40" i="11" l="1"/>
  <c r="H39" i="11"/>
  <c r="H38" i="11"/>
  <c r="H52" i="11" s="1"/>
  <c r="H64" i="11" s="1"/>
  <c r="H73" i="11" s="1"/>
  <c r="H55" i="11"/>
  <c r="H67" i="11" s="1"/>
  <c r="H56" i="11"/>
  <c r="H68" i="11" s="1"/>
  <c r="H54" i="11"/>
  <c r="H66" i="11" s="1"/>
  <c r="H53" i="11"/>
  <c r="H65" i="11" s="1"/>
  <c r="H74" i="11" s="1"/>
  <c r="L33" i="16"/>
  <c r="L46" i="16" s="1"/>
  <c r="L55" i="16" s="1"/>
  <c r="L34" i="16"/>
  <c r="L47" i="16" s="1"/>
  <c r="L56" i="16" s="1"/>
  <c r="I26" i="11" l="1"/>
  <c r="I28" i="11" s="1"/>
  <c r="I30" i="11" s="1"/>
  <c r="H69" i="11"/>
  <c r="L57" i="16"/>
  <c r="I25" i="11" l="1"/>
  <c r="I59" i="11" l="1"/>
  <c r="I62" i="11"/>
  <c r="I60" i="11"/>
  <c r="I58" i="11"/>
  <c r="I31" i="11"/>
  <c r="I27" i="11"/>
  <c r="I29" i="11" s="1"/>
  <c r="D6" i="7"/>
  <c r="I70" i="11" l="1"/>
  <c r="I37" i="11"/>
  <c r="I41" i="11" l="1"/>
  <c r="I55" i="11" s="1"/>
  <c r="I67" i="11" s="1"/>
  <c r="I42" i="11"/>
  <c r="I56" i="11" s="1"/>
  <c r="I68" i="11" s="1"/>
  <c r="I32" i="11"/>
  <c r="I35" i="11"/>
  <c r="I33" i="11"/>
  <c r="I34" i="11"/>
  <c r="I36" i="11"/>
  <c r="I40" i="11" l="1"/>
  <c r="I54" i="11" s="1"/>
  <c r="I66" i="11" s="1"/>
  <c r="I39" i="11"/>
  <c r="I53" i="11" s="1"/>
  <c r="I65" i="11" s="1"/>
  <c r="I74" i="11" s="1"/>
  <c r="I38" i="11"/>
  <c r="I52" i="11" s="1"/>
  <c r="I64" i="11" s="1"/>
  <c r="I73" i="11" s="1"/>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26" i="11" l="1"/>
  <c r="J28" i="11" s="1"/>
  <c r="J30" i="11" s="1"/>
  <c r="I69" i="11"/>
  <c r="K13" i="2"/>
  <c r="L13" i="2" s="1"/>
  <c r="K8" i="2"/>
  <c r="J25" i="11" l="1"/>
  <c r="N13" i="2"/>
  <c r="O13" i="2"/>
  <c r="M13" i="2"/>
  <c r="J62" i="11" l="1"/>
  <c r="J59" i="11"/>
  <c r="J60" i="11"/>
  <c r="J58" i="11"/>
  <c r="J31" i="11"/>
  <c r="J27" i="11"/>
  <c r="J29" i="11" s="1"/>
  <c r="P13" i="2"/>
  <c r="J70" i="11" l="1"/>
  <c r="J37" i="11"/>
  <c r="J41" i="11" l="1"/>
  <c r="J42" i="11"/>
  <c r="J39" i="11" s="1"/>
  <c r="J35" i="11"/>
  <c r="J32" i="11"/>
  <c r="J33" i="11"/>
  <c r="J34" i="11"/>
  <c r="J36" i="11"/>
  <c r="J56" i="11" l="1"/>
  <c r="J68" i="11" s="1"/>
  <c r="J38" i="11"/>
  <c r="J40" i="11"/>
  <c r="J54" i="11" s="1"/>
  <c r="J66" i="11" s="1"/>
  <c r="J55" i="11"/>
  <c r="J67" i="11" s="1"/>
  <c r="J53" i="11"/>
  <c r="J65" i="11" s="1"/>
  <c r="J74" i="11" s="1"/>
  <c r="J52" i="11"/>
  <c r="J64" i="11" s="1"/>
  <c r="J73" i="11" s="1"/>
  <c r="K26" i="11" l="1"/>
  <c r="K28" i="11" s="1"/>
  <c r="K30" i="11" s="1"/>
  <c r="J69" i="11"/>
  <c r="K25" i="11" l="1"/>
  <c r="K62" i="11" l="1"/>
  <c r="K60" i="11"/>
  <c r="K59" i="11"/>
  <c r="K58" i="11"/>
  <c r="K31" i="11"/>
  <c r="K27" i="11"/>
  <c r="K29" i="11" s="1"/>
  <c r="K70" i="11" l="1"/>
  <c r="K37" i="11"/>
  <c r="K42" i="11" l="1"/>
  <c r="K56" i="11" s="1"/>
  <c r="K68" i="11" s="1"/>
  <c r="K41" i="11"/>
  <c r="K36" i="11"/>
  <c r="K35" i="11"/>
  <c r="K33" i="11"/>
  <c r="K32" i="11"/>
  <c r="K34" i="11"/>
  <c r="K39" i="11" l="1"/>
  <c r="K53" i="11" s="1"/>
  <c r="K65" i="11" s="1"/>
  <c r="K74" i="11" s="1"/>
  <c r="K38" i="11"/>
  <c r="K52" i="11" s="1"/>
  <c r="K64" i="11" s="1"/>
  <c r="K73" i="11" s="1"/>
  <c r="K40" i="11"/>
  <c r="K54" i="11" s="1"/>
  <c r="K66" i="11" s="1"/>
  <c r="K55" i="11"/>
  <c r="K67" i="11" s="1"/>
  <c r="L26" i="11" l="1"/>
  <c r="L28" i="11" s="1"/>
  <c r="L30" i="11" s="1"/>
  <c r="K69" i="11"/>
  <c r="L25" i="11" l="1"/>
  <c r="L62" i="11" l="1"/>
  <c r="L59" i="11"/>
  <c r="L60" i="11"/>
  <c r="L58" i="11"/>
  <c r="L31" i="11"/>
  <c r="L27" i="11"/>
  <c r="L29" i="11" s="1"/>
  <c r="L70" i="11" l="1"/>
  <c r="L37" i="11"/>
  <c r="L41" i="11" l="1"/>
  <c r="L42" i="11"/>
  <c r="L35" i="11"/>
  <c r="L32" i="11"/>
  <c r="L33" i="11"/>
  <c r="L36" i="11"/>
  <c r="L34" i="11"/>
  <c r="L40" i="11" l="1"/>
  <c r="L54" i="11" s="1"/>
  <c r="L66" i="11" s="1"/>
  <c r="L38" i="11"/>
  <c r="L52" i="11" s="1"/>
  <c r="L64" i="11" s="1"/>
  <c r="L73" i="11" s="1"/>
  <c r="L39" i="11"/>
  <c r="L53" i="11" s="1"/>
  <c r="L65" i="11" s="1"/>
  <c r="L74" i="11" s="1"/>
  <c r="L55" i="11"/>
  <c r="L67" i="11" s="1"/>
  <c r="L56" i="11"/>
  <c r="L68" i="11" s="1"/>
  <c r="L69" i="11" l="1"/>
</calcChain>
</file>

<file path=xl/sharedStrings.xml><?xml version="1.0" encoding="utf-8"?>
<sst xmlns="http://schemas.openxmlformats.org/spreadsheetml/2006/main" count="485" uniqueCount="198">
  <si>
    <t xml:space="preserve">    To Upper Basin</t>
  </si>
  <si>
    <t xml:space="preserve">    To Lower Basin</t>
  </si>
  <si>
    <t xml:space="preserve">    Upper Basin</t>
  </si>
  <si>
    <t xml:space="preserve">    Lower Basin</t>
  </si>
  <si>
    <t xml:space="preserve">    Mexico</t>
  </si>
  <si>
    <t>Account end-of-year balance</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</si>
  <si>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</si>
  <si>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</si>
  <si>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</si>
  <si>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</si>
  <si>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</si>
  <si>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</si>
  <si>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</si>
  <si>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</si>
  <si>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</si>
  <si>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</si>
  <si>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</si>
  <si>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</si>
  <si>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</si>
  <si>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</si>
  <si>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</si>
  <si>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</si>
  <si>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</si>
  <si>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</si>
  <si>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</si>
  <si>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</si>
  <si>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</si>
  <si>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</si>
  <si>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</si>
  <si>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</si>
  <si>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</si>
  <si>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</si>
  <si>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</si>
  <si>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</si>
  <si>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</si>
  <si>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</si>
  <si>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</si>
  <si>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</si>
  <si>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</si>
  <si>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Overview</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</si>
  <si>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</si>
  <si>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</si>
  <si>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</si>
  <si>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</si>
  <si>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</si>
  <si>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</si>
  <si>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</si>
  <si>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</si>
  <si>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</si>
  <si>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</si>
  <si>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</si>
  <si>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</si>
  <si>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</si>
  <si>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</si>
  <si>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</si>
  <si>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</si>
  <si>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Continue to Year 2 in Column D. Facilitator enters next Natural Inflow to Lake Powell in Cell D22.</t>
  </si>
  <si>
    <t>Potential hydrologies to use in the  role play</t>
  </si>
  <si>
    <t>Comment</t>
  </si>
  <si>
    <t>Name</t>
  </si>
  <si>
    <t>Source</t>
  </si>
  <si>
    <t>Year 11</t>
  </si>
  <si>
    <t>Year 12</t>
  </si>
  <si>
    <t>Year 13</t>
  </si>
  <si>
    <t>Year 14</t>
  </si>
  <si>
    <t>Year 15</t>
  </si>
  <si>
    <t>Year 16</t>
  </si>
  <si>
    <t>Year 17</t>
  </si>
  <si>
    <t>Year 18</t>
  </si>
  <si>
    <t>Year 19</t>
  </si>
  <si>
    <t>USBR (2020). Colorado River Basin Natural Flow and Salt Data. https://www.usbr.gov/lc/region/g4000/NaturalFlow/current.html</t>
  </si>
  <si>
    <t>10-Yr Avg</t>
  </si>
  <si>
    <t>19-Yr Avg</t>
  </si>
  <si>
    <t>Copy the Master worksheet to be a new worksheet. Rename the worksheet.</t>
  </si>
  <si>
    <t>Facilitator chooses a Hydrologic Scenario in Row 15. Facilitator may or may not reveal the hydrologic scenario to the players. See HydrologicScenarios worksheet for some potential hydrologies.</t>
  </si>
  <si>
    <t>Description of Worksheets</t>
  </si>
  <si>
    <t>Master</t>
  </si>
  <si>
    <t>Blank model template. Copy to a new sheet before using. See directions above for use.</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</si>
  <si>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</si>
  <si>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</si>
  <si>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</si>
  <si>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</si>
  <si>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</si>
  <si>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</si>
  <si>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</si>
  <si>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</si>
  <si>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</si>
  <si>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</si>
  <si>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</si>
  <si>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</si>
  <si>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</si>
  <si>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Directions to complete the Interactive Water Budget:</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</si>
  <si>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</si>
  <si>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</si>
  <si>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</si>
  <si>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</si>
  <si>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</si>
  <si>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</si>
  <si>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</si>
  <si>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</si>
  <si>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</si>
  <si>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</si>
  <si>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</si>
  <si>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</si>
  <si>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</si>
  <si>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</si>
  <si>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</si>
  <si>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</si>
  <si>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</si>
  <si>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</si>
  <si>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</si>
  <si>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</si>
  <si>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</si>
  <si>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</si>
  <si>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</si>
  <si>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</si>
  <si>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</si>
  <si>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</si>
  <si>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</si>
  <si>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</si>
  <si>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</si>
  <si>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</si>
  <si>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</si>
  <si>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</si>
  <si>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</si>
  <si>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</si>
  <si>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</si>
  <si>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</si>
  <si>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MellenniumRecovery-LawOfRiver</t>
  </si>
  <si>
    <t>11.0-Plots</t>
  </si>
  <si>
    <t>Follow the law of the river operations</t>
  </si>
  <si>
    <t>Move this Excel workbook into Google Docs so that all players can access syncronously.</t>
  </si>
  <si>
    <t>On the new worksheet, assign a role to each person (Rows 5 to 8).</t>
  </si>
  <si>
    <t>Enter starting storages for Lake Powell and Lake Mead in Row 19.</t>
  </si>
  <si>
    <t>In Year 1, Facilitator enters the natural inflow to Lake Powell in Cell C22 and Intervening Grand Canyon inflow in Cell C23.</t>
  </si>
  <si>
    <t>The spreadsheet uses political decisions to split storage among Powell and Mead and partition natural flow to calculate reservoir evaporation and available water to release/use (Rows 44 to 47).</t>
  </si>
  <si>
    <t>Each player enters their account withdrawal/consumptive use in Cells C49:C52. The spreadsheet will show a red background if a player tries to consume more than their account balance!</t>
  </si>
  <si>
    <t>The Upper Basin and Mexico can additionally transfer water with compensation to the Lower Basin in Cells C40:C40.</t>
  </si>
  <si>
    <t>Observe the ending storages in accounts, combined storage, and Lake Powell release in Cells C54 to C58.</t>
  </si>
  <si>
    <t>Repeat Steps #6-#11 for as many years  (columns D, E, F, …) as desired. Stop when you no longer gain new insights about the system.</t>
  </si>
  <si>
    <t>Role play again (steps #2-12) for different management decisions, hydrologic scenarios, or different political decisions regarding physical split of combined storage, allocations of natural flow, etc.</t>
  </si>
  <si>
    <t>David E. Rosenberg (2021). "Interactive Water Budget and Role Play for Lake Powell, Colorado River." Utah State University, Logan, UT. https://github.com/dzeke/ColoradoRiverFutures/tree/master/InteractiveWaterBudget</t>
  </si>
  <si>
    <t>This interactive water budget allows a facilitator and representatives of the Upper Basin, Lower Basin, and Mexico to role play Lake Powell and Lake Mead management year by year. A facilitator decides the hydrology to use (see HydrologicScenarios worksheet) and reveals natural inflow to Lake Powell and intervening flows along the Grand Canyon reach between Lake Powell and Lake Mead year-by-year to the players. Each player has a water storage account in the combined Lake Powell-Lake Mead system. Each year, each player’s account is credited with a portion of that year’s natural flow. The credit depends on the political decision about how to partition natural flow among the players and subtracts the player's share of reservoir evaporation. The player’s share of reservoir evaporation is prorated by their and aggregate account balances. Each year, each player decides the volume to consumptively use (deduct from their account) and water to store/conserve (remains in the account). A player’s consumptive use must stay within their available water. Additionally, the Upper Basin player can voluntarily trade and transfer stored water to the Lower Basin player with compensation. The Mexico player can also voluntarily trade and transfer stored water to the Lower Basin player with compensation. The trades move water from one account to another; trades do not change physical storage. Finally, the interactive water budget calculates each player’s end-of-the-year account balance. The tool also applies a political decision of how to physically split and move the total storage – sum of all account balances – between Lake Powell and Lake Mead. The players then move to the next year and repeat the decision steps.</t>
  </si>
  <si>
    <t>A completed role play with Lee Ferry natural flow of 11.0 maf every year for 5 years allowing trades between users. Trades in Years 1 through 3 earn the Upper Basin $0.46 Billion and get the Upper Basin on a path of conservation and softer landing for this severe event.</t>
  </si>
  <si>
    <t>A completed role play with Lee Ferry natural flow of 11.0 maf every year for 5 years and all political decisions follow the existing Law of the River operations (DCP, Equalization, Curtailment)</t>
  </si>
  <si>
    <t>Plots of Lower and Upper Basin Consumptive Use and Account Balances that compare results for 11.0-Trade and 11.0-LawOfRiver operations</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</si>
  <si>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</si>
  <si>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</si>
  <si>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</si>
  <si>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</si>
  <si>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MX Binational WSCP Cutback (Minute 323)</t>
  </si>
  <si>
    <t>Total Cutback (af/year)</t>
  </si>
  <si>
    <t>This worksheet provides potential annual hydrologies of Lake Mead inflow  to use in the role play (million acre-feet per year)</t>
  </si>
  <si>
    <t>Equalization release 9 maf/Grand Canyon tributary flow 1 maf per year</t>
  </si>
  <si>
    <t>Equalization release 8 maf/Grand Canyon tributary flow 1 maf per year</t>
  </si>
  <si>
    <t>Equalization release 7.5 maf/Grand Canyon tributary flow 1 maf per year</t>
  </si>
  <si>
    <t>Equalization release 7.2 maf/Grand Canyon tributary flow 0.8 maf per year</t>
  </si>
  <si>
    <t>California</t>
  </si>
  <si>
    <t>Nevada</t>
  </si>
  <si>
    <t>Arizona</t>
  </si>
  <si>
    <t>System (Havasu/Parker, Delta, Salton Sea)</t>
  </si>
  <si>
    <t>4/1/2021 lake level</t>
  </si>
  <si>
    <t>Storage - Beginning of Year</t>
  </si>
  <si>
    <t>Storage - End of Year</t>
  </si>
  <si>
    <t>Mead Release</t>
  </si>
  <si>
    <t xml:space="preserve">    California Balance</t>
  </si>
  <si>
    <t xml:space="preserve">    Nevada Balance</t>
  </si>
  <si>
    <t xml:space="preserve">    Arizona Balance</t>
  </si>
  <si>
    <t xml:space="preserve">    System Balance</t>
  </si>
  <si>
    <t xml:space="preserve">    California Share</t>
  </si>
  <si>
    <t xml:space="preserve">    Nevada Share</t>
  </si>
  <si>
    <t xml:space="preserve">    Arizona Share</t>
  </si>
  <si>
    <t xml:space="preserve">    System Share</t>
  </si>
  <si>
    <t>Available Inflow (Inflow - Evaporation)</t>
  </si>
  <si>
    <t xml:space="preserve">    To California</t>
  </si>
  <si>
    <t xml:space="preserve">    To Nevada</t>
  </si>
  <si>
    <t xml:space="preserve">    To Arizona</t>
  </si>
  <si>
    <t xml:space="preserve">    To System</t>
  </si>
  <si>
    <t xml:space="preserve">    To Mexico</t>
  </si>
  <si>
    <t>Compensated Trades (+ to bank, - from bank)</t>
  </si>
  <si>
    <t xml:space="preserve">    California</t>
  </si>
  <si>
    <t xml:space="preserve">    Nevada</t>
  </si>
  <si>
    <t xml:space="preserve">    Arizona</t>
  </si>
  <si>
    <t xml:space="preserve">    System</t>
  </si>
  <si>
    <t xml:space="preserve">    Payment amount ($/acre-foot)</t>
  </si>
  <si>
    <t xml:space="preserve">    Net trades</t>
  </si>
  <si>
    <t>California Consumptive Use</t>
  </si>
  <si>
    <t>Arizona Consumptive Use</t>
  </si>
  <si>
    <t>Mead Evaporation</t>
  </si>
  <si>
    <t>CA Cutback</t>
  </si>
  <si>
    <t>NV Cutback</t>
  </si>
  <si>
    <t>AZ Cutback</t>
  </si>
  <si>
    <t>0.6 maf per year release for Havasu, Parker, ET</t>
  </si>
  <si>
    <t>Below 1,025</t>
  </si>
  <si>
    <t>Above 1,090</t>
  </si>
  <si>
    <t>Compensated Trades (+ sell to bank, - buy from bank)</t>
  </si>
  <si>
    <t>Lake Powell Release</t>
  </si>
  <si>
    <t>Shared, Reserve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</si>
</sst>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8" tint="0.59999389629810485"/>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rgb="FF7F7F7F"/>
      </left>
      <right/>
      <top/>
      <bottom/>
      <diagonal/>
    </border>
  </borders>
  <cellStyleXfs count="7">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cellStyleXfs>
  <cellXfs count="84">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0" fontId="3" fillId="2" borderId="1" xfId="2" applyAlignment="1">
      <alignment horizontal="center"/>
    </xf>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0" fontId="1" fillId="7" borderId="9" xfId="0" applyFont="1" applyFill="1" applyBorder="1"/>
    <xf numFmtId="0" fontId="1" fillId="7" borderId="9" xfId="0" applyFont="1" applyFill="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164" fontId="1" fillId="0" borderId="0" xfId="0" applyNumberFormat="1" applyFont="1"/>
    <xf numFmtId="0" fontId="3" fillId="2" borderId="1" xfId="2" applyAlignment="1">
      <alignment horizontal="center"/>
    </xf>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0" fillId="0" borderId="9" xfId="0" applyBorder="1" applyAlignment="1">
      <alignment horizontal="left"/>
    </xf>
    <xf numFmtId="0" fontId="5" fillId="5" borderId="0" xfId="6" applyAlignment="1">
      <alignment horizontal="center"/>
    </xf>
    <xf numFmtId="2" fontId="5" fillId="5" borderId="0" xfId="5" applyNumberFormat="1" applyFont="1" applyFill="1" applyAlignment="1">
      <alignment horizontal="center"/>
    </xf>
    <xf numFmtId="0" fontId="4" fillId="3" borderId="1" xfId="3" applyAlignment="1">
      <alignment horizontal="center"/>
    </xf>
    <xf numFmtId="164" fontId="5" fillId="5" borderId="1" xfId="4" applyNumberFormat="1" applyFont="1" applyFill="1" applyBorder="1" applyAlignment="1">
      <alignment horizontal="center"/>
    </xf>
    <xf numFmtId="164" fontId="5" fillId="5" borderId="0" xfId="6" applyNumberFormat="1" applyAlignment="1">
      <alignment horizontal="center"/>
    </xf>
    <xf numFmtId="0" fontId="0" fillId="0" borderId="0" xfId="0" applyFill="1" applyBorder="1" applyAlignment="1">
      <alignment horizontal="center"/>
    </xf>
    <xf numFmtId="165" fontId="0" fillId="0" borderId="9" xfId="0" applyNumberFormat="1" applyFill="1" applyBorder="1" applyAlignment="1">
      <alignment horizontal="center"/>
    </xf>
    <xf numFmtId="166" fontId="0" fillId="0" borderId="9" xfId="1" applyNumberFormat="1" applyFont="1" applyFill="1" applyBorder="1"/>
    <xf numFmtId="2" fontId="0" fillId="0" borderId="9" xfId="0" applyNumberFormat="1" applyFill="1" applyBorder="1" applyAlignment="1">
      <alignment horizontal="center"/>
    </xf>
    <xf numFmtId="43" fontId="0" fillId="0" borderId="9" xfId="0" applyNumberFormat="1" applyFill="1" applyBorder="1"/>
    <xf numFmtId="0" fontId="0" fillId="0" borderId="9" xfId="0" applyFill="1" applyBorder="1" applyAlignment="1">
      <alignment horizontal="center"/>
    </xf>
    <xf numFmtId="2" fontId="4" fillId="3" borderId="1" xfId="3" applyNumberFormat="1" applyAlignment="1">
      <alignment horizontal="center"/>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0" borderId="0" xfId="0" applyFont="1" applyAlignment="1">
      <alignment horizontal="left" wrapText="1"/>
    </xf>
    <xf numFmtId="0" fontId="3" fillId="2" borderId="11" xfId="2" applyBorder="1" applyAlignment="1">
      <alignment horizontal="center"/>
    </xf>
    <xf numFmtId="0" fontId="3" fillId="2" borderId="0" xfId="2" applyBorder="1" applyAlignment="1">
      <alignment horizontal="center"/>
    </xf>
    <xf numFmtId="0" fontId="3" fillId="2" borderId="1" xfId="2" applyAlignment="1">
      <alignment horizontal="center"/>
    </xf>
  </cellXfs>
  <cellStyles count="7">
    <cellStyle name="Accent2" xfId="6" builtinId="33"/>
    <cellStyle name="Calculation" xfId="3" builtinId="22"/>
    <cellStyle name="Comma" xfId="1" builtinId="3"/>
    <cellStyle name="Currency" xfId="4" builtinId="4"/>
    <cellStyle name="Input" xfId="2" builtinId="20"/>
    <cellStyle name="Normal" xfId="0" builtinId="0"/>
    <cellStyle name="Percent" xfId="5" builtinId="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rgb="FFFF0000"/>
        </patternFill>
      </fill>
    </dxf>
    <dxf>
      <font>
        <color rgb="FF9C0006"/>
      </font>
      <fill>
        <patternFill>
          <bgColor rgb="FFFFC7CE"/>
        </patternFill>
      </fill>
    </dxf>
    <dxf>
      <fill>
        <patternFill>
          <bgColor theme="6" tint="0.79998168889431442"/>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385794462191724"/>
          <c:y val="3.4745872660633781E-2"/>
          <c:w val="0.82523052422514986"/>
          <c:h val="0.87719197828007334"/>
        </c:manualLayout>
      </c:layout>
      <c:lineChart>
        <c:grouping val="standard"/>
        <c:varyColors val="0"/>
        <c:ser>
          <c:idx val="0"/>
          <c:order val="0"/>
          <c:tx>
            <c:v>LowerBasin</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'9.0-LawOfRiver'!$C$23:$L$23</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'9.0-LawOfRiver'!$C$70:$L$70</c:f>
              <c:numCache>
                <c:formatCode>0.0</c:formatCode>
                <c:ptCount val="10"/>
                <c:pt idx="0">
                  <c:v>9.0790000000000006</c:v>
                </c:pt>
                <c:pt idx="1">
                  <c:v>8.9910000000000014</c:v>
                </c:pt>
                <c:pt idx="2">
                  <c:v>8.9910000000000014</c:v>
                </c:pt>
                <c:pt idx="3">
                  <c:v>8.9910000000000014</c:v>
                </c:pt>
                <c:pt idx="4">
                  <c:v>8.9910000000000014</c:v>
                </c:pt>
                <c:pt idx="5">
                  <c:v>8.6989999999999998</c:v>
                </c:pt>
                <c:pt idx="6">
                  <c:v>8.6989999999999998</c:v>
                </c:pt>
                <c:pt idx="7">
                  <c:v>8.641</c:v>
                </c:pt>
                <c:pt idx="8">
                  <c:v>8.641</c:v>
                </c:pt>
                <c:pt idx="9">
                  <c:v>8.641</c:v>
                </c:pt>
              </c:numCache>
            </c:numRef>
          </c:val>
          <c:smooth val="0"/>
          <c:extLst>
            <c:ext xmlns:c16="http://schemas.microsoft.com/office/drawing/2014/chart" uri="{C3380CC4-5D6E-409C-BE32-E72D297353CC}">
              <c16:uniqueId val="{00000001-57FE-44A3-B45F-1A0B1069B9CD}"/>
            </c:ext>
          </c:extLst>
        </c:ser>
        <c:ser>
          <c:idx val="5"/>
          <c:order val="1"/>
          <c:tx>
            <c:strRef>
              <c:f>'9.0-LawOfRiver'!$A$62</c:f>
              <c:strCache>
                <c:ptCount val="1"/>
                <c:pt idx="0">
                  <c:v>    Mexico</c:v>
                </c:pt>
              </c:strCache>
            </c:strRef>
          </c:tx>
          <c:spPr>
            <a:ln w="19050" cap="rnd">
              <a:solidFill>
                <a:schemeClr val="accent6"/>
              </a:solidFill>
              <a:prstDash val="lgDashDot"/>
              <a:round/>
            </a:ln>
            <a:effectLst/>
          </c:spPr>
          <c:marker>
            <c:symbol val="diamond"/>
            <c:size val="7"/>
            <c:spPr>
              <a:solidFill>
                <a:schemeClr val="accent6"/>
              </a:solidFill>
              <a:ln w="9525">
                <a:solidFill>
                  <a:schemeClr val="accent6"/>
                </a:solidFill>
              </a:ln>
              <a:effectLst/>
            </c:spPr>
          </c:marker>
          <c:val>
            <c:numRef>
              <c:f>'9.0-LawOfRiver'!$C$62:$L$62</c:f>
              <c:numCache>
                <c:formatCode>0.0</c:formatCode>
                <c:ptCount val="10"/>
                <c:pt idx="0">
                  <c:v>1.47</c:v>
                </c:pt>
                <c:pt idx="1">
                  <c:v>1.466</c:v>
                </c:pt>
                <c:pt idx="2">
                  <c:v>1.466</c:v>
                </c:pt>
                <c:pt idx="3">
                  <c:v>1.466</c:v>
                </c:pt>
                <c:pt idx="4">
                  <c:v>1.466</c:v>
                </c:pt>
                <c:pt idx="5">
                  <c:v>1.4239999999999999</c:v>
                </c:pt>
                <c:pt idx="6">
                  <c:v>1.4239999999999999</c:v>
                </c:pt>
                <c:pt idx="7">
                  <c:v>1.4159999999999999</c:v>
                </c:pt>
                <c:pt idx="8">
                  <c:v>1.4159999999999999</c:v>
                </c:pt>
                <c:pt idx="9">
                  <c:v>1.4159999999999999</c:v>
                </c:pt>
              </c:numCache>
            </c:numRef>
          </c:val>
          <c:smooth val="0"/>
          <c:extLst>
            <c:ext xmlns:c16="http://schemas.microsoft.com/office/drawing/2014/chart" uri="{C3380CC4-5D6E-409C-BE32-E72D297353CC}">
              <c16:uniqueId val="{00000003-3AE0-497A-8213-D6B3217BBE0E}"/>
            </c:ext>
          </c:extLst>
        </c:ser>
        <c:ser>
          <c:idx val="4"/>
          <c:order val="2"/>
          <c:tx>
            <c:strRef>
              <c:f>'9.0-LawOfRiver'!$A$61</c:f>
              <c:strCache>
                <c:ptCount val="1"/>
                <c:pt idx="0">
                  <c:v>    System</c:v>
                </c:pt>
              </c:strCache>
            </c:strRef>
          </c:tx>
          <c:spPr>
            <a:ln w="19050" cap="rnd">
              <a:solidFill>
                <a:schemeClr val="accent3">
                  <a:lumMod val="75000"/>
                </a:schemeClr>
              </a:solidFill>
              <a:prstDash val="sysDash"/>
              <a:round/>
            </a:ln>
            <a:effectLst/>
          </c:spPr>
          <c:marker>
            <c:symbol val="x"/>
            <c:size val="7"/>
            <c:spPr>
              <a:solidFill>
                <a:schemeClr val="accent3">
                  <a:lumMod val="75000"/>
                </a:schemeClr>
              </a:solidFill>
              <a:ln w="9525">
                <a:solidFill>
                  <a:schemeClr val="accent3">
                    <a:lumMod val="75000"/>
                  </a:schemeClr>
                </a:solidFill>
              </a:ln>
              <a:effectLst/>
            </c:spPr>
          </c:marker>
          <c:val>
            <c:numRef>
              <c:f>'9.0-LawOfRiver'!$C$61:$L$61</c:f>
              <c:numCache>
                <c:formatCode>0.0</c:formatCode>
                <c:ptCount val="10"/>
                <c:pt idx="0">
                  <c:v>0.64200000000000002</c:v>
                </c:pt>
                <c:pt idx="1">
                  <c:v>0.64200000000000002</c:v>
                </c:pt>
                <c:pt idx="2">
                  <c:v>0.64200000000000002</c:v>
                </c:pt>
                <c:pt idx="3">
                  <c:v>0.64200000000000002</c:v>
                </c:pt>
                <c:pt idx="4">
                  <c:v>0.64200000000000002</c:v>
                </c:pt>
                <c:pt idx="5">
                  <c:v>0.64200000000000002</c:v>
                </c:pt>
                <c:pt idx="6">
                  <c:v>0.64200000000000002</c:v>
                </c:pt>
                <c:pt idx="7">
                  <c:v>0.64200000000000002</c:v>
                </c:pt>
                <c:pt idx="8">
                  <c:v>0.64200000000000002</c:v>
                </c:pt>
                <c:pt idx="9">
                  <c:v>0.64200000000000002</c:v>
                </c:pt>
              </c:numCache>
            </c:numRef>
          </c:val>
          <c:smooth val="0"/>
          <c:extLst>
            <c:ext xmlns:c16="http://schemas.microsoft.com/office/drawing/2014/chart" uri="{C3380CC4-5D6E-409C-BE32-E72D297353CC}">
              <c16:uniqueId val="{00000002-3AE0-497A-8213-D6B3217BBE0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9163517580041742"/>
          <c:y val="0.26619451007993566"/>
          <c:w val="0.17558130020298721"/>
          <c:h val="0.31575329593905843"/>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90706538203605"/>
          <c:y val="3.4745872660633781E-2"/>
          <c:w val="0.82940309212417163"/>
          <c:h val="0.87719197828007334"/>
        </c:manualLayout>
      </c:layout>
      <c:lineChart>
        <c:grouping val="standard"/>
        <c:varyColors val="0"/>
        <c:ser>
          <c:idx val="1"/>
          <c:order val="0"/>
          <c:tx>
            <c:v>Trade</c:v>
          </c:tx>
          <c:spPr>
            <a:ln w="19050" cap="rnd">
              <a:solidFill>
                <a:schemeClr val="accent2"/>
              </a:solidFill>
              <a:prstDash val="lgDash"/>
              <a:round/>
            </a:ln>
            <a:effectLst/>
          </c:spPr>
          <c:marker>
            <c:symbol val="triangle"/>
            <c:size val="7"/>
            <c:spPr>
              <a:solidFill>
                <a:schemeClr val="accent2"/>
              </a:solidFill>
              <a:ln w="9525">
                <a:solidFill>
                  <a:schemeClr val="accent2"/>
                </a:solidFill>
              </a:ln>
              <a:effectLst/>
            </c:spPr>
          </c:marker>
          <c:val>
            <c:numRef>
              <c:f>'9.0-Trade'!$C$25:$G$25</c:f>
              <c:numCache>
                <c:formatCode>0.0</c:formatCode>
                <c:ptCount val="5"/>
                <c:pt idx="0">
                  <c:v>9.9</c:v>
                </c:pt>
                <c:pt idx="1">
                  <c:v>10.100966000000003</c:v>
                </c:pt>
                <c:pt idx="2">
                  <c:v>10.286965200000601</c:v>
                </c:pt>
                <c:pt idx="3">
                  <c:v>10.469150800000001</c:v>
                </c:pt>
                <c:pt idx="4">
                  <c:v>10.6475227999994</c:v>
                </c:pt>
              </c:numCache>
            </c:numRef>
          </c:val>
          <c:smooth val="0"/>
          <c:extLst>
            <c:ext xmlns:c16="http://schemas.microsoft.com/office/drawing/2014/chart" uri="{C3380CC4-5D6E-409C-BE32-E72D297353CC}">
              <c16:uniqueId val="{00000000-766B-4B18-8BF4-78124C9F4D29}"/>
            </c:ext>
          </c:extLst>
        </c:ser>
        <c:ser>
          <c:idx val="0"/>
          <c:order val="1"/>
          <c:tx>
            <c:v>Law of River</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'9.0-LawOfRiver'!$C$23:$L$23</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'9.0-LawOfRiver'!$C$25:$L$25</c:f>
              <c:numCache>
                <c:formatCode>0.0</c:formatCode>
                <c:ptCount val="10"/>
                <c:pt idx="0">
                  <c:v>9.9</c:v>
                </c:pt>
                <c:pt idx="1">
                  <c:v>9.3369659999999985</c:v>
                </c:pt>
                <c:pt idx="2">
                  <c:v>8.8662239999999972</c:v>
                </c:pt>
                <c:pt idx="3">
                  <c:v>8.4082860000005955</c:v>
                </c:pt>
                <c:pt idx="4">
                  <c:v>7.9633800000005959</c:v>
                </c:pt>
                <c:pt idx="5">
                  <c:v>7.5315059999999949</c:v>
                </c:pt>
                <c:pt idx="6">
                  <c:v>7.4043219999999952</c:v>
                </c:pt>
                <c:pt idx="7">
                  <c:v>7.2801740000005957</c:v>
                </c:pt>
                <c:pt idx="8">
                  <c:v>7.2180699999999955</c:v>
                </c:pt>
                <c:pt idx="9">
                  <c:v>7.1579939999999933</c:v>
                </c:pt>
              </c:numCache>
            </c:numRef>
          </c:val>
          <c:smooth val="0"/>
          <c:extLst>
            <c:ext xmlns:c16="http://schemas.microsoft.com/office/drawing/2014/chart" uri="{C3380CC4-5D6E-409C-BE32-E72D297353CC}">
              <c16:uniqueId val="{00000000-B189-4BFA-859E-30997C83287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2"/>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Mead Level</a:t>
                </a:r>
              </a:p>
              <a:p>
                <a:pPr>
                  <a:defRPr sz="2000"/>
                </a:pPr>
                <a:r>
                  <a:rPr lang="en-US" sz="2000" b="0" i="0" u="none" strike="noStrike" baseline="0">
                    <a:effectLst/>
                  </a:rPr>
                  <a:t>Begin of Year </a:t>
                </a:r>
                <a:r>
                  <a:rPr lang="en-US" sz="2000"/>
                  <a:t>(MAF )</a:t>
                </a:r>
              </a:p>
            </c:rich>
          </c:tx>
          <c:layout>
            <c:manualLayout>
              <c:xMode val="edge"/>
              <c:yMode val="edge"/>
              <c:x val="1.7898588062878196E-2"/>
              <c:y val="4.747682429088701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8141109193424434"/>
          <c:y val="7.5800513516794732E-2"/>
          <c:w val="0.1538090518836312"/>
          <c:h val="0.193856656935172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22221</xdr:colOff>
      <xdr:row>1</xdr:row>
      <xdr:rowOff>122237</xdr:rowOff>
    </xdr:from>
    <xdr:to>
      <xdr:col>17</xdr:col>
      <xdr:colOff>523875</xdr:colOff>
      <xdr:row>19</xdr:row>
      <xdr:rowOff>149225</xdr:rowOff>
    </xdr:to>
    <xdr:graphicFrame macro="">
      <xdr:nvGraphicFramePr>
        <xdr:cNvPr id="2" name="Chart 1">
          <a:extLst>
            <a:ext uri="{FF2B5EF4-FFF2-40B4-BE49-F238E27FC236}">
              <a16:creationId xmlns:a16="http://schemas.microsoft.com/office/drawing/2014/main" id="{BF6FEC03-7063-4E5F-B478-4B086BC80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19</xdr:row>
      <xdr:rowOff>153987</xdr:rowOff>
    </xdr:from>
    <xdr:to>
      <xdr:col>17</xdr:col>
      <xdr:colOff>523875</xdr:colOff>
      <xdr:row>37</xdr:row>
      <xdr:rowOff>158750</xdr:rowOff>
    </xdr:to>
    <xdr:graphicFrame macro="">
      <xdr:nvGraphicFramePr>
        <xdr:cNvPr id="3" name="Chart 1">
          <a:extLst>
            <a:ext uri="{FF2B5EF4-FFF2-40B4-BE49-F238E27FC236}">
              <a16:creationId xmlns:a16="http://schemas.microsoft.com/office/drawing/2014/main" id="{F01DAF2B-1D71-4A35-BC14-0AE1D9C72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32"/>
  <sheetViews>
    <sheetView topLeftCell="A13" zoomScale="150" zoomScaleNormal="150" workbookViewId="0">
      <selection activeCell="C26" sqref="C26"/>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92</v>
      </c>
      <c r="B1" s="1"/>
      <c r="C1" s="2"/>
      <c r="D1"/>
    </row>
    <row r="2" spans="1:12" x14ac:dyDescent="0.35">
      <c r="A2" s="1"/>
      <c r="B2" s="1"/>
      <c r="C2" s="2"/>
      <c r="D2"/>
    </row>
    <row r="3" spans="1:12" x14ac:dyDescent="0.35">
      <c r="A3" s="1" t="s">
        <v>39</v>
      </c>
      <c r="B3" s="1"/>
      <c r="C3" s="2"/>
      <c r="D3"/>
    </row>
    <row r="4" spans="1:12" ht="187.5" customHeight="1" x14ac:dyDescent="0.35">
      <c r="A4" s="80" t="s">
        <v>142</v>
      </c>
      <c r="B4" s="80"/>
      <c r="C4" s="80"/>
      <c r="D4" s="80"/>
      <c r="E4" s="80"/>
      <c r="F4" s="80"/>
      <c r="G4" s="80"/>
      <c r="H4" s="80"/>
      <c r="I4" s="80"/>
      <c r="J4" s="80"/>
      <c r="K4" s="80"/>
      <c r="L4" s="80"/>
    </row>
    <row r="5" spans="1:12" ht="13.5" customHeight="1" x14ac:dyDescent="0.35">
      <c r="B5" s="15"/>
      <c r="C5" s="15"/>
      <c r="D5" s="15"/>
      <c r="E5" s="15"/>
      <c r="F5" s="15"/>
      <c r="G5" s="15"/>
      <c r="H5" s="15"/>
      <c r="I5" s="15"/>
      <c r="J5" s="15"/>
      <c r="K5" s="15"/>
      <c r="L5" s="15"/>
    </row>
    <row r="6" spans="1:12" ht="16.5" customHeight="1" x14ac:dyDescent="0.35">
      <c r="A6" s="71" t="s">
        <v>91</v>
      </c>
      <c r="B6" s="72"/>
      <c r="C6" s="72"/>
      <c r="D6" s="72"/>
      <c r="E6" s="72"/>
      <c r="F6" s="72"/>
      <c r="G6" s="72"/>
      <c r="H6" s="72"/>
      <c r="I6" s="72"/>
      <c r="J6" s="72"/>
      <c r="K6" s="72"/>
      <c r="L6" s="73"/>
    </row>
    <row r="7" spans="1:12" ht="16.5" customHeight="1" x14ac:dyDescent="0.35">
      <c r="A7" s="28">
        <v>1</v>
      </c>
      <c r="B7" s="74" t="s">
        <v>131</v>
      </c>
      <c r="C7" s="74"/>
      <c r="D7" s="74"/>
      <c r="E7" s="74"/>
      <c r="F7" s="74"/>
      <c r="G7" s="74"/>
      <c r="H7" s="74"/>
      <c r="I7" s="74"/>
      <c r="J7" s="74"/>
      <c r="K7" s="74"/>
      <c r="L7" s="75"/>
    </row>
    <row r="8" spans="1:12" ht="16.5" customHeight="1" x14ac:dyDescent="0.35">
      <c r="A8" s="28">
        <v>2</v>
      </c>
      <c r="B8" s="74" t="s">
        <v>73</v>
      </c>
      <c r="C8" s="74"/>
      <c r="D8" s="74"/>
      <c r="E8" s="74"/>
      <c r="F8" s="74"/>
      <c r="G8" s="74"/>
      <c r="H8" s="74"/>
      <c r="I8" s="74"/>
      <c r="J8" s="74"/>
      <c r="K8" s="74"/>
      <c r="L8" s="75"/>
    </row>
    <row r="9" spans="1:12" ht="16.5" customHeight="1" x14ac:dyDescent="0.35">
      <c r="A9" s="28">
        <v>3</v>
      </c>
      <c r="B9" s="74" t="s">
        <v>132</v>
      </c>
      <c r="C9" s="74"/>
      <c r="D9" s="74"/>
      <c r="E9" s="74"/>
      <c r="F9" s="74"/>
      <c r="G9" s="74"/>
      <c r="H9" s="74"/>
      <c r="I9" s="74"/>
      <c r="J9" s="74"/>
      <c r="K9" s="74"/>
      <c r="L9" s="75"/>
    </row>
    <row r="10" spans="1:12" ht="32.5" customHeight="1" x14ac:dyDescent="0.35">
      <c r="A10" s="28">
        <v>4</v>
      </c>
      <c r="B10" s="74" t="s">
        <v>74</v>
      </c>
      <c r="C10" s="74"/>
      <c r="D10" s="74"/>
      <c r="E10" s="74"/>
      <c r="F10" s="74"/>
      <c r="G10" s="74"/>
      <c r="H10" s="74"/>
      <c r="I10" s="74"/>
      <c r="J10" s="74"/>
      <c r="K10" s="74"/>
      <c r="L10" s="75"/>
    </row>
    <row r="11" spans="1:12" ht="16.5" customHeight="1" x14ac:dyDescent="0.35">
      <c r="A11" s="28">
        <v>5</v>
      </c>
      <c r="B11" s="74" t="s">
        <v>133</v>
      </c>
      <c r="C11" s="74"/>
      <c r="D11" s="74"/>
      <c r="E11" s="74"/>
      <c r="F11" s="74"/>
      <c r="G11" s="74"/>
      <c r="H11" s="74"/>
      <c r="I11" s="74"/>
      <c r="J11" s="74"/>
      <c r="K11" s="74"/>
      <c r="L11" s="75"/>
    </row>
    <row r="12" spans="1:12" ht="16.5" customHeight="1" x14ac:dyDescent="0.35">
      <c r="A12" s="28">
        <v>6</v>
      </c>
      <c r="B12" s="74" t="s">
        <v>134</v>
      </c>
      <c r="C12" s="74"/>
      <c r="D12" s="74"/>
      <c r="E12" s="74"/>
      <c r="F12" s="74"/>
      <c r="G12" s="74"/>
      <c r="H12" s="74"/>
      <c r="I12" s="74"/>
      <c r="J12" s="74"/>
      <c r="K12" s="74"/>
      <c r="L12" s="75"/>
    </row>
    <row r="13" spans="1:12" ht="32.5" customHeight="1" x14ac:dyDescent="0.35">
      <c r="A13" s="28">
        <v>7</v>
      </c>
      <c r="B13" s="74" t="s">
        <v>135</v>
      </c>
      <c r="C13" s="74"/>
      <c r="D13" s="74"/>
      <c r="E13" s="74"/>
      <c r="F13" s="74"/>
      <c r="G13" s="74"/>
      <c r="H13" s="74"/>
      <c r="I13" s="74"/>
      <c r="J13" s="74"/>
      <c r="K13" s="74"/>
      <c r="L13" s="75"/>
    </row>
    <row r="14" spans="1:12" ht="32.5" customHeight="1" x14ac:dyDescent="0.35">
      <c r="A14" s="28">
        <v>8</v>
      </c>
      <c r="B14" s="74" t="s">
        <v>136</v>
      </c>
      <c r="C14" s="74"/>
      <c r="D14" s="74"/>
      <c r="E14" s="74"/>
      <c r="F14" s="74"/>
      <c r="G14" s="74"/>
      <c r="H14" s="74"/>
      <c r="I14" s="74"/>
      <c r="J14" s="74"/>
      <c r="K14" s="74"/>
      <c r="L14" s="75"/>
    </row>
    <row r="15" spans="1:12" ht="16.5" customHeight="1" x14ac:dyDescent="0.35">
      <c r="A15" s="28">
        <v>9</v>
      </c>
      <c r="B15" s="74" t="s">
        <v>137</v>
      </c>
      <c r="C15" s="74"/>
      <c r="D15" s="74"/>
      <c r="E15" s="74"/>
      <c r="F15" s="74"/>
      <c r="G15" s="74"/>
      <c r="H15" s="74"/>
      <c r="I15" s="74"/>
      <c r="J15" s="74"/>
      <c r="K15" s="74"/>
      <c r="L15" s="75"/>
    </row>
    <row r="16" spans="1:12" ht="16.5" customHeight="1" x14ac:dyDescent="0.35">
      <c r="A16" s="28">
        <v>10</v>
      </c>
      <c r="B16" s="74" t="s">
        <v>138</v>
      </c>
      <c r="C16" s="74"/>
      <c r="D16" s="74"/>
      <c r="E16" s="74"/>
      <c r="F16" s="74"/>
      <c r="G16" s="74"/>
      <c r="H16" s="74"/>
      <c r="I16" s="74"/>
      <c r="J16" s="74"/>
      <c r="K16" s="74"/>
      <c r="L16" s="75"/>
    </row>
    <row r="17" spans="1:12" ht="16.5" customHeight="1" x14ac:dyDescent="0.35">
      <c r="A17" s="28">
        <v>11</v>
      </c>
      <c r="B17" s="74" t="s">
        <v>56</v>
      </c>
      <c r="C17" s="74"/>
      <c r="D17" s="74"/>
      <c r="E17" s="74"/>
      <c r="F17" s="74"/>
      <c r="G17" s="74"/>
      <c r="H17" s="74"/>
      <c r="I17" s="74"/>
      <c r="J17" s="74"/>
      <c r="K17" s="74"/>
      <c r="L17" s="75"/>
    </row>
    <row r="18" spans="1:12" ht="16.5" customHeight="1" x14ac:dyDescent="0.35">
      <c r="A18" s="28">
        <v>12</v>
      </c>
      <c r="B18" s="76" t="s">
        <v>139</v>
      </c>
      <c r="C18" s="76"/>
      <c r="D18" s="76"/>
      <c r="E18" s="76"/>
      <c r="F18" s="76"/>
      <c r="G18" s="76"/>
      <c r="H18" s="76"/>
      <c r="I18" s="76"/>
      <c r="J18" s="76"/>
      <c r="K18" s="76"/>
      <c r="L18" s="77"/>
    </row>
    <row r="19" spans="1:12" ht="32" customHeight="1" x14ac:dyDescent="0.35">
      <c r="A19" s="28">
        <v>13</v>
      </c>
      <c r="B19" s="78" t="s">
        <v>140</v>
      </c>
      <c r="C19" s="78"/>
      <c r="D19" s="78"/>
      <c r="E19" s="78"/>
      <c r="F19" s="78"/>
      <c r="G19" s="78"/>
      <c r="H19" s="78"/>
      <c r="I19" s="78"/>
      <c r="J19" s="78"/>
      <c r="K19" s="78"/>
      <c r="L19" s="79"/>
    </row>
    <row r="20" spans="1:12" ht="16.5" customHeight="1" x14ac:dyDescent="0.35">
      <c r="B20" s="26"/>
      <c r="C20" s="26"/>
      <c r="D20" s="26"/>
      <c r="E20" s="26"/>
      <c r="F20" s="26"/>
      <c r="G20" s="26"/>
      <c r="H20" s="26"/>
      <c r="I20" s="26"/>
      <c r="J20" s="26"/>
      <c r="K20" s="26"/>
      <c r="L20" s="26"/>
    </row>
    <row r="21" spans="1:12" x14ac:dyDescent="0.35">
      <c r="A21" s="1" t="s">
        <v>75</v>
      </c>
    </row>
    <row r="22" spans="1:12" x14ac:dyDescent="0.35">
      <c r="B22" s="2" t="s">
        <v>76</v>
      </c>
      <c r="C22" t="s">
        <v>77</v>
      </c>
    </row>
    <row r="23" spans="1:12" x14ac:dyDescent="0.35">
      <c r="B23" s="2" t="s">
        <v>125</v>
      </c>
      <c r="C23" t="s">
        <v>143</v>
      </c>
    </row>
    <row r="24" spans="1:12" x14ac:dyDescent="0.35">
      <c r="B24" s="2" t="s">
        <v>126</v>
      </c>
      <c r="C24" t="s">
        <v>144</v>
      </c>
    </row>
    <row r="25" spans="1:12" x14ac:dyDescent="0.35">
      <c r="B25" s="2" t="s">
        <v>129</v>
      </c>
      <c r="C25" t="s">
        <v>145</v>
      </c>
    </row>
    <row r="26" spans="1:12" x14ac:dyDescent="0.35">
      <c r="B26" s="2" t="s">
        <v>128</v>
      </c>
      <c r="C26" t="s">
        <v>146</v>
      </c>
    </row>
    <row r="27" spans="1:12" x14ac:dyDescent="0.35">
      <c r="B27" s="2" t="s">
        <v>78</v>
      </c>
      <c r="C27" t="s">
        <v>79</v>
      </c>
    </row>
    <row r="28" spans="1:12" x14ac:dyDescent="0.35">
      <c r="B28" s="2" t="s">
        <v>80</v>
      </c>
      <c r="C28" t="s">
        <v>81</v>
      </c>
    </row>
    <row r="29" spans="1:12" x14ac:dyDescent="0.35">
      <c r="B29" s="2" t="s">
        <v>147</v>
      </c>
      <c r="C29" t="s">
        <v>148</v>
      </c>
    </row>
    <row r="31" spans="1:12" x14ac:dyDescent="0.35">
      <c r="A31" s="1" t="s">
        <v>51</v>
      </c>
    </row>
    <row r="32" spans="1:12" ht="30.5" customHeight="1" x14ac:dyDescent="0.35">
      <c r="A32" s="70" t="s">
        <v>141</v>
      </c>
      <c r="B32" s="70"/>
      <c r="C32" s="70"/>
      <c r="D32" s="70"/>
      <c r="E32" s="70"/>
      <c r="F32" s="70"/>
      <c r="G32" s="70"/>
      <c r="H32" s="70"/>
      <c r="I32" s="70"/>
      <c r="J32" s="70"/>
      <c r="K32" s="70"/>
      <c r="L32" s="70"/>
    </row>
  </sheetData>
  <mergeCells count="16">
    <mergeCell ref="A4:L4"/>
    <mergeCell ref="B9:L9"/>
    <mergeCell ref="B11:L11"/>
    <mergeCell ref="B12:L12"/>
    <mergeCell ref="B13:L13"/>
    <mergeCell ref="A32:L32"/>
    <mergeCell ref="A6:L6"/>
    <mergeCell ref="B10:L10"/>
    <mergeCell ref="B7:L7"/>
    <mergeCell ref="B8:L8"/>
    <mergeCell ref="B15:L15"/>
    <mergeCell ref="B16:L16"/>
    <mergeCell ref="B17:L17"/>
    <mergeCell ref="B18:L18"/>
    <mergeCell ref="B19:L19"/>
    <mergeCell ref="B14:L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31A4-4057-4FFC-9E67-88CC47D4D79C}">
  <dimension ref="A1:W75"/>
  <sheetViews>
    <sheetView topLeftCell="A19" zoomScale="150" zoomScaleNormal="150" workbookViewId="0">
      <selection activeCell="B41" sqref="B41"/>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2" style="2" customWidth="1"/>
    <col min="18" max="18" width="14.7265625" customWidth="1"/>
    <col min="20" max="20" width="10.90625" customWidth="1"/>
    <col min="23" max="23" width="10.90625" customWidth="1"/>
  </cols>
  <sheetData>
    <row r="1" spans="1:11" x14ac:dyDescent="0.35">
      <c r="A1" s="1" t="s">
        <v>92</v>
      </c>
      <c r="B1" s="1"/>
    </row>
    <row r="2" spans="1:11" x14ac:dyDescent="0.35">
      <c r="A2" s="1"/>
      <c r="B2" s="1"/>
    </row>
    <row r="3" spans="1:11" ht="16.5" customHeight="1" x14ac:dyDescent="0.35">
      <c r="A3" s="26" t="s">
        <v>52</v>
      </c>
      <c r="B3" s="26"/>
      <c r="C3" s="26"/>
      <c r="D3" s="26"/>
      <c r="E3" s="26"/>
      <c r="F3" s="26"/>
      <c r="G3" s="26"/>
      <c r="H3" s="26"/>
      <c r="I3" s="26"/>
      <c r="J3" s="26"/>
      <c r="K3" s="26"/>
    </row>
    <row r="4" spans="1:11" x14ac:dyDescent="0.35">
      <c r="A4" s="17" t="s">
        <v>40</v>
      </c>
      <c r="B4" s="13" t="s">
        <v>44</v>
      </c>
      <c r="C4" s="1" t="s">
        <v>45</v>
      </c>
    </row>
    <row r="5" spans="1:11" x14ac:dyDescent="0.35">
      <c r="A5" s="27" t="s">
        <v>53</v>
      </c>
      <c r="B5" s="52"/>
      <c r="C5" s="83" t="s">
        <v>130</v>
      </c>
      <c r="D5" s="83"/>
      <c r="E5" s="83"/>
      <c r="F5" s="83"/>
      <c r="G5" s="83"/>
      <c r="H5" s="83"/>
    </row>
    <row r="6" spans="1:11" x14ac:dyDescent="0.35">
      <c r="A6" s="16" t="s">
        <v>157</v>
      </c>
      <c r="B6" s="52"/>
      <c r="C6" s="83" t="s">
        <v>130</v>
      </c>
      <c r="D6" s="83"/>
      <c r="E6" s="83"/>
      <c r="F6" s="83"/>
      <c r="G6" s="83"/>
      <c r="H6" s="83"/>
    </row>
    <row r="7" spans="1:11" x14ac:dyDescent="0.35">
      <c r="A7" s="16" t="s">
        <v>158</v>
      </c>
      <c r="B7" s="52"/>
      <c r="C7" s="83" t="s">
        <v>130</v>
      </c>
      <c r="D7" s="83"/>
      <c r="E7" s="83"/>
      <c r="F7" s="83"/>
      <c r="G7" s="83"/>
      <c r="H7" s="83"/>
    </row>
    <row r="8" spans="1:11" x14ac:dyDescent="0.35">
      <c r="A8" s="16" t="s">
        <v>159</v>
      </c>
      <c r="B8" s="52"/>
      <c r="C8" s="83" t="s">
        <v>130</v>
      </c>
      <c r="D8" s="83"/>
      <c r="E8" s="83"/>
      <c r="F8" s="83"/>
      <c r="G8" s="83"/>
      <c r="H8" s="83"/>
    </row>
    <row r="9" spans="1:11" x14ac:dyDescent="0.35">
      <c r="A9" s="16" t="s">
        <v>160</v>
      </c>
      <c r="B9" s="52"/>
      <c r="C9" s="83" t="s">
        <v>192</v>
      </c>
      <c r="D9" s="83"/>
      <c r="E9" s="83"/>
      <c r="F9" s="83"/>
      <c r="G9" s="83"/>
      <c r="H9" s="83"/>
    </row>
    <row r="10" spans="1:11" x14ac:dyDescent="0.35">
      <c r="A10" s="16" t="s">
        <v>43</v>
      </c>
      <c r="B10" s="52"/>
      <c r="C10" s="83" t="s">
        <v>130</v>
      </c>
      <c r="D10" s="83"/>
      <c r="E10" s="83"/>
      <c r="F10" s="83"/>
      <c r="G10" s="83"/>
      <c r="H10" s="83"/>
    </row>
    <row r="11" spans="1:11" x14ac:dyDescent="0.35">
      <c r="A11" s="16"/>
      <c r="B11" s="2"/>
      <c r="C11"/>
    </row>
    <row r="12" spans="1:11" x14ac:dyDescent="0.35">
      <c r="A12" s="19" t="s">
        <v>47</v>
      </c>
      <c r="B12" s="2"/>
      <c r="C12"/>
    </row>
    <row r="13" spans="1:11" x14ac:dyDescent="0.35">
      <c r="A13" s="20" t="s">
        <v>54</v>
      </c>
    </row>
    <row r="14" spans="1:11" x14ac:dyDescent="0.35">
      <c r="A14" s="22" t="s">
        <v>49</v>
      </c>
      <c r="B14" s="19"/>
    </row>
    <row r="15" spans="1:11" x14ac:dyDescent="0.35">
      <c r="A15" s="21" t="s">
        <v>48</v>
      </c>
    </row>
    <row r="17" spans="1:17" x14ac:dyDescent="0.35">
      <c r="A17" s="1" t="s">
        <v>55</v>
      </c>
      <c r="D17" s="81"/>
      <c r="E17" s="82"/>
      <c r="F17" s="82"/>
      <c r="G17" s="82"/>
      <c r="H17" s="82"/>
      <c r="I17" s="82"/>
    </row>
    <row r="19" spans="1:17" x14ac:dyDescent="0.35">
      <c r="A19" s="1" t="s">
        <v>33</v>
      </c>
      <c r="B19" s="13" t="s">
        <v>95</v>
      </c>
      <c r="C19"/>
    </row>
    <row r="20" spans="1:17" x14ac:dyDescent="0.35">
      <c r="A20" t="s">
        <v>93</v>
      </c>
      <c r="B20" s="12">
        <v>6</v>
      </c>
      <c r="C20"/>
      <c r="D20" s="23" t="s">
        <v>96</v>
      </c>
    </row>
    <row r="21" spans="1:17" x14ac:dyDescent="0.35">
      <c r="A21" t="s">
        <v>127</v>
      </c>
      <c r="B21" s="12">
        <v>9.9</v>
      </c>
      <c r="C21"/>
      <c r="D21" s="11" t="s">
        <v>161</v>
      </c>
    </row>
    <row r="23" spans="1:17" s="1" customFormat="1" x14ac:dyDescent="0.35">
      <c r="A23" s="46" t="s">
        <v>36</v>
      </c>
      <c r="B23" s="46" t="s">
        <v>50</v>
      </c>
      <c r="C23" s="47" t="s">
        <v>6</v>
      </c>
      <c r="D23" s="47" t="s">
        <v>7</v>
      </c>
      <c r="E23" s="47" t="s">
        <v>8</v>
      </c>
      <c r="F23" s="47" t="s">
        <v>9</v>
      </c>
      <c r="G23" s="47" t="s">
        <v>10</v>
      </c>
      <c r="H23" s="47" t="s">
        <v>11</v>
      </c>
      <c r="I23" s="47" t="s">
        <v>12</v>
      </c>
      <c r="J23" s="47" t="s">
        <v>13</v>
      </c>
      <c r="K23" s="47" t="s">
        <v>37</v>
      </c>
      <c r="L23" s="47" t="s">
        <v>38</v>
      </c>
      <c r="M23" s="47" t="s">
        <v>90</v>
      </c>
      <c r="Q23" s="13"/>
    </row>
    <row r="24" spans="1:17" x14ac:dyDescent="0.35">
      <c r="A24" s="1" t="s">
        <v>46</v>
      </c>
      <c r="B24" s="1"/>
      <c r="C24" s="45"/>
      <c r="D24" s="45"/>
      <c r="E24" s="45"/>
      <c r="F24" s="45"/>
      <c r="G24" s="45"/>
      <c r="H24" s="45"/>
      <c r="I24" s="45"/>
      <c r="J24" s="45"/>
      <c r="K24" s="45"/>
      <c r="L24" s="45"/>
    </row>
    <row r="25" spans="1:17" x14ac:dyDescent="0.35">
      <c r="A25" s="1" t="s">
        <v>162</v>
      </c>
      <c r="B25" s="1"/>
      <c r="C25" s="14" t="str">
        <f>IF(C$24&lt;&gt;"",$B$21,"")</f>
        <v/>
      </c>
      <c r="D25" s="14" t="str">
        <f t="shared" ref="D25:L25" si="0">IF(D$24&lt;&gt;"",C69,"")</f>
        <v/>
      </c>
      <c r="E25" s="14" t="str">
        <f t="shared" si="0"/>
        <v/>
      </c>
      <c r="F25" s="14" t="str">
        <f t="shared" si="0"/>
        <v/>
      </c>
      <c r="G25" s="14" t="str">
        <f t="shared" si="0"/>
        <v/>
      </c>
      <c r="H25" s="14" t="str">
        <f t="shared" si="0"/>
        <v/>
      </c>
      <c r="I25" s="14" t="str">
        <f t="shared" si="0"/>
        <v/>
      </c>
      <c r="J25" s="14" t="str">
        <f t="shared" si="0"/>
        <v/>
      </c>
      <c r="K25" s="14" t="str">
        <f t="shared" si="0"/>
        <v/>
      </c>
      <c r="L25" s="14" t="str">
        <f t="shared" si="0"/>
        <v/>
      </c>
    </row>
    <row r="26" spans="1:17" x14ac:dyDescent="0.35">
      <c r="A26" t="s">
        <v>165</v>
      </c>
      <c r="B26" s="24">
        <f>4.4/7.5</f>
        <v>0.58666666666666667</v>
      </c>
      <c r="C26" s="14" t="str">
        <f>IF(C$24&lt;&gt;"",1.05+(C$25-C$29-2.3)*B26,"")</f>
        <v/>
      </c>
      <c r="D26" s="14" t="str">
        <f>IF(D24&lt;&gt;"",C64,"")</f>
        <v/>
      </c>
      <c r="E26" s="14" t="str">
        <f t="shared" ref="E26:L26" si="1">IF(E24&lt;&gt;"",D64,"")</f>
        <v/>
      </c>
      <c r="F26" s="14" t="str">
        <f t="shared" si="1"/>
        <v/>
      </c>
      <c r="G26" s="14" t="str">
        <f t="shared" si="1"/>
        <v/>
      </c>
      <c r="H26" s="14" t="str">
        <f t="shared" si="1"/>
        <v/>
      </c>
      <c r="I26" s="14" t="str">
        <f t="shared" si="1"/>
        <v/>
      </c>
      <c r="J26" s="14" t="str">
        <f t="shared" si="1"/>
        <v/>
      </c>
      <c r="K26" s="14" t="str">
        <f t="shared" si="1"/>
        <v/>
      </c>
      <c r="L26" s="14" t="str">
        <f t="shared" si="1"/>
        <v/>
      </c>
      <c r="N26" s="48"/>
    </row>
    <row r="27" spans="1:17" x14ac:dyDescent="0.35">
      <c r="A27" t="s">
        <v>166</v>
      </c>
      <c r="B27" s="24">
        <f>0.3/7.5</f>
        <v>0.04</v>
      </c>
      <c r="C27" s="14" t="str">
        <f>IF(C$24&lt;&gt;"",0.786+(C$25-C$29-2.3)*B27,"")</f>
        <v/>
      </c>
      <c r="D27" s="14" t="str">
        <f t="shared" ref="D27:L30" si="2">IF(D25&lt;&gt;"",C65,"")</f>
        <v/>
      </c>
      <c r="E27" s="14" t="str">
        <f t="shared" si="2"/>
        <v/>
      </c>
      <c r="F27" s="14" t="str">
        <f t="shared" si="2"/>
        <v/>
      </c>
      <c r="G27" s="14" t="str">
        <f t="shared" si="2"/>
        <v/>
      </c>
      <c r="H27" s="14" t="str">
        <f t="shared" si="2"/>
        <v/>
      </c>
      <c r="I27" s="14" t="str">
        <f t="shared" si="2"/>
        <v/>
      </c>
      <c r="J27" s="14" t="str">
        <f t="shared" si="2"/>
        <v/>
      </c>
      <c r="K27" s="14" t="str">
        <f t="shared" si="2"/>
        <v/>
      </c>
      <c r="L27" s="14" t="str">
        <f t="shared" si="2"/>
        <v/>
      </c>
    </row>
    <row r="28" spans="1:17" x14ac:dyDescent="0.35">
      <c r="A28" t="s">
        <v>167</v>
      </c>
      <c r="B28" s="24">
        <f>2.8/7.5</f>
        <v>0.37333333333333329</v>
      </c>
      <c r="C28" s="14" t="str">
        <f>IF(C$24&lt;&gt;"",0.474+(C$25-C$29-2.3)*B28,"")</f>
        <v/>
      </c>
      <c r="D28" s="14" t="str">
        <f t="shared" si="2"/>
        <v/>
      </c>
      <c r="E28" s="14" t="str">
        <f t="shared" si="2"/>
        <v/>
      </c>
      <c r="F28" s="14" t="str">
        <f t="shared" si="2"/>
        <v/>
      </c>
      <c r="G28" s="14" t="str">
        <f t="shared" si="2"/>
        <v/>
      </c>
      <c r="H28" s="14" t="str">
        <f t="shared" si="2"/>
        <v/>
      </c>
      <c r="I28" s="14" t="str">
        <f t="shared" si="2"/>
        <v/>
      </c>
      <c r="J28" s="14" t="str">
        <f t="shared" si="2"/>
        <v/>
      </c>
      <c r="K28" s="14" t="str">
        <f t="shared" si="2"/>
        <v/>
      </c>
      <c r="L28" s="14" t="str">
        <f t="shared" si="2"/>
        <v/>
      </c>
    </row>
    <row r="29" spans="1:17" x14ac:dyDescent="0.35">
      <c r="A29" t="s">
        <v>168</v>
      </c>
      <c r="B29" s="58">
        <v>0</v>
      </c>
      <c r="C29" s="14" t="str">
        <f>IF(C$24&lt;&gt;"",B29,"")</f>
        <v/>
      </c>
      <c r="D29" s="14" t="str">
        <f t="shared" si="2"/>
        <v/>
      </c>
      <c r="E29" s="14" t="str">
        <f t="shared" si="2"/>
        <v/>
      </c>
      <c r="F29" s="14" t="str">
        <f t="shared" si="2"/>
        <v/>
      </c>
      <c r="G29" s="14" t="str">
        <f t="shared" si="2"/>
        <v/>
      </c>
      <c r="H29" s="14" t="str">
        <f t="shared" si="2"/>
        <v/>
      </c>
      <c r="I29" s="14" t="str">
        <f t="shared" si="2"/>
        <v/>
      </c>
      <c r="J29" s="14" t="str">
        <f t="shared" si="2"/>
        <v/>
      </c>
      <c r="K29" s="14" t="str">
        <f t="shared" si="2"/>
        <v/>
      </c>
      <c r="L29" s="14" t="str">
        <f t="shared" si="2"/>
        <v/>
      </c>
    </row>
    <row r="30" spans="1:17" x14ac:dyDescent="0.35">
      <c r="A30" t="s">
        <v>32</v>
      </c>
      <c r="B30" s="62">
        <v>0</v>
      </c>
      <c r="C30" s="14" t="str">
        <f>IF(C$24&lt;&gt;"",B30,"")</f>
        <v/>
      </c>
      <c r="D30" s="14" t="str">
        <f t="shared" si="2"/>
        <v/>
      </c>
      <c r="E30" s="14" t="str">
        <f t="shared" si="2"/>
        <v/>
      </c>
      <c r="F30" s="14" t="str">
        <f t="shared" si="2"/>
        <v/>
      </c>
      <c r="G30" s="14" t="str">
        <f t="shared" si="2"/>
        <v/>
      </c>
      <c r="H30" s="14" t="str">
        <f t="shared" si="2"/>
        <v/>
      </c>
      <c r="I30" s="14" t="str">
        <f t="shared" si="2"/>
        <v/>
      </c>
      <c r="J30" s="14" t="str">
        <f t="shared" si="2"/>
        <v/>
      </c>
      <c r="K30" s="14" t="str">
        <f t="shared" si="2"/>
        <v/>
      </c>
      <c r="L30" s="14" t="str">
        <f t="shared" si="2"/>
        <v/>
      </c>
    </row>
    <row r="31" spans="1:17" x14ac:dyDescent="0.35">
      <c r="A31" s="1" t="s">
        <v>188</v>
      </c>
      <c r="B31" s="1"/>
      <c r="C31" s="14" t="str">
        <f>IF(C$24&lt;&gt;"", $B$20*VLOOKUP(C$25*1000000,'Mead-Elevation-Area'!$B$5:$D$676,3)/1000000,"")</f>
        <v/>
      </c>
      <c r="D31" s="14" t="str">
        <f>IF(D$24&lt;&gt;"", $B$20*VLOOKUP(D$25*1000000,'Mead-Elevation-Area'!$B$5:$D$676,3)/1000000,"")</f>
        <v/>
      </c>
      <c r="E31" s="14" t="str">
        <f>IF(E$24&lt;&gt;"", $B$20*VLOOKUP(E$25*1000000,'Mead-Elevation-Area'!$B$5:$D$676,3)/1000000,"")</f>
        <v/>
      </c>
      <c r="F31" s="14" t="str">
        <f>IF(F$24&lt;&gt;"", $B$20*VLOOKUP(F$25*1000000,'Mead-Elevation-Area'!$B$5:$D$676,3)/1000000,"")</f>
        <v/>
      </c>
      <c r="G31" s="14" t="str">
        <f>IF(G$24&lt;&gt;"", $B$20*VLOOKUP(G$25*1000000,'Mead-Elevation-Area'!$B$5:$D$676,3)/1000000,"")</f>
        <v/>
      </c>
      <c r="H31" s="14" t="str">
        <f>IF(H$24&lt;&gt;"", $B$20*VLOOKUP(H$25*1000000,'Mead-Elevation-Area'!$B$5:$D$676,3)/1000000,"")</f>
        <v/>
      </c>
      <c r="I31" s="14" t="str">
        <f>IF(I$24&lt;&gt;"", $B$20*VLOOKUP(I$25*1000000,'Mead-Elevation-Area'!$B$5:$D$676,3)/1000000,"")</f>
        <v/>
      </c>
      <c r="J31" s="14" t="str">
        <f>IF(J$24&lt;&gt;"", $B$20*VLOOKUP(J$25*1000000,'Mead-Elevation-Area'!$B$5:$D$676,3)/1000000,"")</f>
        <v/>
      </c>
      <c r="K31" s="14" t="str">
        <f>IF(K$24&lt;&gt;"", $B$20*VLOOKUP(K$25*1000000,'Mead-Elevation-Area'!$B$5:$D$676,3)/1000000,"")</f>
        <v/>
      </c>
      <c r="L31" s="14" t="str">
        <f>IF(L$24&lt;&gt;"", $B$20*VLOOKUP(L$25*1000000,'Mead-Elevation-Area'!$B$5:$D$676,3)/1000000,"")</f>
        <v/>
      </c>
    </row>
    <row r="32" spans="1:17" x14ac:dyDescent="0.35">
      <c r="A32" t="s">
        <v>169</v>
      </c>
      <c r="B32" s="51"/>
      <c r="C32" s="14" t="str">
        <f t="shared" ref="C32:L32" si="3">IF(C$24&lt;&gt;"",C$31*C26/C$25,"")</f>
        <v/>
      </c>
      <c r="D32" s="14" t="str">
        <f t="shared" si="3"/>
        <v/>
      </c>
      <c r="E32" s="14" t="str">
        <f t="shared" si="3"/>
        <v/>
      </c>
      <c r="F32" s="14" t="str">
        <f t="shared" si="3"/>
        <v/>
      </c>
      <c r="G32" s="14" t="str">
        <f t="shared" si="3"/>
        <v/>
      </c>
      <c r="H32" s="14" t="str">
        <f t="shared" si="3"/>
        <v/>
      </c>
      <c r="I32" s="14" t="str">
        <f t="shared" si="3"/>
        <v/>
      </c>
      <c r="J32" s="14" t="str">
        <f t="shared" si="3"/>
        <v/>
      </c>
      <c r="K32" s="14" t="str">
        <f t="shared" si="3"/>
        <v/>
      </c>
      <c r="L32" s="14" t="str">
        <f t="shared" si="3"/>
        <v/>
      </c>
    </row>
    <row r="33" spans="1:14" x14ac:dyDescent="0.35">
      <c r="A33" t="s">
        <v>170</v>
      </c>
      <c r="B33" s="51"/>
      <c r="C33" s="14" t="str">
        <f t="shared" ref="C33:L33" si="4">IF(C$24&lt;&gt;"",C$31*C27/C$25,"")</f>
        <v/>
      </c>
      <c r="D33" s="14" t="str">
        <f t="shared" si="4"/>
        <v/>
      </c>
      <c r="E33" s="14" t="str">
        <f t="shared" si="4"/>
        <v/>
      </c>
      <c r="F33" s="14" t="str">
        <f t="shared" si="4"/>
        <v/>
      </c>
      <c r="G33" s="14" t="str">
        <f t="shared" si="4"/>
        <v/>
      </c>
      <c r="H33" s="14" t="str">
        <f t="shared" si="4"/>
        <v/>
      </c>
      <c r="I33" s="14" t="str">
        <f t="shared" si="4"/>
        <v/>
      </c>
      <c r="J33" s="14" t="str">
        <f t="shared" si="4"/>
        <v/>
      </c>
      <c r="K33" s="14" t="str">
        <f t="shared" si="4"/>
        <v/>
      </c>
      <c r="L33" s="14" t="str">
        <f t="shared" si="4"/>
        <v/>
      </c>
    </row>
    <row r="34" spans="1:14" x14ac:dyDescent="0.35">
      <c r="A34" t="s">
        <v>171</v>
      </c>
      <c r="B34" s="51"/>
      <c r="C34" s="14" t="str">
        <f t="shared" ref="C34:L34" si="5">IF(C$24&lt;&gt;"",C$31*C28/C$25,"")</f>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row>
    <row r="35" spans="1:14" x14ac:dyDescent="0.35">
      <c r="A35" t="s">
        <v>172</v>
      </c>
      <c r="B35" s="1"/>
      <c r="C35" s="14" t="str">
        <f t="shared" ref="C35:L35" si="6">IF(C$24&lt;&gt;"",C$31*C29/C$25,"")</f>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t="s">
        <v>84</v>
      </c>
      <c r="B36" s="1"/>
      <c r="C36" s="14" t="str">
        <f t="shared" ref="C36:L36" si="7">IF(C$24&lt;&gt;"",C$31*C30/C$25,"")</f>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row>
    <row r="37" spans="1:14" x14ac:dyDescent="0.35">
      <c r="A37" s="1" t="s">
        <v>173</v>
      </c>
      <c r="B37" s="1"/>
      <c r="C37" s="14" t="str">
        <f t="shared" ref="C37:L37" si="8">IF(C$24&lt;&gt;"",C24-C31,"")</f>
        <v/>
      </c>
      <c r="D37" s="14" t="str">
        <f t="shared" si="8"/>
        <v/>
      </c>
      <c r="E37" s="14" t="str">
        <f t="shared" si="8"/>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174</v>
      </c>
      <c r="B38" s="24">
        <f>4.4/7.5</f>
        <v>0.58666666666666667</v>
      </c>
      <c r="C38" s="14" t="str">
        <f>IF(C$24&lt;&gt;"",IF(C$37&lt;$B$41,0,(C$37-SUM(C$41,C$42))*$B38),"")</f>
        <v/>
      </c>
      <c r="D38" s="14" t="str">
        <f t="shared" ref="D38:L38" si="9">IF(D$24&lt;&gt;"",IF(D$37&lt;$B$41,0,(D$37-SUM(D$41,D$42))*$B38),"")</f>
        <v/>
      </c>
      <c r="E38" s="14" t="str">
        <f t="shared" si="9"/>
        <v/>
      </c>
      <c r="F38" s="14" t="str">
        <f t="shared" si="9"/>
        <v/>
      </c>
      <c r="G38" s="14" t="str">
        <f t="shared" si="9"/>
        <v/>
      </c>
      <c r="H38" s="14" t="str">
        <f t="shared" si="9"/>
        <v/>
      </c>
      <c r="I38" s="14" t="str">
        <f t="shared" si="9"/>
        <v/>
      </c>
      <c r="J38" s="14" t="str">
        <f t="shared" si="9"/>
        <v/>
      </c>
      <c r="K38" s="14" t="str">
        <f t="shared" si="9"/>
        <v/>
      </c>
      <c r="L38" s="14" t="str">
        <f t="shared" si="9"/>
        <v/>
      </c>
      <c r="M38" s="48"/>
      <c r="N38" s="48"/>
    </row>
    <row r="39" spans="1:14" x14ac:dyDescent="0.35">
      <c r="A39" t="s">
        <v>175</v>
      </c>
      <c r="B39" s="24">
        <f>0.3/7.5</f>
        <v>0.04</v>
      </c>
      <c r="C39" s="14" t="str">
        <f t="shared" ref="C39:L40" si="10">IF(C$24&lt;&gt;"",IF(C$37&lt;$B$41,0,(C$37-SUM(C$41,C$42))*$B39),"")</f>
        <v/>
      </c>
      <c r="D39" s="14" t="str">
        <f t="shared" si="10"/>
        <v/>
      </c>
      <c r="E39" s="14" t="str">
        <f t="shared" si="10"/>
        <v/>
      </c>
      <c r="F39" s="14" t="str">
        <f t="shared" si="10"/>
        <v/>
      </c>
      <c r="G39" s="14" t="str">
        <f t="shared" si="10"/>
        <v/>
      </c>
      <c r="H39" s="14" t="str">
        <f t="shared" si="10"/>
        <v/>
      </c>
      <c r="I39" s="14" t="str">
        <f t="shared" si="10"/>
        <v/>
      </c>
      <c r="J39" s="14" t="str">
        <f t="shared" si="10"/>
        <v/>
      </c>
      <c r="K39" s="14" t="str">
        <f t="shared" si="10"/>
        <v/>
      </c>
      <c r="L39" s="14" t="str">
        <f t="shared" si="10"/>
        <v/>
      </c>
    </row>
    <row r="40" spans="1:14" x14ac:dyDescent="0.35">
      <c r="A40" t="s">
        <v>176</v>
      </c>
      <c r="B40" s="24">
        <f>2.8/7.5</f>
        <v>0.37333333333333329</v>
      </c>
      <c r="C40" s="14" t="str">
        <f t="shared" si="10"/>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
        <v>177</v>
      </c>
      <c r="B41" s="59">
        <f>0.6 +0.22/5</f>
        <v>0.64400000000000002</v>
      </c>
      <c r="C41" s="14" t="str">
        <f>IF(C$24&lt;&gt;"",IF(C37&gt;$B41,$B41,C37),"")</f>
        <v/>
      </c>
      <c r="D41" s="14" t="str">
        <f t="shared" ref="D41:L41" si="11">IF(D$24&lt;&gt;"",IF(D37&gt;$B41,$B41,D37),"")</f>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
        <v>178</v>
      </c>
      <c r="B42" s="24">
        <f>1.5/9</f>
        <v>0.16666666666666666</v>
      </c>
      <c r="C42" s="14" t="str">
        <f>IF(C$24&lt;&gt;"",IF(C$37&lt;$B$41,0,C62),"")</f>
        <v/>
      </c>
      <c r="D42" s="14" t="str">
        <f t="shared" ref="D42:L42" si="12">IF(D$24&lt;&gt;"",IF(D$37&lt;$B$41,0,D62),"")</f>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s="1" t="s">
        <v>179</v>
      </c>
      <c r="C43"/>
    </row>
    <row r="44" spans="1:14" x14ac:dyDescent="0.35">
      <c r="A44" s="31" t="s">
        <v>180</v>
      </c>
      <c r="B44" s="1"/>
      <c r="C44" s="43"/>
      <c r="D44" s="43"/>
      <c r="E44" s="43"/>
      <c r="F44" s="43"/>
      <c r="G44" s="43"/>
      <c r="H44" s="43"/>
      <c r="I44" s="43"/>
      <c r="J44" s="43"/>
      <c r="K44" s="43"/>
      <c r="L44" s="43"/>
      <c r="M44" s="60">
        <f>SUMPRODUCT(C44:L44,C$50:L$50)</f>
        <v>0</v>
      </c>
    </row>
    <row r="45" spans="1:14" x14ac:dyDescent="0.35">
      <c r="A45" s="31" t="s">
        <v>181</v>
      </c>
      <c r="B45" s="1"/>
      <c r="C45" s="61"/>
      <c r="D45" s="61"/>
      <c r="E45" s="61"/>
      <c r="F45" s="61"/>
      <c r="G45" s="61"/>
      <c r="H45" s="61"/>
      <c r="I45" s="61"/>
      <c r="J45" s="61"/>
      <c r="K45" s="61"/>
      <c r="L45" s="61"/>
      <c r="M45" s="60">
        <f>SUMPRODUCT(C45:L45,C$50:L$50)</f>
        <v>0</v>
      </c>
    </row>
    <row r="46" spans="1:14" x14ac:dyDescent="0.35">
      <c r="A46" s="31" t="s">
        <v>182</v>
      </c>
      <c r="B46" s="1"/>
      <c r="C46" s="43"/>
      <c r="D46" s="43"/>
      <c r="E46" s="43"/>
      <c r="F46" s="43"/>
      <c r="G46" s="43"/>
      <c r="H46" s="43"/>
      <c r="I46" s="43"/>
      <c r="J46" s="43"/>
      <c r="K46" s="43"/>
      <c r="L46" s="43"/>
      <c r="M46" s="60">
        <f>SUMPRODUCT(C46:L46,C$50:L$50)</f>
        <v>0</v>
      </c>
    </row>
    <row r="47" spans="1:14" x14ac:dyDescent="0.35">
      <c r="A47" s="31" t="s">
        <v>183</v>
      </c>
      <c r="B47" s="1"/>
      <c r="C47" s="43"/>
      <c r="D47" s="43"/>
      <c r="E47" s="43"/>
      <c r="F47" s="43"/>
      <c r="G47" s="43"/>
      <c r="H47" s="43"/>
      <c r="I47" s="43"/>
      <c r="J47" s="43"/>
      <c r="K47" s="43"/>
      <c r="L47" s="43"/>
      <c r="M47" s="60">
        <f>SUMPRODUCT(C47:L47,C$50:L$50)</f>
        <v>0</v>
      </c>
    </row>
    <row r="48" spans="1:14" x14ac:dyDescent="0.35">
      <c r="A48" s="31" t="s">
        <v>4</v>
      </c>
      <c r="B48" s="1"/>
      <c r="C48" s="43"/>
      <c r="D48" s="43"/>
      <c r="E48" s="43"/>
      <c r="F48" s="43"/>
      <c r="G48" s="43"/>
      <c r="H48" s="43"/>
      <c r="I48" s="43"/>
      <c r="J48" s="43"/>
      <c r="K48" s="43"/>
      <c r="L48" s="43"/>
      <c r="M48" s="60">
        <f>SUMPRODUCT(C48:L48,C$50:L$50)</f>
        <v>0</v>
      </c>
    </row>
    <row r="49" spans="1:23" x14ac:dyDescent="0.35">
      <c r="A49" s="31" t="s">
        <v>185</v>
      </c>
      <c r="B49" s="1"/>
      <c r="C49" s="60" t="str">
        <f>IF(C$24&lt;&gt;"",SUM(C44:C48),"")</f>
        <v/>
      </c>
      <c r="D49" s="60" t="str">
        <f>IF(D$24&lt;&gt;"",SUM(D44:D48),"")</f>
        <v/>
      </c>
      <c r="E49" s="60" t="str">
        <f t="shared" ref="E49:L49" si="13">IF(E$24&lt;&gt;"",SUM(E44:E48),"")</f>
        <v/>
      </c>
      <c r="F49" s="60" t="str">
        <f t="shared" si="13"/>
        <v/>
      </c>
      <c r="G49" s="60" t="str">
        <f t="shared" si="13"/>
        <v/>
      </c>
      <c r="H49" s="60" t="str">
        <f t="shared" si="13"/>
        <v/>
      </c>
      <c r="I49" s="60" t="str">
        <f t="shared" si="13"/>
        <v/>
      </c>
      <c r="J49" s="60" t="str">
        <f t="shared" si="13"/>
        <v/>
      </c>
      <c r="K49" s="60" t="str">
        <f t="shared" si="13"/>
        <v/>
      </c>
      <c r="L49" s="60" t="str">
        <f t="shared" si="13"/>
        <v/>
      </c>
    </row>
    <row r="50" spans="1:23" x14ac:dyDescent="0.35">
      <c r="A50" s="31" t="s">
        <v>184</v>
      </c>
      <c r="B50" s="1"/>
      <c r="C50" s="30"/>
      <c r="D50" s="30"/>
      <c r="E50" s="30"/>
      <c r="F50" s="30"/>
      <c r="G50" s="30"/>
      <c r="H50" s="30"/>
      <c r="I50" s="30"/>
      <c r="J50" s="30"/>
      <c r="K50" s="30"/>
      <c r="L50" s="30"/>
    </row>
    <row r="51" spans="1:23" x14ac:dyDescent="0.35">
      <c r="A51" s="1" t="s">
        <v>106</v>
      </c>
      <c r="B51" s="1"/>
      <c r="C51"/>
    </row>
    <row r="52" spans="1:23" x14ac:dyDescent="0.35">
      <c r="A52" s="31" t="s">
        <v>180</v>
      </c>
      <c r="C52" s="14" t="str">
        <f t="shared" ref="C52:L52" si="14">IF(C$24&lt;&gt;"",C26+C38-C44,"")</f>
        <v/>
      </c>
      <c r="D52" s="14" t="str">
        <f t="shared" si="14"/>
        <v/>
      </c>
      <c r="E52" s="14" t="str">
        <f t="shared" si="14"/>
        <v/>
      </c>
      <c r="F52" s="14" t="str">
        <f t="shared" si="14"/>
        <v/>
      </c>
      <c r="G52" s="14" t="str">
        <f t="shared" si="14"/>
        <v/>
      </c>
      <c r="H52" s="14" t="str">
        <f t="shared" si="14"/>
        <v/>
      </c>
      <c r="I52" s="14" t="str">
        <f t="shared" si="14"/>
        <v/>
      </c>
      <c r="J52" s="14" t="str">
        <f t="shared" si="14"/>
        <v/>
      </c>
      <c r="K52" s="14" t="str">
        <f t="shared" si="14"/>
        <v/>
      </c>
      <c r="L52" s="14" t="str">
        <f t="shared" si="14"/>
        <v/>
      </c>
    </row>
    <row r="53" spans="1:23" x14ac:dyDescent="0.35">
      <c r="A53" s="31" t="s">
        <v>181</v>
      </c>
      <c r="C53" s="14" t="str">
        <f t="shared" ref="C53:L53" si="15">IF(C$24&lt;&gt;"",C27+C39-C45,"")</f>
        <v/>
      </c>
      <c r="D53" s="14" t="str">
        <f t="shared" si="15"/>
        <v/>
      </c>
      <c r="E53" s="14" t="str">
        <f t="shared" si="15"/>
        <v/>
      </c>
      <c r="F53" s="14" t="str">
        <f t="shared" si="15"/>
        <v/>
      </c>
      <c r="G53" s="14" t="str">
        <f t="shared" si="15"/>
        <v/>
      </c>
      <c r="H53" s="14" t="str">
        <f t="shared" si="15"/>
        <v/>
      </c>
      <c r="I53" s="14" t="str">
        <f t="shared" si="15"/>
        <v/>
      </c>
      <c r="J53" s="14" t="str">
        <f t="shared" si="15"/>
        <v/>
      </c>
      <c r="K53" s="14" t="str">
        <f t="shared" si="15"/>
        <v/>
      </c>
      <c r="L53" s="14" t="str">
        <f t="shared" si="15"/>
        <v/>
      </c>
    </row>
    <row r="54" spans="1:23" x14ac:dyDescent="0.35">
      <c r="A54" s="31" t="s">
        <v>182</v>
      </c>
      <c r="C54" s="14" t="str">
        <f t="shared" ref="C54:L54" si="16">IF(C$24&lt;&gt;"",C28+C40-C46,"")</f>
        <v/>
      </c>
      <c r="D54" s="14" t="str">
        <f t="shared" si="16"/>
        <v/>
      </c>
      <c r="E54" s="14" t="str">
        <f t="shared" si="16"/>
        <v/>
      </c>
      <c r="F54" s="14" t="str">
        <f t="shared" si="16"/>
        <v/>
      </c>
      <c r="G54" s="14" t="str">
        <f t="shared" si="16"/>
        <v/>
      </c>
      <c r="H54" s="14" t="str">
        <f t="shared" si="16"/>
        <v/>
      </c>
      <c r="I54" s="14" t="str">
        <f t="shared" si="16"/>
        <v/>
      </c>
      <c r="J54" s="14" t="str">
        <f t="shared" si="16"/>
        <v/>
      </c>
      <c r="K54" s="14" t="str">
        <f t="shared" si="16"/>
        <v/>
      </c>
      <c r="L54" s="14" t="str">
        <f t="shared" si="16"/>
        <v/>
      </c>
    </row>
    <row r="55" spans="1:23" x14ac:dyDescent="0.35">
      <c r="A55" s="31" t="s">
        <v>183</v>
      </c>
      <c r="C55" s="14" t="str">
        <f t="shared" ref="C55:L55" si="17">IF(C$24&lt;&gt;"",C29+C41-C47,"")</f>
        <v/>
      </c>
      <c r="D55" s="14" t="str">
        <f t="shared" si="17"/>
        <v/>
      </c>
      <c r="E55" s="14" t="str">
        <f t="shared" si="17"/>
        <v/>
      </c>
      <c r="F55" s="14" t="str">
        <f t="shared" si="17"/>
        <v/>
      </c>
      <c r="G55" s="14" t="str">
        <f t="shared" si="17"/>
        <v/>
      </c>
      <c r="H55" s="14" t="str">
        <f t="shared" si="17"/>
        <v/>
      </c>
      <c r="I55" s="14" t="str">
        <f t="shared" si="17"/>
        <v/>
      </c>
      <c r="J55" s="14" t="str">
        <f t="shared" si="17"/>
        <v/>
      </c>
      <c r="K55" s="14" t="str">
        <f t="shared" si="17"/>
        <v/>
      </c>
      <c r="L55" s="14" t="str">
        <f t="shared" si="17"/>
        <v/>
      </c>
    </row>
    <row r="56" spans="1:23" x14ac:dyDescent="0.35">
      <c r="A56" s="31" t="s">
        <v>4</v>
      </c>
      <c r="C56" s="14" t="str">
        <f t="shared" ref="C56:L56" si="18">IF(C$24&lt;&gt;"",C30+C42-C48,"")</f>
        <v/>
      </c>
      <c r="D56" s="14" t="str">
        <f t="shared" si="18"/>
        <v/>
      </c>
      <c r="E56" s="14" t="str">
        <f t="shared" si="18"/>
        <v/>
      </c>
      <c r="F56" s="14" t="str">
        <f t="shared" si="18"/>
        <v/>
      </c>
      <c r="G56" s="14" t="str">
        <f t="shared" si="18"/>
        <v/>
      </c>
      <c r="H56" s="14" t="str">
        <f t="shared" si="18"/>
        <v/>
      </c>
      <c r="I56" s="14" t="str">
        <f t="shared" si="18"/>
        <v/>
      </c>
      <c r="J56" s="14" t="str">
        <f t="shared" si="18"/>
        <v/>
      </c>
      <c r="K56" s="14" t="str">
        <f t="shared" si="18"/>
        <v/>
      </c>
      <c r="L56" s="14" t="str">
        <f t="shared" si="18"/>
        <v/>
      </c>
    </row>
    <row r="57" spans="1:23" x14ac:dyDescent="0.35">
      <c r="A57" s="1" t="s">
        <v>118</v>
      </c>
      <c r="B57" s="1"/>
      <c r="C57" s="29"/>
      <c r="D57" s="2"/>
      <c r="E57" s="2"/>
      <c r="F57" s="2"/>
      <c r="G57" s="2"/>
      <c r="H57" s="2"/>
      <c r="I57" s="2"/>
      <c r="J57" s="2"/>
      <c r="K57" s="2"/>
      <c r="L57" s="2"/>
    </row>
    <row r="58" spans="1:23" x14ac:dyDescent="0.35">
      <c r="A58" s="31" t="s">
        <v>180</v>
      </c>
      <c r="C58" s="43"/>
      <c r="D58" s="43"/>
      <c r="E58" s="43"/>
      <c r="F58" s="43"/>
      <c r="G58" s="43"/>
      <c r="H58" s="43"/>
      <c r="I58" s="43"/>
      <c r="J58" s="43"/>
      <c r="K58" s="43"/>
      <c r="L58" s="43"/>
      <c r="N58" s="1" t="s">
        <v>111</v>
      </c>
    </row>
    <row r="59" spans="1:23" x14ac:dyDescent="0.35">
      <c r="A59" s="31" t="s">
        <v>181</v>
      </c>
      <c r="C59" s="43"/>
      <c r="D59" s="43"/>
      <c r="E59" s="43"/>
      <c r="F59" s="43"/>
      <c r="G59" s="43"/>
      <c r="H59" s="43"/>
      <c r="I59" s="43"/>
      <c r="J59" s="43"/>
      <c r="K59" s="43"/>
      <c r="L59" s="43"/>
      <c r="N59" s="37" t="s">
        <v>112</v>
      </c>
      <c r="O59" s="37" t="s">
        <v>113</v>
      </c>
      <c r="P59" s="38" t="s">
        <v>189</v>
      </c>
      <c r="Q59" s="37" t="s">
        <v>190</v>
      </c>
      <c r="R59" s="68" t="s">
        <v>191</v>
      </c>
      <c r="S59" s="38" t="s">
        <v>114</v>
      </c>
      <c r="T59" s="57" t="s">
        <v>150</v>
      </c>
      <c r="U59" s="37" t="s">
        <v>116</v>
      </c>
      <c r="V59" s="55" t="s">
        <v>149</v>
      </c>
      <c r="W59" s="55" t="s">
        <v>151</v>
      </c>
    </row>
    <row r="60" spans="1:23" x14ac:dyDescent="0.35">
      <c r="A60" s="31" t="s">
        <v>182</v>
      </c>
      <c r="C60" s="43"/>
      <c r="D60" s="43"/>
      <c r="E60" s="43"/>
      <c r="F60" s="43"/>
      <c r="G60" s="43"/>
      <c r="H60" s="43"/>
      <c r="I60" s="43"/>
      <c r="J60" s="43"/>
      <c r="K60" s="43"/>
      <c r="L60" s="43"/>
      <c r="N60" s="37" t="s">
        <v>193</v>
      </c>
      <c r="O60" s="40">
        <v>2</v>
      </c>
      <c r="P60" s="56">
        <v>350000</v>
      </c>
      <c r="Q60" s="56">
        <v>30000</v>
      </c>
      <c r="R60" s="56">
        <v>720000</v>
      </c>
      <c r="S60" s="41">
        <f>U60-T60</f>
        <v>1.2000000000000002</v>
      </c>
      <c r="T60" s="53">
        <v>0.15</v>
      </c>
      <c r="U60" s="41">
        <f t="shared" ref="U60:U68" si="19">W60/1000000</f>
        <v>1.35</v>
      </c>
      <c r="V60" s="42">
        <v>0.125</v>
      </c>
      <c r="W60" s="56">
        <v>1350000</v>
      </c>
    </row>
    <row r="61" spans="1:23" x14ac:dyDescent="0.35">
      <c r="A61" s="31" t="s">
        <v>183</v>
      </c>
      <c r="C61" s="43"/>
      <c r="D61" s="43"/>
      <c r="E61" s="43"/>
      <c r="F61" s="43"/>
      <c r="G61" s="43"/>
      <c r="H61" s="43"/>
      <c r="I61" s="43"/>
      <c r="J61" s="43"/>
      <c r="K61" s="43"/>
      <c r="L61" s="43"/>
      <c r="N61" s="39">
        <v>1025</v>
      </c>
      <c r="O61" s="40">
        <v>5.981122</v>
      </c>
      <c r="P61" s="56">
        <v>350000</v>
      </c>
      <c r="Q61" s="56">
        <v>30000</v>
      </c>
      <c r="R61" s="56">
        <v>720000</v>
      </c>
      <c r="S61" s="41">
        <f>U61-T61</f>
        <v>1.2000000000000002</v>
      </c>
      <c r="T61" s="53">
        <v>0.15</v>
      </c>
      <c r="U61" s="41">
        <f t="shared" si="19"/>
        <v>1.35</v>
      </c>
      <c r="V61" s="42">
        <v>0.125</v>
      </c>
      <c r="W61" s="56">
        <v>1350000</v>
      </c>
    </row>
    <row r="62" spans="1:23" x14ac:dyDescent="0.35">
      <c r="A62" s="31" t="s">
        <v>4</v>
      </c>
      <c r="C62" s="43"/>
      <c r="D62" s="43"/>
      <c r="E62" s="43"/>
      <c r="F62" s="43"/>
      <c r="G62" s="43"/>
      <c r="H62" s="43"/>
      <c r="I62" s="43"/>
      <c r="J62" s="43"/>
      <c r="K62" s="43"/>
      <c r="L62" s="43"/>
      <c r="N62" s="39">
        <v>1030</v>
      </c>
      <c r="O62" s="40">
        <v>6.305377</v>
      </c>
      <c r="P62" s="56">
        <v>350000</v>
      </c>
      <c r="Q62" s="56">
        <v>27000</v>
      </c>
      <c r="R62" s="56">
        <v>640000</v>
      </c>
      <c r="S62" s="41">
        <f t="shared" ref="S62:S68" si="20">U62-T62</f>
        <v>1.117</v>
      </c>
      <c r="T62" s="53">
        <v>0.10100000000000001</v>
      </c>
      <c r="U62" s="41">
        <f t="shared" si="19"/>
        <v>1.218</v>
      </c>
      <c r="V62" s="42">
        <v>7.0000000000000007E-2</v>
      </c>
      <c r="W62" s="56">
        <v>1218000</v>
      </c>
    </row>
    <row r="63" spans="1:23" x14ac:dyDescent="0.35">
      <c r="A63" s="1" t="s">
        <v>5</v>
      </c>
      <c r="B63" s="1"/>
      <c r="D63" s="2"/>
      <c r="E63" s="2"/>
      <c r="F63" s="2"/>
      <c r="G63" s="2"/>
      <c r="H63" s="2"/>
      <c r="I63" s="2"/>
      <c r="J63" s="2"/>
      <c r="K63" s="2"/>
      <c r="L63" s="2"/>
      <c r="N63" s="39">
        <v>1035</v>
      </c>
      <c r="O63" s="40">
        <v>6.6375080000000004</v>
      </c>
      <c r="P63" s="56">
        <v>300000</v>
      </c>
      <c r="Q63" s="56">
        <v>27000</v>
      </c>
      <c r="R63" s="56">
        <v>640000</v>
      </c>
      <c r="S63" s="41">
        <f t="shared" si="20"/>
        <v>1.0669999999999999</v>
      </c>
      <c r="T63" s="53">
        <v>9.1999999999999998E-2</v>
      </c>
      <c r="U63" s="41">
        <f t="shared" si="19"/>
        <v>1.159</v>
      </c>
      <c r="V63" s="42">
        <v>7.0000000000000007E-2</v>
      </c>
      <c r="W63" s="56">
        <v>1159000</v>
      </c>
    </row>
    <row r="64" spans="1:23" x14ac:dyDescent="0.35">
      <c r="A64" s="31" t="s">
        <v>180</v>
      </c>
      <c r="C64" s="14" t="str">
        <f>IF(C$24&lt;&gt;"",C52-C58,"")</f>
        <v/>
      </c>
      <c r="D64" s="14" t="str">
        <f t="shared" ref="D64:L64" si="21">IF(D$24&lt;&gt;"",D52-D58,"")</f>
        <v/>
      </c>
      <c r="E64" s="14" t="str">
        <f t="shared" si="21"/>
        <v/>
      </c>
      <c r="F64" s="14" t="str">
        <f t="shared" si="21"/>
        <v/>
      </c>
      <c r="G64" s="14" t="str">
        <f t="shared" si="21"/>
        <v/>
      </c>
      <c r="H64" s="14" t="str">
        <f t="shared" si="21"/>
        <v/>
      </c>
      <c r="I64" s="14" t="str">
        <f t="shared" si="21"/>
        <v/>
      </c>
      <c r="J64" s="14" t="str">
        <f t="shared" si="21"/>
        <v/>
      </c>
      <c r="K64" s="14" t="str">
        <f t="shared" si="21"/>
        <v/>
      </c>
      <c r="L64" s="14" t="str">
        <f t="shared" si="21"/>
        <v/>
      </c>
      <c r="N64" s="39">
        <v>1040</v>
      </c>
      <c r="O64" s="40">
        <v>6.977665</v>
      </c>
      <c r="P64" s="56">
        <v>250000</v>
      </c>
      <c r="Q64" s="56">
        <v>27000</v>
      </c>
      <c r="R64" s="56">
        <v>640000</v>
      </c>
      <c r="S64" s="41">
        <f t="shared" si="20"/>
        <v>1.0169999999999999</v>
      </c>
      <c r="T64" s="53">
        <v>8.4000000000000005E-2</v>
      </c>
      <c r="U64" s="41">
        <f t="shared" si="19"/>
        <v>1.101</v>
      </c>
      <c r="V64" s="42">
        <v>7.0000000000000007E-2</v>
      </c>
      <c r="W64" s="56">
        <v>1101000</v>
      </c>
    </row>
    <row r="65" spans="1:23" x14ac:dyDescent="0.35">
      <c r="A65" s="31" t="s">
        <v>181</v>
      </c>
      <c r="C65" s="14" t="str">
        <f t="shared" ref="C65:L68" si="22">IF(C$24&lt;&gt;"",C53-C59,"")</f>
        <v/>
      </c>
      <c r="D65" s="14" t="str">
        <f t="shared" si="22"/>
        <v/>
      </c>
      <c r="E65" s="14" t="str">
        <f t="shared" si="22"/>
        <v/>
      </c>
      <c r="F65" s="14" t="str">
        <f t="shared" si="22"/>
        <v/>
      </c>
      <c r="G65" s="14" t="str">
        <f t="shared" si="22"/>
        <v/>
      </c>
      <c r="H65" s="14" t="str">
        <f t="shared" si="22"/>
        <v/>
      </c>
      <c r="I65" s="14" t="str">
        <f t="shared" si="22"/>
        <v/>
      </c>
      <c r="J65" s="14" t="str">
        <f t="shared" si="22"/>
        <v/>
      </c>
      <c r="K65" s="14" t="str">
        <f t="shared" si="22"/>
        <v/>
      </c>
      <c r="L65" s="14" t="str">
        <f t="shared" si="22"/>
        <v/>
      </c>
      <c r="N65" s="39">
        <v>1045</v>
      </c>
      <c r="O65" s="40">
        <v>7.3260519999999998</v>
      </c>
      <c r="P65" s="56">
        <v>200000</v>
      </c>
      <c r="Q65" s="56">
        <v>27000</v>
      </c>
      <c r="R65" s="56">
        <v>640000</v>
      </c>
      <c r="S65" s="41">
        <f t="shared" si="20"/>
        <v>0.96699999999999997</v>
      </c>
      <c r="T65" s="53">
        <v>7.5999999999999998E-2</v>
      </c>
      <c r="U65" s="41">
        <f t="shared" si="19"/>
        <v>1.0429999999999999</v>
      </c>
      <c r="V65" s="42">
        <v>7.0000000000000007E-2</v>
      </c>
      <c r="W65" s="56">
        <v>1043000</v>
      </c>
    </row>
    <row r="66" spans="1:23" x14ac:dyDescent="0.35">
      <c r="A66" s="31" t="s">
        <v>182</v>
      </c>
      <c r="C66" s="14" t="str">
        <f t="shared" si="22"/>
        <v/>
      </c>
      <c r="D66" s="14" t="str">
        <f t="shared" si="22"/>
        <v/>
      </c>
      <c r="E66" s="14" t="str">
        <f t="shared" si="22"/>
        <v/>
      </c>
      <c r="F66" s="14" t="str">
        <f t="shared" si="22"/>
        <v/>
      </c>
      <c r="G66" s="14" t="str">
        <f t="shared" si="22"/>
        <v/>
      </c>
      <c r="H66" s="14" t="str">
        <f t="shared" si="22"/>
        <v/>
      </c>
      <c r="I66" s="14" t="str">
        <f t="shared" si="22"/>
        <v/>
      </c>
      <c r="J66" s="14" t="str">
        <f t="shared" si="22"/>
        <v/>
      </c>
      <c r="K66" s="14" t="str">
        <f t="shared" si="22"/>
        <v/>
      </c>
      <c r="L66" s="14" t="str">
        <f t="shared" si="22"/>
        <v/>
      </c>
      <c r="N66" s="39">
        <v>1050</v>
      </c>
      <c r="O66" s="40">
        <v>7.6828779999999997</v>
      </c>
      <c r="P66" s="56"/>
      <c r="Q66" s="56">
        <v>25000</v>
      </c>
      <c r="R66" s="56">
        <v>592000</v>
      </c>
      <c r="S66" s="41">
        <f t="shared" si="20"/>
        <v>0.71699999999999997</v>
      </c>
      <c r="T66" s="53">
        <v>3.4000000000000002E-2</v>
      </c>
      <c r="U66" s="41">
        <f t="shared" si="19"/>
        <v>0.751</v>
      </c>
      <c r="V66" s="42">
        <v>7.0000000000000007E-2</v>
      </c>
      <c r="W66" s="56">
        <v>751000</v>
      </c>
    </row>
    <row r="67" spans="1:23" x14ac:dyDescent="0.35">
      <c r="A67" s="31" t="s">
        <v>183</v>
      </c>
      <c r="C67" s="14" t="str">
        <f t="shared" si="22"/>
        <v/>
      </c>
      <c r="D67" s="14" t="str">
        <f t="shared" si="22"/>
        <v/>
      </c>
      <c r="E67" s="14" t="str">
        <f t="shared" si="22"/>
        <v/>
      </c>
      <c r="F67" s="14" t="str">
        <f t="shared" si="22"/>
        <v/>
      </c>
      <c r="G67" s="14" t="str">
        <f t="shared" si="22"/>
        <v/>
      </c>
      <c r="H67" s="14" t="str">
        <f t="shared" si="22"/>
        <v/>
      </c>
      <c r="I67" s="14" t="str">
        <f t="shared" si="22"/>
        <v/>
      </c>
      <c r="J67" s="14" t="str">
        <f t="shared" si="22"/>
        <v/>
      </c>
      <c r="K67" s="14" t="str">
        <f t="shared" si="22"/>
        <v/>
      </c>
      <c r="L67" s="14" t="str">
        <f t="shared" si="22"/>
        <v/>
      </c>
      <c r="N67" s="39">
        <v>1075</v>
      </c>
      <c r="O67" s="40">
        <v>9.6009879999900001</v>
      </c>
      <c r="P67" s="56"/>
      <c r="Q67" s="56">
        <v>21000</v>
      </c>
      <c r="R67" s="56">
        <v>512000</v>
      </c>
      <c r="S67" s="41">
        <f t="shared" si="20"/>
        <v>0.63300000000000001</v>
      </c>
      <c r="T67" s="53">
        <v>0.03</v>
      </c>
      <c r="U67" s="41">
        <f t="shared" si="19"/>
        <v>0.66300000000000003</v>
      </c>
      <c r="V67" s="42">
        <v>0.05</v>
      </c>
      <c r="W67" s="56">
        <v>663000</v>
      </c>
    </row>
    <row r="68" spans="1:23" x14ac:dyDescent="0.35">
      <c r="A68" s="31" t="s">
        <v>4</v>
      </c>
      <c r="C68" s="14" t="str">
        <f t="shared" si="22"/>
        <v/>
      </c>
      <c r="D68" s="14" t="str">
        <f t="shared" si="22"/>
        <v/>
      </c>
      <c r="E68" s="14" t="str">
        <f t="shared" si="22"/>
        <v/>
      </c>
      <c r="F68" s="14" t="str">
        <f t="shared" si="22"/>
        <v/>
      </c>
      <c r="G68" s="14" t="str">
        <f t="shared" si="22"/>
        <v/>
      </c>
      <c r="H68" s="14" t="str">
        <f t="shared" si="22"/>
        <v/>
      </c>
      <c r="I68" s="14" t="str">
        <f t="shared" si="22"/>
        <v/>
      </c>
      <c r="J68" s="14" t="str">
        <f t="shared" si="22"/>
        <v/>
      </c>
      <c r="K68" s="14" t="str">
        <f t="shared" si="22"/>
        <v/>
      </c>
      <c r="L68" s="14" t="str">
        <f t="shared" si="22"/>
        <v/>
      </c>
      <c r="N68" s="39">
        <v>1090</v>
      </c>
      <c r="O68" s="40">
        <v>10.857008</v>
      </c>
      <c r="P68" s="56"/>
      <c r="Q68" s="56">
        <v>8000</v>
      </c>
      <c r="R68" s="56">
        <v>192000</v>
      </c>
      <c r="S68" s="41">
        <f t="shared" si="20"/>
        <v>0.30000000000000004</v>
      </c>
      <c r="T68" s="53">
        <v>4.1000000000000002E-2</v>
      </c>
      <c r="U68" s="41">
        <f t="shared" si="19"/>
        <v>0.34100000000000003</v>
      </c>
      <c r="V68" s="38"/>
      <c r="W68" s="56">
        <v>341000</v>
      </c>
    </row>
    <row r="69" spans="1:23" x14ac:dyDescent="0.35">
      <c r="A69" s="1" t="s">
        <v>163</v>
      </c>
      <c r="B69" s="1"/>
      <c r="C69" s="14" t="str">
        <f t="shared" ref="C69:L69" si="23">IF(C$24&lt;&gt;"",SUM(C64:C68),"")</f>
        <v/>
      </c>
      <c r="D69" s="14" t="str">
        <f t="shared" si="23"/>
        <v/>
      </c>
      <c r="E69" s="14" t="str">
        <f t="shared" si="23"/>
        <v/>
      </c>
      <c r="F69" s="14" t="str">
        <f t="shared" si="23"/>
        <v/>
      </c>
      <c r="G69" s="14" t="str">
        <f t="shared" si="23"/>
        <v/>
      </c>
      <c r="H69" s="14" t="str">
        <f t="shared" si="23"/>
        <v/>
      </c>
      <c r="I69" s="14" t="str">
        <f t="shared" si="23"/>
        <v/>
      </c>
      <c r="J69" s="14" t="str">
        <f t="shared" si="23"/>
        <v/>
      </c>
      <c r="K69" s="14" t="str">
        <f t="shared" si="23"/>
        <v/>
      </c>
      <c r="L69" s="14" t="str">
        <f t="shared" si="23"/>
        <v/>
      </c>
      <c r="N69" s="38" t="s">
        <v>194</v>
      </c>
      <c r="O69" s="64">
        <v>10.91</v>
      </c>
      <c r="P69" s="38">
        <v>0</v>
      </c>
      <c r="Q69" s="37">
        <v>0</v>
      </c>
      <c r="R69" s="65">
        <v>0</v>
      </c>
      <c r="S69" s="38">
        <v>0</v>
      </c>
      <c r="T69" s="66">
        <v>0</v>
      </c>
      <c r="U69" s="38">
        <v>0</v>
      </c>
      <c r="V69" s="67">
        <v>0</v>
      </c>
      <c r="W69" s="65">
        <v>0</v>
      </c>
    </row>
    <row r="70" spans="1:23" x14ac:dyDescent="0.35">
      <c r="A70" s="1" t="s">
        <v>164</v>
      </c>
      <c r="B70" s="1"/>
      <c r="C70" s="14" t="str">
        <f>IF(C24&lt;&gt;"",SUM(C58:C62),"")</f>
        <v/>
      </c>
      <c r="D70" s="14" t="str">
        <f t="shared" ref="D70:L70" si="24">IF(D24&lt;&gt;"",SUM(D58:D62),"")</f>
        <v/>
      </c>
      <c r="E70" s="14" t="str">
        <f t="shared" si="24"/>
        <v/>
      </c>
      <c r="F70" s="14" t="str">
        <f t="shared" si="24"/>
        <v/>
      </c>
      <c r="G70" s="14" t="str">
        <f t="shared" si="24"/>
        <v/>
      </c>
      <c r="H70" s="14" t="str">
        <f t="shared" si="24"/>
        <v/>
      </c>
      <c r="I70" s="14" t="str">
        <f t="shared" si="24"/>
        <v/>
      </c>
      <c r="J70" s="14" t="str">
        <f t="shared" si="24"/>
        <v/>
      </c>
      <c r="K70" s="14" t="str">
        <f t="shared" si="24"/>
        <v/>
      </c>
      <c r="L70" s="14" t="str">
        <f t="shared" si="24"/>
        <v/>
      </c>
    </row>
    <row r="72" spans="1:23" x14ac:dyDescent="0.35">
      <c r="A72" s="1" t="s">
        <v>109</v>
      </c>
      <c r="C72" s="12" t="str">
        <f>IF(C$24&lt;&gt;"",0.2,"")</f>
        <v/>
      </c>
      <c r="D72" s="12" t="str">
        <f t="shared" ref="D72:L72" si="25">IF(D$24&lt;&gt;"",0.2,"")</f>
        <v/>
      </c>
      <c r="E72" s="12" t="str">
        <f t="shared" si="25"/>
        <v/>
      </c>
      <c r="F72" s="12" t="str">
        <f t="shared" si="25"/>
        <v/>
      </c>
      <c r="G72" s="12" t="str">
        <f t="shared" si="25"/>
        <v/>
      </c>
      <c r="H72" s="12" t="str">
        <f t="shared" si="25"/>
        <v/>
      </c>
      <c r="I72" s="12" t="str">
        <f t="shared" si="25"/>
        <v/>
      </c>
      <c r="J72" s="12" t="str">
        <f t="shared" si="25"/>
        <v/>
      </c>
      <c r="K72" s="12" t="str">
        <f t="shared" si="25"/>
        <v/>
      </c>
      <c r="L72" s="12" t="str">
        <f t="shared" si="25"/>
        <v/>
      </c>
    </row>
    <row r="73" spans="1:23" x14ac:dyDescent="0.35">
      <c r="A73" t="s">
        <v>186</v>
      </c>
      <c r="C73" s="14" t="str">
        <f t="shared" ref="C73:L73" si="26">IF(C$24&lt;&gt;"",C64+C$72/2,"")</f>
        <v/>
      </c>
      <c r="D73" s="14" t="str">
        <f t="shared" si="26"/>
        <v/>
      </c>
      <c r="E73" s="14" t="str">
        <f t="shared" si="26"/>
        <v/>
      </c>
      <c r="F73" s="14" t="str">
        <f t="shared" si="26"/>
        <v/>
      </c>
      <c r="G73" s="14" t="str">
        <f t="shared" si="26"/>
        <v/>
      </c>
      <c r="H73" s="14" t="str">
        <f t="shared" si="26"/>
        <v/>
      </c>
      <c r="I73" s="14" t="str">
        <f t="shared" si="26"/>
        <v/>
      </c>
      <c r="J73" s="14" t="str">
        <f t="shared" si="26"/>
        <v/>
      </c>
      <c r="K73" s="14" t="str">
        <f t="shared" si="26"/>
        <v/>
      </c>
      <c r="L73" s="14" t="str">
        <f t="shared" si="26"/>
        <v/>
      </c>
    </row>
    <row r="74" spans="1:23" x14ac:dyDescent="0.35">
      <c r="A74" s="31" t="s">
        <v>187</v>
      </c>
      <c r="C74" s="14" t="str">
        <f t="shared" ref="C74:L74" si="27">IF(C$24&lt;&gt;"",C65+C$72/2,"")</f>
        <v/>
      </c>
      <c r="D74" s="14" t="str">
        <f t="shared" si="27"/>
        <v/>
      </c>
      <c r="E74" s="14" t="str">
        <f t="shared" si="27"/>
        <v/>
      </c>
      <c r="F74" s="14" t="str">
        <f t="shared" si="27"/>
        <v/>
      </c>
      <c r="G74" s="14" t="str">
        <f t="shared" si="27"/>
        <v/>
      </c>
      <c r="H74" s="14" t="str">
        <f t="shared" si="27"/>
        <v/>
      </c>
      <c r="I74" s="14" t="str">
        <f t="shared" si="27"/>
        <v/>
      </c>
      <c r="J74" s="14" t="str">
        <f t="shared" si="27"/>
        <v/>
      </c>
      <c r="K74" s="14" t="str">
        <f t="shared" si="27"/>
        <v/>
      </c>
      <c r="L74" s="14" t="str">
        <f t="shared" si="27"/>
        <v/>
      </c>
    </row>
    <row r="75" spans="1:23" x14ac:dyDescent="0.35">
      <c r="D75" s="18"/>
    </row>
  </sheetData>
  <mergeCells count="7">
    <mergeCell ref="D17:I17"/>
    <mergeCell ref="C5:H5"/>
    <mergeCell ref="C6:H6"/>
    <mergeCell ref="C7:H7"/>
    <mergeCell ref="C8:H8"/>
    <mergeCell ref="C9:H9"/>
    <mergeCell ref="C10:H10"/>
  </mergeCells>
  <conditionalFormatting sqref="C58:L62">
    <cfRule type="cellIs" dxfId="43" priority="3" operator="greaterThan">
      <formula>$C$52</formula>
    </cfRule>
  </conditionalFormatting>
  <conditionalFormatting sqref="C49:L49">
    <cfRule type="cellIs" dxfId="42" priority="2" stopIfTrue="1" operator="notEqual">
      <formula>0</formula>
    </cfRule>
  </conditionalFormatting>
  <conditionalFormatting sqref="C49:L49">
    <cfRule type="cellIs" dxfId="41" priority="1" stopIfTrue="1"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ABAA8-50C5-44CE-8E5C-AFA0657DFA46}">
  <dimension ref="A1:W75"/>
  <sheetViews>
    <sheetView tabSelected="1" zoomScale="150" zoomScaleNormal="150" workbookViewId="0"/>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2" style="2" customWidth="1"/>
    <col min="18" max="18" width="14.7265625" customWidth="1"/>
    <col min="20" max="20" width="10.90625" customWidth="1"/>
    <col min="23" max="23" width="10.90625" customWidth="1"/>
  </cols>
  <sheetData>
    <row r="1" spans="1:11" x14ac:dyDescent="0.35">
      <c r="A1" s="1" t="s">
        <v>92</v>
      </c>
      <c r="B1" s="1"/>
    </row>
    <row r="2" spans="1:11" x14ac:dyDescent="0.35">
      <c r="A2" s="1"/>
      <c r="B2" s="1"/>
    </row>
    <row r="3" spans="1:11" ht="16.5" customHeight="1" x14ac:dyDescent="0.35">
      <c r="A3" s="26" t="s">
        <v>52</v>
      </c>
      <c r="B3" s="26"/>
      <c r="C3" s="26"/>
      <c r="D3" s="26"/>
      <c r="E3" s="26"/>
      <c r="F3" s="26"/>
      <c r="G3" s="26"/>
      <c r="H3" s="26"/>
      <c r="I3" s="26"/>
      <c r="J3" s="26"/>
      <c r="K3" s="26"/>
    </row>
    <row r="4" spans="1:11" x14ac:dyDescent="0.35">
      <c r="A4" s="17" t="s">
        <v>40</v>
      </c>
      <c r="B4" s="13" t="s">
        <v>44</v>
      </c>
      <c r="C4" s="1" t="s">
        <v>45</v>
      </c>
    </row>
    <row r="5" spans="1:11" x14ac:dyDescent="0.35">
      <c r="A5" s="27" t="s">
        <v>53</v>
      </c>
      <c r="B5" s="52"/>
      <c r="C5" s="83" t="s">
        <v>130</v>
      </c>
      <c r="D5" s="83"/>
      <c r="E5" s="83"/>
      <c r="F5" s="83"/>
      <c r="G5" s="83"/>
      <c r="H5" s="83"/>
    </row>
    <row r="6" spans="1:11" x14ac:dyDescent="0.35">
      <c r="A6" s="16" t="s">
        <v>157</v>
      </c>
      <c r="B6" s="52"/>
      <c r="C6" s="83" t="s">
        <v>130</v>
      </c>
      <c r="D6" s="83"/>
      <c r="E6" s="83"/>
      <c r="F6" s="83"/>
      <c r="G6" s="83"/>
      <c r="H6" s="83"/>
    </row>
    <row r="7" spans="1:11" x14ac:dyDescent="0.35">
      <c r="A7" s="16" t="s">
        <v>158</v>
      </c>
      <c r="B7" s="52"/>
      <c r="C7" s="83" t="s">
        <v>130</v>
      </c>
      <c r="D7" s="83"/>
      <c r="E7" s="83"/>
      <c r="F7" s="83"/>
      <c r="G7" s="83"/>
      <c r="H7" s="83"/>
    </row>
    <row r="8" spans="1:11" x14ac:dyDescent="0.35">
      <c r="A8" s="16" t="s">
        <v>159</v>
      </c>
      <c r="B8" s="52"/>
      <c r="C8" s="83" t="s">
        <v>130</v>
      </c>
      <c r="D8" s="83"/>
      <c r="E8" s="83"/>
      <c r="F8" s="83"/>
      <c r="G8" s="83"/>
      <c r="H8" s="83"/>
    </row>
    <row r="9" spans="1:11" x14ac:dyDescent="0.35">
      <c r="A9" s="16" t="s">
        <v>197</v>
      </c>
      <c r="B9" s="52"/>
      <c r="C9" s="83" t="s">
        <v>192</v>
      </c>
      <c r="D9" s="83"/>
      <c r="E9" s="83"/>
      <c r="F9" s="83"/>
      <c r="G9" s="83"/>
      <c r="H9" s="83"/>
    </row>
    <row r="10" spans="1:11" x14ac:dyDescent="0.35">
      <c r="A10" s="16" t="s">
        <v>43</v>
      </c>
      <c r="B10" s="52"/>
      <c r="C10" s="83" t="s">
        <v>130</v>
      </c>
      <c r="D10" s="83"/>
      <c r="E10" s="83"/>
      <c r="F10" s="83"/>
      <c r="G10" s="83"/>
      <c r="H10" s="83"/>
    </row>
    <row r="11" spans="1:11" x14ac:dyDescent="0.35">
      <c r="A11" s="16"/>
      <c r="B11" s="2"/>
      <c r="C11"/>
    </row>
    <row r="12" spans="1:11" x14ac:dyDescent="0.35">
      <c r="A12" s="19" t="s">
        <v>47</v>
      </c>
      <c r="B12" s="2"/>
      <c r="C12"/>
    </row>
    <row r="13" spans="1:11" x14ac:dyDescent="0.35">
      <c r="A13" s="20" t="s">
        <v>54</v>
      </c>
    </row>
    <row r="14" spans="1:11" x14ac:dyDescent="0.35">
      <c r="A14" s="22" t="s">
        <v>49</v>
      </c>
      <c r="B14" s="19"/>
    </row>
    <row r="15" spans="1:11" x14ac:dyDescent="0.35">
      <c r="A15" s="21" t="s">
        <v>48</v>
      </c>
    </row>
    <row r="17" spans="1:17" x14ac:dyDescent="0.35">
      <c r="A17" s="1" t="s">
        <v>55</v>
      </c>
      <c r="D17" s="81"/>
      <c r="E17" s="82"/>
      <c r="F17" s="82"/>
      <c r="G17" s="82"/>
      <c r="H17" s="82"/>
      <c r="I17" s="82"/>
    </row>
    <row r="19" spans="1:17" x14ac:dyDescent="0.35">
      <c r="A19" s="1" t="s">
        <v>33</v>
      </c>
      <c r="B19" s="13" t="s">
        <v>95</v>
      </c>
      <c r="C19"/>
    </row>
    <row r="20" spans="1:17" x14ac:dyDescent="0.35">
      <c r="A20" t="s">
        <v>93</v>
      </c>
      <c r="B20" s="12">
        <v>6</v>
      </c>
      <c r="C20"/>
      <c r="D20" s="23" t="s">
        <v>96</v>
      </c>
    </row>
    <row r="21" spans="1:17" x14ac:dyDescent="0.35">
      <c r="A21" t="s">
        <v>127</v>
      </c>
      <c r="B21" s="12">
        <v>9.9</v>
      </c>
      <c r="C21"/>
      <c r="D21" s="11" t="s">
        <v>161</v>
      </c>
    </row>
    <row r="23" spans="1:17" s="1" customFormat="1" x14ac:dyDescent="0.35">
      <c r="A23" s="46" t="s">
        <v>36</v>
      </c>
      <c r="B23" s="46" t="s">
        <v>50</v>
      </c>
      <c r="C23" s="47" t="s">
        <v>6</v>
      </c>
      <c r="D23" s="47" t="s">
        <v>7</v>
      </c>
      <c r="E23" s="47" t="s">
        <v>8</v>
      </c>
      <c r="F23" s="47" t="s">
        <v>9</v>
      </c>
      <c r="G23" s="47" t="s">
        <v>10</v>
      </c>
      <c r="H23" s="47" t="s">
        <v>11</v>
      </c>
      <c r="I23" s="47" t="s">
        <v>12</v>
      </c>
      <c r="J23" s="47" t="s">
        <v>13</v>
      </c>
      <c r="K23" s="47" t="s">
        <v>37</v>
      </c>
      <c r="L23" s="47" t="s">
        <v>38</v>
      </c>
      <c r="M23" s="47" t="s">
        <v>90</v>
      </c>
      <c r="Q23" s="13"/>
    </row>
    <row r="24" spans="1:17" x14ac:dyDescent="0.35">
      <c r="A24" s="1" t="s">
        <v>196</v>
      </c>
      <c r="B24" s="1"/>
      <c r="C24" s="45">
        <v>9</v>
      </c>
      <c r="D24" s="45">
        <f>C24</f>
        <v>9</v>
      </c>
      <c r="E24" s="45">
        <f t="shared" ref="E24:L24" si="0">D24</f>
        <v>9</v>
      </c>
      <c r="F24" s="45">
        <f t="shared" si="0"/>
        <v>9</v>
      </c>
      <c r="G24" s="45">
        <f t="shared" si="0"/>
        <v>9</v>
      </c>
      <c r="H24" s="45">
        <f t="shared" si="0"/>
        <v>9</v>
      </c>
      <c r="I24" s="45">
        <f t="shared" si="0"/>
        <v>9</v>
      </c>
      <c r="J24" s="45">
        <f t="shared" si="0"/>
        <v>9</v>
      </c>
      <c r="K24" s="45">
        <f t="shared" si="0"/>
        <v>9</v>
      </c>
      <c r="L24" s="45">
        <f t="shared" si="0"/>
        <v>9</v>
      </c>
    </row>
    <row r="25" spans="1:17" x14ac:dyDescent="0.35">
      <c r="A25" s="1" t="s">
        <v>162</v>
      </c>
      <c r="B25" s="1"/>
      <c r="C25" s="14">
        <f>IF(C$24&lt;&gt;"",$B$21,"")</f>
        <v>9.9</v>
      </c>
      <c r="D25" s="14">
        <f t="shared" ref="D25:L25" si="1">IF(D$24&lt;&gt;"",C69,"")</f>
        <v>10.100966000000003</v>
      </c>
      <c r="E25" s="14">
        <f t="shared" si="1"/>
        <v>10.286965200000601</v>
      </c>
      <c r="F25" s="14">
        <f t="shared" si="1"/>
        <v>10.469150800000001</v>
      </c>
      <c r="G25" s="14">
        <f t="shared" si="1"/>
        <v>10.6475227999994</v>
      </c>
      <c r="H25" s="14">
        <f t="shared" si="1"/>
        <v>10.821127800000001</v>
      </c>
      <c r="I25" s="14">
        <f t="shared" si="1"/>
        <v>10.268919200000601</v>
      </c>
      <c r="J25" s="14">
        <f t="shared" si="1"/>
        <v>9.7291048</v>
      </c>
      <c r="K25" s="14">
        <f t="shared" si="1"/>
        <v>9.2021568000006013</v>
      </c>
      <c r="L25" s="14">
        <f t="shared" si="1"/>
        <v>8.7764508000006014</v>
      </c>
    </row>
    <row r="26" spans="1:17" x14ac:dyDescent="0.35">
      <c r="A26" t="s">
        <v>165</v>
      </c>
      <c r="B26" s="24">
        <f>4.4/7.5</f>
        <v>0.58666666666666667</v>
      </c>
      <c r="C26" s="14">
        <f>IF(C$24&lt;&gt;"",1.05+(C$25-C$29-2.3)*B26,"")</f>
        <v>3.1033333333333335</v>
      </c>
      <c r="D26" s="14">
        <f>IF(D24&lt;&gt;"",C64,"")</f>
        <v>3.1491800533333336</v>
      </c>
      <c r="E26" s="14">
        <f t="shared" ref="E26:L26" si="2">IF(E24&lt;&gt;"",D64,"")</f>
        <v>3.1921129173336853</v>
      </c>
      <c r="F26" s="14">
        <f t="shared" si="2"/>
        <v>3.2328084693333325</v>
      </c>
      <c r="G26" s="14">
        <f t="shared" si="2"/>
        <v>3.2712667093329806</v>
      </c>
      <c r="H26" s="14">
        <f t="shared" si="2"/>
        <v>3.3069283093333324</v>
      </c>
      <c r="I26" s="14">
        <f t="shared" si="2"/>
        <v>2.640352597333683</v>
      </c>
      <c r="J26" s="14">
        <f t="shared" si="2"/>
        <v>1.9810481493333301</v>
      </c>
      <c r="K26" s="14">
        <f t="shared" si="2"/>
        <v>1.3292919893336812</v>
      </c>
      <c r="L26" s="14">
        <f t="shared" si="2"/>
        <v>0.68530446933368072</v>
      </c>
      <c r="N26" s="48"/>
    </row>
    <row r="27" spans="1:17" x14ac:dyDescent="0.35">
      <c r="A27" t="s">
        <v>166</v>
      </c>
      <c r="B27" s="24">
        <f>0.3/7.5</f>
        <v>0.04</v>
      </c>
      <c r="C27" s="14">
        <f>IF(C$24&lt;&gt;"",0.786+(C$25-C$29-2.3)*B27,"")</f>
        <v>0.92600000000000005</v>
      </c>
      <c r="D27" s="14">
        <f t="shared" ref="D27:L30" si="3">IF(D25&lt;&gt;"",C65,"")</f>
        <v>0.96639864000000009</v>
      </c>
      <c r="E27" s="14">
        <f t="shared" si="3"/>
        <v>1.006598608000024</v>
      </c>
      <c r="F27" s="14">
        <f t="shared" si="3"/>
        <v>1.0466460319999999</v>
      </c>
      <c r="G27" s="14">
        <f t="shared" si="3"/>
        <v>1.0865409119999758</v>
      </c>
      <c r="H27" s="14">
        <f t="shared" si="3"/>
        <v>1.1262451119999999</v>
      </c>
      <c r="I27" s="14">
        <f t="shared" si="3"/>
        <v>1.1017967680000238</v>
      </c>
      <c r="J27" s="14">
        <f t="shared" si="3"/>
        <v>1.0778441919999999</v>
      </c>
      <c r="K27" s="14">
        <f t="shared" si="3"/>
        <v>1.054406272000024</v>
      </c>
      <c r="L27" s="14">
        <f t="shared" si="3"/>
        <v>1.035498032000024</v>
      </c>
    </row>
    <row r="28" spans="1:17" x14ac:dyDescent="0.35">
      <c r="A28" t="s">
        <v>167</v>
      </c>
      <c r="B28" s="24">
        <f>2.8/7.5</f>
        <v>0.37333333333333329</v>
      </c>
      <c r="C28" s="14">
        <f>IF(C$24&lt;&gt;"",0.474+(C$25-C$29-2.3)*B28,"")</f>
        <v>1.7806666666666668</v>
      </c>
      <c r="D28" s="14">
        <f t="shared" si="3"/>
        <v>1.876387306666667</v>
      </c>
      <c r="E28" s="14">
        <f t="shared" si="3"/>
        <v>1.9702536746668904</v>
      </c>
      <c r="F28" s="14">
        <f t="shared" si="3"/>
        <v>2.0626962986666659</v>
      </c>
      <c r="G28" s="14">
        <f t="shared" si="3"/>
        <v>2.1537151786664421</v>
      </c>
      <c r="H28" s="14">
        <f t="shared" si="3"/>
        <v>2.2429543786666657</v>
      </c>
      <c r="I28" s="14">
        <f t="shared" si="3"/>
        <v>2.330769834666889</v>
      </c>
      <c r="J28" s="14">
        <f t="shared" si="3"/>
        <v>2.4232124586666646</v>
      </c>
      <c r="K28" s="14">
        <f t="shared" si="3"/>
        <v>2.520458538666889</v>
      </c>
      <c r="L28" s="14">
        <f t="shared" si="3"/>
        <v>2.7026482986668889</v>
      </c>
    </row>
    <row r="29" spans="1:17" x14ac:dyDescent="0.35">
      <c r="A29" t="s">
        <v>168</v>
      </c>
      <c r="B29" s="58">
        <v>4.0999999999999996</v>
      </c>
      <c r="C29" s="14">
        <f>IF(C$24&lt;&gt;"",B29,"")</f>
        <v>4.0999999999999996</v>
      </c>
      <c r="D29" s="14">
        <f t="shared" si="3"/>
        <v>4.1000000000000005</v>
      </c>
      <c r="E29" s="14">
        <f t="shared" si="3"/>
        <v>4.1000000000000014</v>
      </c>
      <c r="F29" s="14">
        <f t="shared" si="3"/>
        <v>4.1000000000000023</v>
      </c>
      <c r="G29" s="14">
        <f t="shared" si="3"/>
        <v>4.1000000000000032</v>
      </c>
      <c r="H29" s="14">
        <f t="shared" si="3"/>
        <v>4.1000000000000041</v>
      </c>
      <c r="I29" s="14">
        <f t="shared" si="3"/>
        <v>4.1420000000000048</v>
      </c>
      <c r="J29" s="14">
        <f t="shared" si="3"/>
        <v>4.1840000000000055</v>
      </c>
      <c r="K29" s="14">
        <f t="shared" si="3"/>
        <v>4.2260000000000062</v>
      </c>
      <c r="L29" s="14">
        <f t="shared" si="3"/>
        <v>4.2680000000000069</v>
      </c>
    </row>
    <row r="30" spans="1:17" x14ac:dyDescent="0.35">
      <c r="A30" t="s">
        <v>32</v>
      </c>
      <c r="B30" s="62">
        <v>0</v>
      </c>
      <c r="C30" s="14">
        <f>IF(C$24&lt;&gt;"",B30,"")</f>
        <v>0</v>
      </c>
      <c r="D30" s="14">
        <f t="shared" si="3"/>
        <v>9.000000000000119E-3</v>
      </c>
      <c r="E30" s="14">
        <f t="shared" si="3"/>
        <v>1.8000000000000238E-2</v>
      </c>
      <c r="F30" s="14">
        <f t="shared" si="3"/>
        <v>2.7000000000000357E-2</v>
      </c>
      <c r="G30" s="14">
        <f t="shared" si="3"/>
        <v>3.6000000000000476E-2</v>
      </c>
      <c r="H30" s="14">
        <f t="shared" si="3"/>
        <v>4.5000000000000595E-2</v>
      </c>
      <c r="I30" s="14">
        <f t="shared" si="3"/>
        <v>5.4000000000000714E-2</v>
      </c>
      <c r="J30" s="14">
        <f t="shared" si="3"/>
        <v>6.3000000000000833E-2</v>
      </c>
      <c r="K30" s="14">
        <f t="shared" si="3"/>
        <v>7.2000000000000952E-2</v>
      </c>
      <c r="L30" s="14">
        <f t="shared" si="3"/>
        <v>8.5000000000001075E-2</v>
      </c>
    </row>
    <row r="31" spans="1:17" x14ac:dyDescent="0.35">
      <c r="A31" s="1" t="s">
        <v>188</v>
      </c>
      <c r="B31" s="1"/>
      <c r="C31" s="14">
        <f>IF(C$24&lt;&gt;"", $B$20*VLOOKUP(C$25*1000000,'Mead-Elevation-Area'!$B$5:$D$676,3)/1000000,"")</f>
        <v>0.49403399999999997</v>
      </c>
      <c r="D31" s="14">
        <f>IF(D$24&lt;&gt;"", $B$20*VLOOKUP(D$25*1000000,'Mead-Elevation-Area'!$B$5:$D$676,3)/1000000,"")</f>
        <v>0.49900079999940006</v>
      </c>
      <c r="E31" s="14">
        <f>IF(E$24&lt;&gt;"", $B$20*VLOOKUP(E$25*1000000,'Mead-Elevation-Area'!$B$5:$D$676,3)/1000000,"")</f>
        <v>0.50281440000059996</v>
      </c>
      <c r="F31" s="14">
        <f>IF(F$24&lt;&gt;"", $B$20*VLOOKUP(F$25*1000000,'Mead-Elevation-Area'!$B$5:$D$676,3)/1000000,"")</f>
        <v>0.50662800000060004</v>
      </c>
      <c r="G31" s="14">
        <f>IF(G$24&lt;&gt;"", $B$20*VLOOKUP(G$25*1000000,'Mead-Elevation-Area'!$B$5:$D$676,3)/1000000,"")</f>
        <v>0.51139499999939997</v>
      </c>
      <c r="H31" s="14">
        <f>IF(H$24&lt;&gt;"", $B$20*VLOOKUP(H$25*1000000,'Mead-Elevation-Area'!$B$5:$D$676,3)/1000000,"")</f>
        <v>0.51520859999940005</v>
      </c>
      <c r="I31" s="14">
        <f>IF(I$24&lt;&gt;"", $B$20*VLOOKUP(I$25*1000000,'Mead-Elevation-Area'!$B$5:$D$676,3)/1000000,"")</f>
        <v>0.50281440000059996</v>
      </c>
      <c r="J31" s="14">
        <f>IF(J$24&lt;&gt;"", $B$20*VLOOKUP(J$25*1000000,'Mead-Elevation-Area'!$B$5:$D$676,3)/1000000,"")</f>
        <v>0.48994799999939997</v>
      </c>
      <c r="K31" s="14">
        <f>IF(K$24&lt;&gt;"", $B$20*VLOOKUP(K$25*1000000,'Mead-Elevation-Area'!$B$5:$D$676,3)/1000000,"")</f>
        <v>0.47670600000000002</v>
      </c>
      <c r="L31" s="14">
        <f>IF(L$24&lt;&gt;"", $B$20*VLOOKUP(L$25*1000000,'Mead-Elevation-Area'!$B$5:$D$676,3)/1000000,"")</f>
        <v>0.46476600000059998</v>
      </c>
    </row>
    <row r="32" spans="1:17" x14ac:dyDescent="0.35">
      <c r="A32" t="s">
        <v>169</v>
      </c>
      <c r="B32" s="51"/>
      <c r="C32" s="14">
        <f t="shared" ref="C32:L32" si="4">IF(C$24&lt;&gt;"",C$31*C26/C$25,"")</f>
        <v>0.15486385656565657</v>
      </c>
      <c r="D32" s="14">
        <f t="shared" si="4"/>
        <v>0.15557357246381051</v>
      </c>
      <c r="E32" s="14">
        <f t="shared" si="4"/>
        <v>0.15602661329730247</v>
      </c>
      <c r="F32" s="14">
        <f t="shared" si="4"/>
        <v>0.15644356648328606</v>
      </c>
      <c r="G32" s="14">
        <f t="shared" si="4"/>
        <v>0.15711724409901906</v>
      </c>
      <c r="H32" s="14">
        <f t="shared" si="4"/>
        <v>0.15744735077890948</v>
      </c>
      <c r="I32" s="14">
        <f t="shared" si="4"/>
        <v>0.12928403478121475</v>
      </c>
      <c r="J32" s="14">
        <f t="shared" si="4"/>
        <v>9.9763606068708169E-2</v>
      </c>
      <c r="K32" s="14">
        <f t="shared" si="4"/>
        <v>6.8862276620548404E-2</v>
      </c>
      <c r="L32" s="14">
        <f t="shared" si="4"/>
        <v>3.6291004672951259E-2</v>
      </c>
    </row>
    <row r="33" spans="1:14" x14ac:dyDescent="0.35">
      <c r="A33" t="s">
        <v>170</v>
      </c>
      <c r="B33" s="51"/>
      <c r="C33" s="14">
        <f t="shared" ref="C33:L33" si="5">IF(C$24&lt;&gt;"",C$31*C27/C$25,"")</f>
        <v>4.6209644848484846E-2</v>
      </c>
      <c r="D33" s="14">
        <f t="shared" si="5"/>
        <v>4.774134419206362E-2</v>
      </c>
      <c r="E33" s="14">
        <f t="shared" si="5"/>
        <v>4.9201320825207187E-2</v>
      </c>
      <c r="F33" s="14">
        <f t="shared" si="5"/>
        <v>5.0649780104487931E-2</v>
      </c>
      <c r="G33" s="14">
        <f t="shared" si="5"/>
        <v>5.2185996698838437E-2</v>
      </c>
      <c r="H33" s="14">
        <f t="shared" si="5"/>
        <v>5.3622060300377132E-2</v>
      </c>
      <c r="I33" s="14">
        <f t="shared" si="5"/>
        <v>5.3949132331716054E-2</v>
      </c>
      <c r="J33" s="14">
        <f t="shared" si="5"/>
        <v>5.427915692524652E-2</v>
      </c>
      <c r="K33" s="14">
        <f t="shared" si="5"/>
        <v>5.46221725215561E-2</v>
      </c>
      <c r="L33" s="14">
        <f t="shared" si="5"/>
        <v>5.4835865808204778E-2</v>
      </c>
    </row>
    <row r="34" spans="1:14" x14ac:dyDescent="0.35">
      <c r="A34" t="s">
        <v>171</v>
      </c>
      <c r="B34" s="51"/>
      <c r="C34" s="14">
        <f t="shared" ref="C34:L34" si="6">IF(C$24&lt;&gt;"",C$31*C28/C$25,"")</f>
        <v>8.8859583434343442E-2</v>
      </c>
      <c r="D34" s="14">
        <f t="shared" si="6"/>
        <v>9.2695962656976189E-2</v>
      </c>
      <c r="E34" s="14">
        <f t="shared" si="6"/>
        <v>9.6303613360775434E-2</v>
      </c>
      <c r="F34" s="14">
        <f t="shared" si="6"/>
        <v>9.9818955745878943E-2</v>
      </c>
      <c r="G34" s="14">
        <f t="shared" si="6"/>
        <v>0.10344182346272081</v>
      </c>
      <c r="H34" s="14">
        <f t="shared" si="6"/>
        <v>0.10679010604563574</v>
      </c>
      <c r="I34" s="14">
        <f t="shared" si="6"/>
        <v>0.11412541214244443</v>
      </c>
      <c r="J34" s="14">
        <f t="shared" si="6"/>
        <v>0.12203055903944636</v>
      </c>
      <c r="K34" s="14">
        <f t="shared" si="6"/>
        <v>0.1305691409359227</v>
      </c>
      <c r="L34" s="14">
        <f t="shared" si="6"/>
        <v>0.14312152689100138</v>
      </c>
    </row>
    <row r="35" spans="1:14" x14ac:dyDescent="0.35">
      <c r="A35" t="s">
        <v>172</v>
      </c>
      <c r="B35" s="1"/>
      <c r="C35" s="14">
        <f t="shared" ref="C35:L35" si="7">IF(C$24&lt;&gt;"",C$31*C29/C$25,"")</f>
        <v>0.20459993939393933</v>
      </c>
      <c r="D35" s="14">
        <f t="shared" si="7"/>
        <v>0.20254530903257567</v>
      </c>
      <c r="E35" s="14">
        <f t="shared" si="7"/>
        <v>0.20040303431787057</v>
      </c>
      <c r="F35" s="14">
        <f t="shared" si="7"/>
        <v>0.19840910114719726</v>
      </c>
      <c r="G35" s="14">
        <f t="shared" si="7"/>
        <v>0.19692087440260372</v>
      </c>
      <c r="H35" s="14">
        <f t="shared" si="7"/>
        <v>0.19520657172143757</v>
      </c>
      <c r="I35" s="14">
        <f t="shared" si="7"/>
        <v>0.20281172772324135</v>
      </c>
      <c r="J35" s="14">
        <f t="shared" si="7"/>
        <v>0.21070206089233329</v>
      </c>
      <c r="K35" s="14">
        <f t="shared" si="7"/>
        <v>0.21892254172411749</v>
      </c>
      <c r="L35" s="14">
        <f t="shared" si="7"/>
        <v>0.22601633999958479</v>
      </c>
    </row>
    <row r="36" spans="1:14" x14ac:dyDescent="0.35">
      <c r="A36" t="s">
        <v>84</v>
      </c>
      <c r="B36" s="1"/>
      <c r="C36" s="14">
        <f t="shared" ref="C36:L36" si="8">IF(C$24&lt;&gt;"",C$31*C30/C$25,"")</f>
        <v>0</v>
      </c>
      <c r="D36" s="14">
        <f t="shared" si="8"/>
        <v>4.4461165397395244E-4</v>
      </c>
      <c r="E36" s="14">
        <f t="shared" si="8"/>
        <v>8.7981819944432096E-4</v>
      </c>
      <c r="F36" s="14">
        <f t="shared" si="8"/>
        <v>1.306596519749852E-3</v>
      </c>
      <c r="G36" s="14">
        <f t="shared" si="8"/>
        <v>1.7290613362180055E-3</v>
      </c>
      <c r="H36" s="14">
        <f t="shared" si="8"/>
        <v>2.1425111530401948E-3</v>
      </c>
      <c r="I36" s="14">
        <f t="shared" si="8"/>
        <v>2.6440930219833814E-3</v>
      </c>
      <c r="J36" s="14">
        <f t="shared" si="8"/>
        <v>3.1726170736656686E-3</v>
      </c>
      <c r="K36" s="14">
        <f t="shared" si="8"/>
        <v>3.7298681978553344E-3</v>
      </c>
      <c r="L36" s="14">
        <f t="shared" si="8"/>
        <v>4.5012626288577599E-3</v>
      </c>
    </row>
    <row r="37" spans="1:14" x14ac:dyDescent="0.35">
      <c r="A37" s="1" t="s">
        <v>173</v>
      </c>
      <c r="B37" s="1"/>
      <c r="C37" s="14">
        <f t="shared" ref="C37:L37" si="9">IF(C$24&lt;&gt;"",C24-C31,"")</f>
        <v>8.5059660000000008</v>
      </c>
      <c r="D37" s="14">
        <f t="shared" si="9"/>
        <v>8.5009992000005994</v>
      </c>
      <c r="E37" s="14">
        <f t="shared" si="9"/>
        <v>8.4971855999993995</v>
      </c>
      <c r="F37" s="14">
        <f t="shared" si="9"/>
        <v>8.4933719999994004</v>
      </c>
      <c r="G37" s="14">
        <f t="shared" si="9"/>
        <v>8.4886050000006001</v>
      </c>
      <c r="H37" s="14">
        <f t="shared" si="9"/>
        <v>8.4847914000005993</v>
      </c>
      <c r="I37" s="14">
        <f t="shared" si="9"/>
        <v>8.4971855999993995</v>
      </c>
      <c r="J37" s="14">
        <f t="shared" si="9"/>
        <v>8.5100520000006004</v>
      </c>
      <c r="K37" s="14">
        <f t="shared" si="9"/>
        <v>8.5232939999999999</v>
      </c>
      <c r="L37" s="14">
        <f t="shared" si="9"/>
        <v>8.5352339999994005</v>
      </c>
    </row>
    <row r="38" spans="1:14" x14ac:dyDescent="0.35">
      <c r="A38" t="s">
        <v>174</v>
      </c>
      <c r="B38" s="24">
        <f>4.4/7.5</f>
        <v>0.58666666666666667</v>
      </c>
      <c r="C38" s="14">
        <f>IF(C$24&lt;&gt;"",IF(C$37&lt;$B$41,0,(C$37-SUM(C$41,C$42))*$B38),"")</f>
        <v>3.7458467200000003</v>
      </c>
      <c r="D38" s="14">
        <f t="shared" ref="D38:L38" si="10">IF(D$24&lt;&gt;"",IF(D$37&lt;$B$41,0,(D$37-SUM(D$41,D$42))*$B38),"")</f>
        <v>3.7429328640003514</v>
      </c>
      <c r="E38" s="14">
        <f t="shared" si="10"/>
        <v>3.7406955519996474</v>
      </c>
      <c r="F38" s="14">
        <f t="shared" si="10"/>
        <v>3.7384582399996482</v>
      </c>
      <c r="G38" s="14">
        <f t="shared" si="10"/>
        <v>3.735661600000352</v>
      </c>
      <c r="H38" s="14">
        <f t="shared" si="10"/>
        <v>3.7334242880003514</v>
      </c>
      <c r="I38" s="14">
        <f t="shared" si="10"/>
        <v>3.7406955519996474</v>
      </c>
      <c r="J38" s="14">
        <f t="shared" si="10"/>
        <v>3.7482438400003519</v>
      </c>
      <c r="K38" s="14">
        <f t="shared" si="10"/>
        <v>3.7560124799999999</v>
      </c>
      <c r="L38" s="14">
        <f t="shared" si="10"/>
        <v>3.763017279999648</v>
      </c>
      <c r="M38" s="48"/>
      <c r="N38" s="48"/>
    </row>
    <row r="39" spans="1:14" x14ac:dyDescent="0.35">
      <c r="A39" t="s">
        <v>175</v>
      </c>
      <c r="B39" s="24">
        <f>0.3/7.5</f>
        <v>0.04</v>
      </c>
      <c r="C39" s="14">
        <f t="shared" ref="C39:L40" si="11">IF(C$24&lt;&gt;"",IF(C$37&lt;$B$41,0,(C$37-SUM(C$41,C$42))*$B39),"")</f>
        <v>0.25539864000000001</v>
      </c>
      <c r="D39" s="14">
        <f t="shared" si="11"/>
        <v>0.25519996800002398</v>
      </c>
      <c r="E39" s="14">
        <f t="shared" si="11"/>
        <v>0.25504742399997599</v>
      </c>
      <c r="F39" s="14">
        <f t="shared" si="11"/>
        <v>0.25489487999997601</v>
      </c>
      <c r="G39" s="14">
        <f t="shared" si="11"/>
        <v>0.25470420000002397</v>
      </c>
      <c r="H39" s="14">
        <f t="shared" si="11"/>
        <v>0.25455165600002394</v>
      </c>
      <c r="I39" s="14">
        <f t="shared" si="11"/>
        <v>0.25504742399997599</v>
      </c>
      <c r="J39" s="14">
        <f t="shared" si="11"/>
        <v>0.25556208000002401</v>
      </c>
      <c r="K39" s="14">
        <f t="shared" si="11"/>
        <v>0.25609176</v>
      </c>
      <c r="L39" s="14">
        <f t="shared" si="11"/>
        <v>0.25656935999997599</v>
      </c>
    </row>
    <row r="40" spans="1:14" x14ac:dyDescent="0.35">
      <c r="A40" t="s">
        <v>176</v>
      </c>
      <c r="B40" s="24">
        <f>2.8/7.5</f>
        <v>0.37333333333333329</v>
      </c>
      <c r="C40" s="14">
        <f t="shared" si="11"/>
        <v>2.3837206399999999</v>
      </c>
      <c r="D40" s="14">
        <f t="shared" si="11"/>
        <v>2.3818663680002232</v>
      </c>
      <c r="E40" s="14">
        <f t="shared" si="11"/>
        <v>2.3804426239997754</v>
      </c>
      <c r="F40" s="14">
        <f t="shared" si="11"/>
        <v>2.3790188799997756</v>
      </c>
      <c r="G40" s="14">
        <f t="shared" si="11"/>
        <v>2.3772392000002238</v>
      </c>
      <c r="H40" s="14">
        <f t="shared" si="11"/>
        <v>2.3758154560002231</v>
      </c>
      <c r="I40" s="14">
        <f t="shared" si="11"/>
        <v>2.3804426239997754</v>
      </c>
      <c r="J40" s="14">
        <f t="shared" si="11"/>
        <v>2.3852460800002238</v>
      </c>
      <c r="K40" s="14">
        <f t="shared" si="11"/>
        <v>2.3901897599999997</v>
      </c>
      <c r="L40" s="14">
        <f t="shared" si="11"/>
        <v>2.3946473599997757</v>
      </c>
    </row>
    <row r="41" spans="1:14" x14ac:dyDescent="0.35">
      <c r="A41" t="s">
        <v>177</v>
      </c>
      <c r="B41" s="59">
        <f>0.6 +0.21/5</f>
        <v>0.64200000000000002</v>
      </c>
      <c r="C41" s="14">
        <f>IF(C$24&lt;&gt;"",IF(C37&gt;$B41,$B41,C37),"")</f>
        <v>0.64200000000000002</v>
      </c>
      <c r="D41" s="14">
        <f t="shared" ref="D41:L41" si="12">IF(D$24&lt;&gt;"",IF(D37&gt;$B41,$B41,D37),"")</f>
        <v>0.64200000000000002</v>
      </c>
      <c r="E41" s="14">
        <f t="shared" si="12"/>
        <v>0.64200000000000002</v>
      </c>
      <c r="F41" s="14">
        <f t="shared" si="12"/>
        <v>0.64200000000000002</v>
      </c>
      <c r="G41" s="14">
        <f t="shared" si="12"/>
        <v>0.64200000000000002</v>
      </c>
      <c r="H41" s="14">
        <f t="shared" si="12"/>
        <v>0.64200000000000002</v>
      </c>
      <c r="I41" s="14">
        <f t="shared" si="12"/>
        <v>0.64200000000000002</v>
      </c>
      <c r="J41" s="14">
        <f t="shared" si="12"/>
        <v>0.64200000000000002</v>
      </c>
      <c r="K41" s="14">
        <f t="shared" si="12"/>
        <v>0.64200000000000002</v>
      </c>
      <c r="L41" s="14">
        <f t="shared" si="12"/>
        <v>0.64200000000000002</v>
      </c>
    </row>
    <row r="42" spans="1:14" x14ac:dyDescent="0.35">
      <c r="A42" t="s">
        <v>178</v>
      </c>
      <c r="B42" s="59">
        <f>1.5-0.21/5/2</f>
        <v>1.4790000000000001</v>
      </c>
      <c r="C42" s="14">
        <f>IF(C$24&lt;&gt;"",IF(C$37&lt;$B$41,0,$B$42),"")</f>
        <v>1.4790000000000001</v>
      </c>
      <c r="D42" s="14">
        <f t="shared" ref="D42:L42" si="13">IF(D$24&lt;&gt;"",IF(D$37&lt;$B$41,0,$B$42),"")</f>
        <v>1.4790000000000001</v>
      </c>
      <c r="E42" s="14">
        <f t="shared" si="13"/>
        <v>1.4790000000000001</v>
      </c>
      <c r="F42" s="14">
        <f t="shared" si="13"/>
        <v>1.4790000000000001</v>
      </c>
      <c r="G42" s="14">
        <f t="shared" si="13"/>
        <v>1.4790000000000001</v>
      </c>
      <c r="H42" s="14">
        <f t="shared" si="13"/>
        <v>1.4790000000000001</v>
      </c>
      <c r="I42" s="14">
        <f t="shared" si="13"/>
        <v>1.4790000000000001</v>
      </c>
      <c r="J42" s="14">
        <f t="shared" si="13"/>
        <v>1.4790000000000001</v>
      </c>
      <c r="K42" s="14">
        <f t="shared" si="13"/>
        <v>1.4790000000000001</v>
      </c>
      <c r="L42" s="14">
        <f t="shared" si="13"/>
        <v>1.4790000000000001</v>
      </c>
    </row>
    <row r="43" spans="1:14" x14ac:dyDescent="0.35">
      <c r="A43" s="1" t="s">
        <v>195</v>
      </c>
      <c r="C43"/>
    </row>
    <row r="44" spans="1:14" x14ac:dyDescent="0.35">
      <c r="A44" s="31" t="s">
        <v>180</v>
      </c>
      <c r="B44" s="1"/>
      <c r="C44" s="43"/>
      <c r="D44" s="43"/>
      <c r="E44" s="43"/>
      <c r="F44" s="43"/>
      <c r="G44" s="43"/>
      <c r="H44" s="43"/>
      <c r="I44" s="43"/>
      <c r="J44" s="43"/>
      <c r="K44" s="43"/>
      <c r="L44" s="43"/>
      <c r="M44" s="60">
        <f>SUMPRODUCT(C44:L44,C$50:L$50)</f>
        <v>0</v>
      </c>
    </row>
    <row r="45" spans="1:14" x14ac:dyDescent="0.35">
      <c r="A45" s="31" t="s">
        <v>181</v>
      </c>
      <c r="B45" s="1"/>
      <c r="C45" s="61"/>
      <c r="D45" s="61"/>
      <c r="E45" s="61"/>
      <c r="F45" s="61"/>
      <c r="G45" s="61"/>
      <c r="H45" s="61"/>
      <c r="I45" s="61"/>
      <c r="J45" s="61"/>
      <c r="K45" s="61"/>
      <c r="L45" s="61"/>
      <c r="M45" s="60">
        <f>SUMPRODUCT(C45:L45,C$50:L$50)</f>
        <v>0</v>
      </c>
    </row>
    <row r="46" spans="1:14" x14ac:dyDescent="0.35">
      <c r="A46" s="31" t="s">
        <v>182</v>
      </c>
      <c r="B46" s="1"/>
      <c r="C46" s="43"/>
      <c r="D46" s="43"/>
      <c r="E46" s="43"/>
      <c r="F46" s="43"/>
      <c r="G46" s="43"/>
      <c r="H46" s="43"/>
      <c r="I46" s="43"/>
      <c r="J46" s="43"/>
      <c r="K46" s="43"/>
      <c r="L46" s="43"/>
      <c r="M46" s="60">
        <f>SUMPRODUCT(C46:L46,C$50:L$50)</f>
        <v>0</v>
      </c>
    </row>
    <row r="47" spans="1:14" x14ac:dyDescent="0.35">
      <c r="A47" s="31" t="s">
        <v>183</v>
      </c>
      <c r="B47" s="1"/>
      <c r="C47" s="54">
        <v>-0.03</v>
      </c>
      <c r="D47" s="54">
        <v>-0.03</v>
      </c>
      <c r="E47" s="54">
        <v>-0.03</v>
      </c>
      <c r="F47" s="54">
        <v>-0.03</v>
      </c>
      <c r="G47" s="54">
        <v>-0.03</v>
      </c>
      <c r="H47" s="43"/>
      <c r="I47" s="43"/>
      <c r="J47" s="43"/>
      <c r="K47" s="43"/>
      <c r="L47" s="43"/>
      <c r="M47" s="60">
        <f>SUMPRODUCT(C47:L47,C$50:L$50)</f>
        <v>-52.5</v>
      </c>
    </row>
    <row r="48" spans="1:14" x14ac:dyDescent="0.35">
      <c r="A48" s="31" t="s">
        <v>4</v>
      </c>
      <c r="B48" s="1"/>
      <c r="C48" s="54">
        <v>0.03</v>
      </c>
      <c r="D48" s="54">
        <v>0.03</v>
      </c>
      <c r="E48" s="54">
        <v>0.03</v>
      </c>
      <c r="F48" s="54">
        <v>0.03</v>
      </c>
      <c r="G48" s="54">
        <v>0.03</v>
      </c>
      <c r="H48" s="43"/>
      <c r="I48" s="43"/>
      <c r="J48" s="43"/>
      <c r="K48" s="43"/>
      <c r="L48" s="43"/>
      <c r="M48" s="60">
        <f>SUMPRODUCT(C48:L48,C$50:L$50)</f>
        <v>52.5</v>
      </c>
    </row>
    <row r="49" spans="1:23" x14ac:dyDescent="0.35">
      <c r="A49" s="31" t="s">
        <v>185</v>
      </c>
      <c r="B49" s="1"/>
      <c r="C49" s="60">
        <f>IF(C$24&lt;&gt;"",SUM(C44:C48),"")</f>
        <v>0</v>
      </c>
      <c r="D49" s="60">
        <f>IF(D$24&lt;&gt;"",SUM(D44:D48),"")</f>
        <v>0</v>
      </c>
      <c r="E49" s="60">
        <f t="shared" ref="E49:L49" si="14">IF(E$24&lt;&gt;"",SUM(E44:E48),"")</f>
        <v>0</v>
      </c>
      <c r="F49" s="60">
        <f t="shared" si="14"/>
        <v>0</v>
      </c>
      <c r="G49" s="60">
        <f t="shared" si="14"/>
        <v>0</v>
      </c>
      <c r="H49" s="60">
        <f t="shared" si="14"/>
        <v>0</v>
      </c>
      <c r="I49" s="60">
        <f t="shared" si="14"/>
        <v>0</v>
      </c>
      <c r="J49" s="60">
        <f t="shared" si="14"/>
        <v>0</v>
      </c>
      <c r="K49" s="60">
        <f t="shared" si="14"/>
        <v>0</v>
      </c>
      <c r="L49" s="60">
        <f t="shared" si="14"/>
        <v>0</v>
      </c>
    </row>
    <row r="50" spans="1:23" x14ac:dyDescent="0.35">
      <c r="A50" s="31" t="s">
        <v>184</v>
      </c>
      <c r="B50" s="1"/>
      <c r="C50" s="30">
        <v>350</v>
      </c>
      <c r="D50" s="30">
        <f>C50</f>
        <v>350</v>
      </c>
      <c r="E50" s="30">
        <f t="shared" ref="E50:G50" si="15">D50</f>
        <v>350</v>
      </c>
      <c r="F50" s="30">
        <f t="shared" si="15"/>
        <v>350</v>
      </c>
      <c r="G50" s="30">
        <f t="shared" si="15"/>
        <v>350</v>
      </c>
      <c r="H50" s="30"/>
      <c r="I50" s="30"/>
      <c r="J50" s="30"/>
      <c r="K50" s="30"/>
      <c r="L50" s="30"/>
    </row>
    <row r="51" spans="1:23" x14ac:dyDescent="0.35">
      <c r="A51" s="1" t="s">
        <v>106</v>
      </c>
      <c r="B51" s="1"/>
      <c r="C51"/>
    </row>
    <row r="52" spans="1:23" x14ac:dyDescent="0.35">
      <c r="A52" s="31" t="s">
        <v>180</v>
      </c>
      <c r="C52" s="14">
        <f t="shared" ref="C52:L52" si="16">IF(C$24&lt;&gt;"",C26+C38-C44,"")</f>
        <v>6.8491800533333338</v>
      </c>
      <c r="D52" s="14">
        <f t="shared" si="16"/>
        <v>6.8921129173336855</v>
      </c>
      <c r="E52" s="14">
        <f t="shared" si="16"/>
        <v>6.9328084693333327</v>
      </c>
      <c r="F52" s="14">
        <f t="shared" si="16"/>
        <v>6.9712667093329808</v>
      </c>
      <c r="G52" s="14">
        <f t="shared" si="16"/>
        <v>7.0069283093333325</v>
      </c>
      <c r="H52" s="14">
        <f t="shared" si="16"/>
        <v>7.0403525973336833</v>
      </c>
      <c r="I52" s="14">
        <f t="shared" si="16"/>
        <v>6.3810481493333304</v>
      </c>
      <c r="J52" s="14">
        <f t="shared" si="16"/>
        <v>5.7292919893336816</v>
      </c>
      <c r="K52" s="14">
        <f t="shared" si="16"/>
        <v>5.0853044693336811</v>
      </c>
      <c r="L52" s="14">
        <f t="shared" si="16"/>
        <v>4.4483217493333287</v>
      </c>
    </row>
    <row r="53" spans="1:23" x14ac:dyDescent="0.35">
      <c r="A53" s="31" t="s">
        <v>181</v>
      </c>
      <c r="C53" s="14">
        <f t="shared" ref="C53:L53" si="17">IF(C$24&lt;&gt;"",C27+C39-C45,"")</f>
        <v>1.1813986400000001</v>
      </c>
      <c r="D53" s="14">
        <f t="shared" si="17"/>
        <v>1.2215986080000241</v>
      </c>
      <c r="E53" s="14">
        <f t="shared" si="17"/>
        <v>1.261646032</v>
      </c>
      <c r="F53" s="14">
        <f t="shared" si="17"/>
        <v>1.3015409119999759</v>
      </c>
      <c r="G53" s="14">
        <f t="shared" si="17"/>
        <v>1.3412451119999997</v>
      </c>
      <c r="H53" s="14">
        <f t="shared" si="17"/>
        <v>1.3807967680000237</v>
      </c>
      <c r="I53" s="14">
        <f t="shared" si="17"/>
        <v>1.3568441919999998</v>
      </c>
      <c r="J53" s="14">
        <f t="shared" si="17"/>
        <v>1.3334062720000239</v>
      </c>
      <c r="K53" s="14">
        <f t="shared" si="17"/>
        <v>1.3104980320000239</v>
      </c>
      <c r="L53" s="14">
        <f t="shared" si="17"/>
        <v>1.2920673919999999</v>
      </c>
    </row>
    <row r="54" spans="1:23" x14ac:dyDescent="0.35">
      <c r="A54" s="31" t="s">
        <v>182</v>
      </c>
      <c r="C54" s="14">
        <f t="shared" ref="C54:L54" si="18">IF(C$24&lt;&gt;"",C28+C40-C46,"")</f>
        <v>4.1643873066666668</v>
      </c>
      <c r="D54" s="14">
        <f t="shared" si="18"/>
        <v>4.2582536746668902</v>
      </c>
      <c r="E54" s="14">
        <f t="shared" si="18"/>
        <v>4.3506962986666657</v>
      </c>
      <c r="F54" s="14">
        <f t="shared" si="18"/>
        <v>4.4417151786664419</v>
      </c>
      <c r="G54" s="14">
        <f t="shared" si="18"/>
        <v>4.5309543786666655</v>
      </c>
      <c r="H54" s="14">
        <f t="shared" si="18"/>
        <v>4.6187698346668888</v>
      </c>
      <c r="I54" s="14">
        <f t="shared" si="18"/>
        <v>4.7112124586666644</v>
      </c>
      <c r="J54" s="14">
        <f t="shared" si="18"/>
        <v>4.8084585386668888</v>
      </c>
      <c r="K54" s="14">
        <f t="shared" si="18"/>
        <v>4.9106482986668887</v>
      </c>
      <c r="L54" s="14">
        <f t="shared" si="18"/>
        <v>5.0972956586666651</v>
      </c>
    </row>
    <row r="55" spans="1:23" x14ac:dyDescent="0.35">
      <c r="A55" s="31" t="s">
        <v>183</v>
      </c>
      <c r="C55" s="69">
        <f t="shared" ref="C55:L55" si="19">IF(C$24&lt;&gt;"",C29+C41-C47,"")</f>
        <v>4.7720000000000002</v>
      </c>
      <c r="D55" s="69">
        <f t="shared" si="19"/>
        <v>4.7720000000000011</v>
      </c>
      <c r="E55" s="69">
        <f t="shared" si="19"/>
        <v>4.772000000000002</v>
      </c>
      <c r="F55" s="69">
        <f t="shared" si="19"/>
        <v>4.7720000000000029</v>
      </c>
      <c r="G55" s="69">
        <f t="shared" si="19"/>
        <v>4.7720000000000038</v>
      </c>
      <c r="H55" s="14">
        <f t="shared" si="19"/>
        <v>4.7420000000000044</v>
      </c>
      <c r="I55" s="14">
        <f t="shared" si="19"/>
        <v>4.7840000000000051</v>
      </c>
      <c r="J55" s="14">
        <f t="shared" si="19"/>
        <v>4.8260000000000058</v>
      </c>
      <c r="K55" s="14">
        <f t="shared" si="19"/>
        <v>4.8680000000000065</v>
      </c>
      <c r="L55" s="14">
        <f t="shared" si="19"/>
        <v>4.9100000000000072</v>
      </c>
    </row>
    <row r="56" spans="1:23" x14ac:dyDescent="0.35">
      <c r="A56" s="31" t="s">
        <v>4</v>
      </c>
      <c r="C56" s="69">
        <f>IF(C$24&lt;&gt;"",C30+C42-C48,"")</f>
        <v>1.4490000000000001</v>
      </c>
      <c r="D56" s="69">
        <f t="shared" ref="D56:L56" si="20">IF(D$24&lt;&gt;"",D30+D42-D48,"")</f>
        <v>1.4580000000000002</v>
      </c>
      <c r="E56" s="69">
        <f t="shared" si="20"/>
        <v>1.4670000000000003</v>
      </c>
      <c r="F56" s="69">
        <f t="shared" si="20"/>
        <v>1.4760000000000004</v>
      </c>
      <c r="G56" s="69">
        <f t="shared" si="20"/>
        <v>1.4850000000000005</v>
      </c>
      <c r="H56" s="14">
        <f t="shared" si="20"/>
        <v>1.5240000000000007</v>
      </c>
      <c r="I56" s="14">
        <f t="shared" si="20"/>
        <v>1.5330000000000008</v>
      </c>
      <c r="J56" s="14">
        <f t="shared" si="20"/>
        <v>1.5420000000000009</v>
      </c>
      <c r="K56" s="14">
        <f t="shared" si="20"/>
        <v>1.551000000000001</v>
      </c>
      <c r="L56" s="14">
        <f t="shared" si="20"/>
        <v>1.5640000000000012</v>
      </c>
    </row>
    <row r="57" spans="1:23" x14ac:dyDescent="0.35">
      <c r="A57" s="1" t="s">
        <v>118</v>
      </c>
      <c r="B57" s="1"/>
      <c r="C57" s="29"/>
      <c r="D57" s="2"/>
      <c r="E57" s="2"/>
      <c r="F57" s="2"/>
      <c r="G57" s="2"/>
      <c r="H57" s="2"/>
      <c r="I57" s="2"/>
      <c r="J57" s="2"/>
      <c r="K57" s="2"/>
      <c r="L57" s="2"/>
    </row>
    <row r="58" spans="1:23" x14ac:dyDescent="0.35">
      <c r="A58" s="31" t="s">
        <v>180</v>
      </c>
      <c r="C58" s="43">
        <v>3.7</v>
      </c>
      <c r="D58" s="43">
        <v>3.7</v>
      </c>
      <c r="E58" s="43">
        <v>3.7</v>
      </c>
      <c r="F58" s="43">
        <v>3.7</v>
      </c>
      <c r="G58" s="43">
        <v>3.7</v>
      </c>
      <c r="H58" s="43">
        <f t="shared" ref="H58:L58" si="21">IF(H$24&lt;&gt;"",4.4-VLOOKUP(H$25,$O$60:$T$69,2)/1000000,"")</f>
        <v>4.4000000000000004</v>
      </c>
      <c r="I58" s="43">
        <f t="shared" si="21"/>
        <v>4.4000000000000004</v>
      </c>
      <c r="J58" s="43">
        <f t="shared" si="21"/>
        <v>4.4000000000000004</v>
      </c>
      <c r="K58" s="43">
        <f t="shared" si="21"/>
        <v>4.4000000000000004</v>
      </c>
      <c r="L58" s="43">
        <f t="shared" si="21"/>
        <v>4.4000000000000004</v>
      </c>
      <c r="N58" s="1" t="s">
        <v>111</v>
      </c>
    </row>
    <row r="59" spans="1:23" x14ac:dyDescent="0.35">
      <c r="A59" s="31" t="s">
        <v>181</v>
      </c>
      <c r="C59" s="54">
        <f>0.3-0.085</f>
        <v>0.21499999999999997</v>
      </c>
      <c r="D59" s="54">
        <f t="shared" ref="D59:G59" si="22">0.3-0.085</f>
        <v>0.21499999999999997</v>
      </c>
      <c r="E59" s="54">
        <f t="shared" si="22"/>
        <v>0.21499999999999997</v>
      </c>
      <c r="F59" s="54">
        <f t="shared" si="22"/>
        <v>0.21499999999999997</v>
      </c>
      <c r="G59" s="54">
        <f t="shared" si="22"/>
        <v>0.21499999999999997</v>
      </c>
      <c r="H59" s="43">
        <f t="shared" ref="H59:L59" si="23">IF(H$24&lt;&gt;"",0.3-VLOOKUP(H$25,$O$60:$T$69,3)/1000000,"")</f>
        <v>0.27899999999999997</v>
      </c>
      <c r="I59" s="43">
        <f t="shared" si="23"/>
        <v>0.27899999999999997</v>
      </c>
      <c r="J59" s="43">
        <f t="shared" si="23"/>
        <v>0.27899999999999997</v>
      </c>
      <c r="K59" s="43">
        <f t="shared" si="23"/>
        <v>0.27499999999999997</v>
      </c>
      <c r="L59" s="43">
        <f t="shared" si="23"/>
        <v>0.27499999999999997</v>
      </c>
      <c r="N59" s="37" t="s">
        <v>112</v>
      </c>
      <c r="O59" s="37" t="s">
        <v>113</v>
      </c>
      <c r="P59" t="s">
        <v>189</v>
      </c>
      <c r="Q59" s="2" t="s">
        <v>190</v>
      </c>
      <c r="R59" s="63" t="s">
        <v>191</v>
      </c>
      <c r="S59" s="38" t="s">
        <v>114</v>
      </c>
      <c r="T59" s="57" t="s">
        <v>150</v>
      </c>
      <c r="U59" s="37" t="s">
        <v>116</v>
      </c>
      <c r="V59" s="55" t="s">
        <v>149</v>
      </c>
      <c r="W59" s="55" t="s">
        <v>151</v>
      </c>
    </row>
    <row r="60" spans="1:23" x14ac:dyDescent="0.35">
      <c r="A60" s="31" t="s">
        <v>182</v>
      </c>
      <c r="C60" s="43">
        <f>IF(C$24&lt;&gt;"",2.8-VLOOKUP(C$25,$O$60:$T$69,4)/1000000,"")</f>
        <v>2.2879999999999998</v>
      </c>
      <c r="D60" s="43">
        <f t="shared" ref="D60:G60" si="24">IF(D$24&lt;&gt;"",2.8-VLOOKUP(D$25,$O$60:$T$69,4)/1000000,"")</f>
        <v>2.2879999999999998</v>
      </c>
      <c r="E60" s="43">
        <f t="shared" si="24"/>
        <v>2.2879999999999998</v>
      </c>
      <c r="F60" s="43">
        <f t="shared" si="24"/>
        <v>2.2879999999999998</v>
      </c>
      <c r="G60" s="43">
        <f t="shared" si="24"/>
        <v>2.2879999999999998</v>
      </c>
      <c r="H60" s="43">
        <f t="shared" ref="H60:L60" si="25">IF(H$24&lt;&gt;"",2.8-VLOOKUP(H$25,$O$60:$T$69,4)/1000000,"")</f>
        <v>2.2879999999999998</v>
      </c>
      <c r="I60" s="43">
        <f t="shared" si="25"/>
        <v>2.2879999999999998</v>
      </c>
      <c r="J60" s="43">
        <f t="shared" si="25"/>
        <v>2.2879999999999998</v>
      </c>
      <c r="K60" s="43">
        <f t="shared" si="25"/>
        <v>2.2079999999999997</v>
      </c>
      <c r="L60" s="43">
        <f t="shared" si="25"/>
        <v>2.2079999999999997</v>
      </c>
      <c r="N60" s="37" t="s">
        <v>193</v>
      </c>
      <c r="O60" s="40">
        <v>2</v>
      </c>
      <c r="P60" s="56">
        <v>350000</v>
      </c>
      <c r="Q60" s="56">
        <v>30000</v>
      </c>
      <c r="R60" s="56">
        <v>720000</v>
      </c>
      <c r="S60" s="41">
        <f>U60-T60</f>
        <v>1.2000000000000002</v>
      </c>
      <c r="T60" s="53">
        <v>0.15</v>
      </c>
      <c r="U60" s="41">
        <f t="shared" ref="U60:U68" si="26">W60/1000000</f>
        <v>1.35</v>
      </c>
      <c r="V60" s="42">
        <v>0.125</v>
      </c>
      <c r="W60" s="56">
        <v>1350000</v>
      </c>
    </row>
    <row r="61" spans="1:23" x14ac:dyDescent="0.35">
      <c r="A61" s="31" t="s">
        <v>183</v>
      </c>
      <c r="C61" s="54">
        <f>IF(C$24&lt;&gt;"",$B$41-C47,"")</f>
        <v>0.67200000000000004</v>
      </c>
      <c r="D61" s="54">
        <f t="shared" ref="D61:G61" si="27">IF(D$24&lt;&gt;"",$B$41-D47,"")</f>
        <v>0.67200000000000004</v>
      </c>
      <c r="E61" s="54">
        <f t="shared" si="27"/>
        <v>0.67200000000000004</v>
      </c>
      <c r="F61" s="54">
        <f t="shared" si="27"/>
        <v>0.67200000000000004</v>
      </c>
      <c r="G61" s="54">
        <f t="shared" si="27"/>
        <v>0.67200000000000004</v>
      </c>
      <c r="H61" s="43">
        <f t="shared" ref="H61:L61" si="28">IF(H$24&lt;&gt;"",0.6,"")</f>
        <v>0.6</v>
      </c>
      <c r="I61" s="43">
        <f t="shared" si="28"/>
        <v>0.6</v>
      </c>
      <c r="J61" s="43">
        <f t="shared" si="28"/>
        <v>0.6</v>
      </c>
      <c r="K61" s="43">
        <f t="shared" si="28"/>
        <v>0.6</v>
      </c>
      <c r="L61" s="43">
        <f t="shared" si="28"/>
        <v>0.6</v>
      </c>
      <c r="N61" s="39">
        <v>1025</v>
      </c>
      <c r="O61" s="40">
        <v>5.981122</v>
      </c>
      <c r="P61" s="56">
        <v>350000</v>
      </c>
      <c r="Q61" s="56">
        <v>30000</v>
      </c>
      <c r="R61" s="56">
        <v>720000</v>
      </c>
      <c r="S61" s="41">
        <f>U61-T61</f>
        <v>1.2000000000000002</v>
      </c>
      <c r="T61" s="53">
        <v>0.15</v>
      </c>
      <c r="U61" s="41">
        <f t="shared" si="26"/>
        <v>1.35</v>
      </c>
      <c r="V61" s="42">
        <v>0.125</v>
      </c>
      <c r="W61" s="56">
        <v>1350000</v>
      </c>
    </row>
    <row r="62" spans="1:23" x14ac:dyDescent="0.35">
      <c r="A62" s="31" t="s">
        <v>4</v>
      </c>
      <c r="C62" s="54">
        <f>IF(C$24&lt;&gt;"",1.5-VLOOKUP(C$25,$O$60:$T$69,6)-C48,"")</f>
        <v>1.44</v>
      </c>
      <c r="D62" s="54">
        <f t="shared" ref="D62:G62" si="29">IF(D$24&lt;&gt;"",1.5-VLOOKUP(D$25,$O$60:$T$69,6)-D48,"")</f>
        <v>1.44</v>
      </c>
      <c r="E62" s="54">
        <f t="shared" si="29"/>
        <v>1.44</v>
      </c>
      <c r="F62" s="54">
        <f t="shared" si="29"/>
        <v>1.44</v>
      </c>
      <c r="G62" s="54">
        <f t="shared" si="29"/>
        <v>1.44</v>
      </c>
      <c r="H62" s="43">
        <f t="shared" ref="H62:L62" si="30">IF(H$24&lt;&gt;"",1.5-VLOOKUP(H$25,$O$60:$T$69,6),"")</f>
        <v>1.47</v>
      </c>
      <c r="I62" s="43">
        <f t="shared" si="30"/>
        <v>1.47</v>
      </c>
      <c r="J62" s="43">
        <f t="shared" si="30"/>
        <v>1.47</v>
      </c>
      <c r="K62" s="43">
        <f t="shared" si="30"/>
        <v>1.466</v>
      </c>
      <c r="L62" s="43">
        <f t="shared" si="30"/>
        <v>1.466</v>
      </c>
      <c r="N62" s="39">
        <v>1030</v>
      </c>
      <c r="O62" s="40">
        <v>6.305377</v>
      </c>
      <c r="P62" s="56">
        <v>350000</v>
      </c>
      <c r="Q62" s="56">
        <v>27000</v>
      </c>
      <c r="R62" s="56">
        <v>640000</v>
      </c>
      <c r="S62" s="41">
        <f t="shared" ref="S62:S68" si="31">U62-T62</f>
        <v>1.117</v>
      </c>
      <c r="T62" s="53">
        <v>0.10100000000000001</v>
      </c>
      <c r="U62" s="41">
        <f t="shared" si="26"/>
        <v>1.218</v>
      </c>
      <c r="V62" s="42">
        <v>7.0000000000000007E-2</v>
      </c>
      <c r="W62" s="56">
        <v>1218000</v>
      </c>
    </row>
    <row r="63" spans="1:23" x14ac:dyDescent="0.35">
      <c r="A63" s="1" t="s">
        <v>5</v>
      </c>
      <c r="B63" s="1"/>
      <c r="D63" s="2"/>
      <c r="E63" s="2"/>
      <c r="F63" s="2"/>
      <c r="G63" s="2"/>
      <c r="H63" s="2"/>
      <c r="I63" s="2"/>
      <c r="J63" s="2"/>
      <c r="K63" s="2"/>
      <c r="L63" s="2"/>
      <c r="N63" s="39">
        <v>1035</v>
      </c>
      <c r="O63" s="40">
        <v>6.6375080000000004</v>
      </c>
      <c r="P63" s="56">
        <v>300000</v>
      </c>
      <c r="Q63" s="56">
        <v>27000</v>
      </c>
      <c r="R63" s="56">
        <v>640000</v>
      </c>
      <c r="S63" s="41">
        <f t="shared" si="31"/>
        <v>1.0669999999999999</v>
      </c>
      <c r="T63" s="53">
        <v>9.1999999999999998E-2</v>
      </c>
      <c r="U63" s="41">
        <f t="shared" si="26"/>
        <v>1.159</v>
      </c>
      <c r="V63" s="42">
        <v>7.0000000000000007E-2</v>
      </c>
      <c r="W63" s="56">
        <v>1159000</v>
      </c>
    </row>
    <row r="64" spans="1:23" x14ac:dyDescent="0.35">
      <c r="A64" s="31" t="s">
        <v>180</v>
      </c>
      <c r="C64" s="14">
        <f>IF(C$24&lt;&gt;"",C52-C58,"")</f>
        <v>3.1491800533333336</v>
      </c>
      <c r="D64" s="14">
        <f t="shared" ref="D64:L64" si="32">IF(D$24&lt;&gt;"",D52-D58,"")</f>
        <v>3.1921129173336853</v>
      </c>
      <c r="E64" s="14">
        <f t="shared" si="32"/>
        <v>3.2328084693333325</v>
      </c>
      <c r="F64" s="14">
        <f t="shared" si="32"/>
        <v>3.2712667093329806</v>
      </c>
      <c r="G64" s="14">
        <f t="shared" si="32"/>
        <v>3.3069283093333324</v>
      </c>
      <c r="H64" s="14">
        <f t="shared" si="32"/>
        <v>2.640352597333683</v>
      </c>
      <c r="I64" s="14">
        <f t="shared" si="32"/>
        <v>1.9810481493333301</v>
      </c>
      <c r="J64" s="14">
        <f t="shared" si="32"/>
        <v>1.3292919893336812</v>
      </c>
      <c r="K64" s="14">
        <f t="shared" si="32"/>
        <v>0.68530446933368072</v>
      </c>
      <c r="L64" s="14">
        <f t="shared" si="32"/>
        <v>4.8321749333328334E-2</v>
      </c>
      <c r="N64" s="39">
        <v>1040</v>
      </c>
      <c r="O64" s="40">
        <v>6.977665</v>
      </c>
      <c r="P64" s="56">
        <v>250000</v>
      </c>
      <c r="Q64" s="56">
        <v>27000</v>
      </c>
      <c r="R64" s="56">
        <v>640000</v>
      </c>
      <c r="S64" s="41">
        <f t="shared" si="31"/>
        <v>1.0169999999999999</v>
      </c>
      <c r="T64" s="53">
        <v>8.4000000000000005E-2</v>
      </c>
      <c r="U64" s="41">
        <f t="shared" si="26"/>
        <v>1.101</v>
      </c>
      <c r="V64" s="42">
        <v>7.0000000000000007E-2</v>
      </c>
      <c r="W64" s="56">
        <v>1101000</v>
      </c>
    </row>
    <row r="65" spans="1:23" x14ac:dyDescent="0.35">
      <c r="A65" s="31" t="s">
        <v>181</v>
      </c>
      <c r="C65" s="14">
        <f t="shared" ref="C65:L68" si="33">IF(C$24&lt;&gt;"",C53-C59,"")</f>
        <v>0.96639864000000009</v>
      </c>
      <c r="D65" s="14">
        <f t="shared" si="33"/>
        <v>1.006598608000024</v>
      </c>
      <c r="E65" s="14">
        <f t="shared" si="33"/>
        <v>1.0466460319999999</v>
      </c>
      <c r="F65" s="14">
        <f t="shared" si="33"/>
        <v>1.0865409119999758</v>
      </c>
      <c r="G65" s="14">
        <f t="shared" si="33"/>
        <v>1.1262451119999999</v>
      </c>
      <c r="H65" s="14">
        <f t="shared" si="33"/>
        <v>1.1017967680000238</v>
      </c>
      <c r="I65" s="14">
        <f t="shared" si="33"/>
        <v>1.0778441919999999</v>
      </c>
      <c r="J65" s="14">
        <f t="shared" si="33"/>
        <v>1.054406272000024</v>
      </c>
      <c r="K65" s="14">
        <f t="shared" si="33"/>
        <v>1.035498032000024</v>
      </c>
      <c r="L65" s="14">
        <f t="shared" si="33"/>
        <v>1.017067392</v>
      </c>
      <c r="N65" s="39">
        <v>1045</v>
      </c>
      <c r="O65" s="40">
        <v>7.3260519999999998</v>
      </c>
      <c r="P65" s="56">
        <v>200000</v>
      </c>
      <c r="Q65" s="56">
        <v>27000</v>
      </c>
      <c r="R65" s="56">
        <v>640000</v>
      </c>
      <c r="S65" s="41">
        <f t="shared" si="31"/>
        <v>0.96699999999999997</v>
      </c>
      <c r="T65" s="53">
        <v>7.5999999999999998E-2</v>
      </c>
      <c r="U65" s="41">
        <f t="shared" si="26"/>
        <v>1.0429999999999999</v>
      </c>
      <c r="V65" s="42">
        <v>7.0000000000000007E-2</v>
      </c>
      <c r="W65" s="56">
        <v>1043000</v>
      </c>
    </row>
    <row r="66" spans="1:23" x14ac:dyDescent="0.35">
      <c r="A66" s="31" t="s">
        <v>182</v>
      </c>
      <c r="C66" s="14">
        <f t="shared" si="33"/>
        <v>1.876387306666667</v>
      </c>
      <c r="D66" s="14">
        <f t="shared" si="33"/>
        <v>1.9702536746668904</v>
      </c>
      <c r="E66" s="14">
        <f t="shared" si="33"/>
        <v>2.0626962986666659</v>
      </c>
      <c r="F66" s="14">
        <f t="shared" si="33"/>
        <v>2.1537151786664421</v>
      </c>
      <c r="G66" s="14">
        <f t="shared" si="33"/>
        <v>2.2429543786666657</v>
      </c>
      <c r="H66" s="14">
        <f t="shared" si="33"/>
        <v>2.330769834666889</v>
      </c>
      <c r="I66" s="14">
        <f t="shared" si="33"/>
        <v>2.4232124586666646</v>
      </c>
      <c r="J66" s="14">
        <f t="shared" si="33"/>
        <v>2.520458538666889</v>
      </c>
      <c r="K66" s="14">
        <f t="shared" si="33"/>
        <v>2.7026482986668889</v>
      </c>
      <c r="L66" s="14">
        <f t="shared" si="33"/>
        <v>2.8892956586666654</v>
      </c>
      <c r="N66" s="39">
        <v>1050</v>
      </c>
      <c r="O66" s="40">
        <v>7.6828779999999997</v>
      </c>
      <c r="P66" s="56"/>
      <c r="Q66" s="56">
        <v>25000</v>
      </c>
      <c r="R66" s="56">
        <v>592000</v>
      </c>
      <c r="S66" s="41">
        <f t="shared" si="31"/>
        <v>0.71699999999999997</v>
      </c>
      <c r="T66" s="53">
        <v>3.4000000000000002E-2</v>
      </c>
      <c r="U66" s="41">
        <f t="shared" si="26"/>
        <v>0.751</v>
      </c>
      <c r="V66" s="42">
        <v>7.0000000000000007E-2</v>
      </c>
      <c r="W66" s="56">
        <v>751000</v>
      </c>
    </row>
    <row r="67" spans="1:23" x14ac:dyDescent="0.35">
      <c r="A67" s="31" t="s">
        <v>183</v>
      </c>
      <c r="C67" s="14">
        <f t="shared" si="33"/>
        <v>4.1000000000000005</v>
      </c>
      <c r="D67" s="14">
        <f t="shared" si="33"/>
        <v>4.1000000000000014</v>
      </c>
      <c r="E67" s="14">
        <f t="shared" si="33"/>
        <v>4.1000000000000023</v>
      </c>
      <c r="F67" s="14">
        <f t="shared" si="33"/>
        <v>4.1000000000000032</v>
      </c>
      <c r="G67" s="14">
        <f t="shared" si="33"/>
        <v>4.1000000000000041</v>
      </c>
      <c r="H67" s="14">
        <f t="shared" si="33"/>
        <v>4.1420000000000048</v>
      </c>
      <c r="I67" s="14">
        <f t="shared" si="33"/>
        <v>4.1840000000000055</v>
      </c>
      <c r="J67" s="14">
        <f t="shared" si="33"/>
        <v>4.2260000000000062</v>
      </c>
      <c r="K67" s="14">
        <f t="shared" si="33"/>
        <v>4.2680000000000069</v>
      </c>
      <c r="L67" s="14">
        <f t="shared" si="33"/>
        <v>4.3100000000000076</v>
      </c>
      <c r="N67" s="39">
        <v>1075</v>
      </c>
      <c r="O67" s="40">
        <v>9.6009879999900001</v>
      </c>
      <c r="P67" s="56"/>
      <c r="Q67" s="56">
        <v>21000</v>
      </c>
      <c r="R67" s="56">
        <v>512000</v>
      </c>
      <c r="S67" s="41">
        <f t="shared" si="31"/>
        <v>0.63300000000000001</v>
      </c>
      <c r="T67" s="53">
        <v>0.03</v>
      </c>
      <c r="U67" s="41">
        <f t="shared" si="26"/>
        <v>0.66300000000000003</v>
      </c>
      <c r="V67" s="42">
        <v>0.05</v>
      </c>
      <c r="W67" s="56">
        <v>663000</v>
      </c>
    </row>
    <row r="68" spans="1:23" x14ac:dyDescent="0.35">
      <c r="A68" s="31" t="s">
        <v>4</v>
      </c>
      <c r="C68" s="14">
        <f t="shared" si="33"/>
        <v>9.000000000000119E-3</v>
      </c>
      <c r="D68" s="14">
        <f t="shared" si="33"/>
        <v>1.8000000000000238E-2</v>
      </c>
      <c r="E68" s="14">
        <f t="shared" si="33"/>
        <v>2.7000000000000357E-2</v>
      </c>
      <c r="F68" s="14">
        <f t="shared" si="33"/>
        <v>3.6000000000000476E-2</v>
      </c>
      <c r="G68" s="14">
        <f t="shared" si="33"/>
        <v>4.5000000000000595E-2</v>
      </c>
      <c r="H68" s="14">
        <f t="shared" si="33"/>
        <v>5.4000000000000714E-2</v>
      </c>
      <c r="I68" s="14">
        <f t="shared" si="33"/>
        <v>6.3000000000000833E-2</v>
      </c>
      <c r="J68" s="14">
        <f t="shared" si="33"/>
        <v>7.2000000000000952E-2</v>
      </c>
      <c r="K68" s="14">
        <f t="shared" si="33"/>
        <v>8.5000000000001075E-2</v>
      </c>
      <c r="L68" s="14">
        <f t="shared" si="33"/>
        <v>9.8000000000001197E-2</v>
      </c>
      <c r="N68" s="39">
        <v>1090</v>
      </c>
      <c r="O68" s="40">
        <v>10.857008</v>
      </c>
      <c r="P68" s="56"/>
      <c r="Q68" s="56">
        <v>8000</v>
      </c>
      <c r="R68" s="56">
        <v>192000</v>
      </c>
      <c r="S68" s="41">
        <f t="shared" si="31"/>
        <v>0.30000000000000004</v>
      </c>
      <c r="T68" s="53">
        <v>4.1000000000000002E-2</v>
      </c>
      <c r="U68" s="41">
        <f t="shared" si="26"/>
        <v>0.34100000000000003</v>
      </c>
      <c r="V68" s="38"/>
      <c r="W68" s="56">
        <v>341000</v>
      </c>
    </row>
    <row r="69" spans="1:23" x14ac:dyDescent="0.35">
      <c r="A69" s="1" t="s">
        <v>163</v>
      </c>
      <c r="B69" s="1"/>
      <c r="C69" s="14">
        <f t="shared" ref="C69:L69" si="34">IF(C$24&lt;&gt;"",SUM(C64:C68),"")</f>
        <v>10.100966000000003</v>
      </c>
      <c r="D69" s="14">
        <f t="shared" si="34"/>
        <v>10.286965200000601</v>
      </c>
      <c r="E69" s="14">
        <f t="shared" si="34"/>
        <v>10.469150800000001</v>
      </c>
      <c r="F69" s="14">
        <f t="shared" si="34"/>
        <v>10.6475227999994</v>
      </c>
      <c r="G69" s="14">
        <f t="shared" si="34"/>
        <v>10.821127800000001</v>
      </c>
      <c r="H69" s="14">
        <f t="shared" si="34"/>
        <v>10.268919200000601</v>
      </c>
      <c r="I69" s="14">
        <f t="shared" si="34"/>
        <v>9.7291048</v>
      </c>
      <c r="J69" s="14">
        <f t="shared" si="34"/>
        <v>9.2021568000006013</v>
      </c>
      <c r="K69" s="14">
        <f t="shared" si="34"/>
        <v>8.7764508000006014</v>
      </c>
      <c r="L69" s="14">
        <f t="shared" si="34"/>
        <v>8.362684800000002</v>
      </c>
      <c r="N69" s="38" t="s">
        <v>194</v>
      </c>
      <c r="O69" s="64">
        <v>10.91</v>
      </c>
      <c r="P69" s="38">
        <v>0</v>
      </c>
      <c r="Q69" s="37">
        <v>0</v>
      </c>
      <c r="R69" s="65">
        <v>0</v>
      </c>
      <c r="S69" s="38">
        <v>0</v>
      </c>
      <c r="T69" s="66">
        <v>0</v>
      </c>
      <c r="U69" s="38">
        <v>0</v>
      </c>
      <c r="V69" s="67">
        <v>0</v>
      </c>
      <c r="W69" s="65">
        <v>0</v>
      </c>
    </row>
    <row r="70" spans="1:23" x14ac:dyDescent="0.35">
      <c r="A70" s="1" t="s">
        <v>164</v>
      </c>
      <c r="B70" s="1"/>
      <c r="C70" s="14">
        <f>IF(C24&lt;&gt;"",SUM(C58:C62),"")</f>
        <v>8.3149999999999995</v>
      </c>
      <c r="D70" s="14">
        <f t="shared" ref="D70:L70" si="35">IF(D24&lt;&gt;"",SUM(D58:D62),"")</f>
        <v>8.3149999999999995</v>
      </c>
      <c r="E70" s="14">
        <f t="shared" si="35"/>
        <v>8.3149999999999995</v>
      </c>
      <c r="F70" s="14">
        <f t="shared" si="35"/>
        <v>8.3149999999999995</v>
      </c>
      <c r="G70" s="14">
        <f t="shared" si="35"/>
        <v>8.3149999999999995</v>
      </c>
      <c r="H70" s="14">
        <f t="shared" si="35"/>
        <v>9.0370000000000008</v>
      </c>
      <c r="I70" s="14">
        <f t="shared" si="35"/>
        <v>9.0370000000000008</v>
      </c>
      <c r="J70" s="14">
        <f t="shared" si="35"/>
        <v>9.0370000000000008</v>
      </c>
      <c r="K70" s="14">
        <f t="shared" si="35"/>
        <v>8.9489999999999998</v>
      </c>
      <c r="L70" s="14">
        <f t="shared" si="35"/>
        <v>8.9489999999999998</v>
      </c>
    </row>
    <row r="72" spans="1:23" x14ac:dyDescent="0.35">
      <c r="A72" s="1" t="s">
        <v>109</v>
      </c>
      <c r="C72" s="12">
        <f>IF(C$24&lt;&gt;"",0.2,"")</f>
        <v>0.2</v>
      </c>
      <c r="D72" s="12">
        <f t="shared" ref="D72:L72" si="36">IF(D$24&lt;&gt;"",0.2,"")</f>
        <v>0.2</v>
      </c>
      <c r="E72" s="12">
        <f t="shared" si="36"/>
        <v>0.2</v>
      </c>
      <c r="F72" s="12">
        <f t="shared" si="36"/>
        <v>0.2</v>
      </c>
      <c r="G72" s="12">
        <f t="shared" si="36"/>
        <v>0.2</v>
      </c>
      <c r="H72" s="12">
        <f t="shared" si="36"/>
        <v>0.2</v>
      </c>
      <c r="I72" s="12">
        <f t="shared" si="36"/>
        <v>0.2</v>
      </c>
      <c r="J72" s="12">
        <f t="shared" si="36"/>
        <v>0.2</v>
      </c>
      <c r="K72" s="12">
        <f t="shared" si="36"/>
        <v>0.2</v>
      </c>
      <c r="L72" s="12">
        <f t="shared" si="36"/>
        <v>0.2</v>
      </c>
    </row>
    <row r="73" spans="1:23" x14ac:dyDescent="0.35">
      <c r="A73" t="s">
        <v>186</v>
      </c>
      <c r="C73" s="14">
        <f t="shared" ref="C73:L73" si="37">IF(C$24&lt;&gt;"",C64+C$72/2,"")</f>
        <v>3.2491800533333337</v>
      </c>
      <c r="D73" s="14">
        <f t="shared" si="37"/>
        <v>3.2921129173336854</v>
      </c>
      <c r="E73" s="14">
        <f t="shared" si="37"/>
        <v>3.3328084693333326</v>
      </c>
      <c r="F73" s="14">
        <f t="shared" si="37"/>
        <v>3.3712667093329807</v>
      </c>
      <c r="G73" s="14">
        <f t="shared" si="37"/>
        <v>3.4069283093333325</v>
      </c>
      <c r="H73" s="14">
        <f t="shared" si="37"/>
        <v>2.7403525973336831</v>
      </c>
      <c r="I73" s="14">
        <f t="shared" si="37"/>
        <v>2.0810481493333302</v>
      </c>
      <c r="J73" s="14">
        <f t="shared" si="37"/>
        <v>1.4292919893336813</v>
      </c>
      <c r="K73" s="14">
        <f t="shared" si="37"/>
        <v>0.7853044693336807</v>
      </c>
      <c r="L73" s="14">
        <f t="shared" si="37"/>
        <v>0.14832174933332834</v>
      </c>
    </row>
    <row r="74" spans="1:23" x14ac:dyDescent="0.35">
      <c r="A74" s="31" t="s">
        <v>187</v>
      </c>
      <c r="C74" s="14">
        <f t="shared" ref="C74:L74" si="38">IF(C$24&lt;&gt;"",C65+C$72/2,"")</f>
        <v>1.0663986400000001</v>
      </c>
      <c r="D74" s="14">
        <f t="shared" si="38"/>
        <v>1.1065986080000241</v>
      </c>
      <c r="E74" s="14">
        <f t="shared" si="38"/>
        <v>1.146646032</v>
      </c>
      <c r="F74" s="14">
        <f t="shared" si="38"/>
        <v>1.1865409119999759</v>
      </c>
      <c r="G74" s="14">
        <f t="shared" si="38"/>
        <v>1.226245112</v>
      </c>
      <c r="H74" s="14">
        <f t="shared" si="38"/>
        <v>1.2017967680000239</v>
      </c>
      <c r="I74" s="14">
        <f t="shared" si="38"/>
        <v>1.177844192</v>
      </c>
      <c r="J74" s="14">
        <f t="shared" si="38"/>
        <v>1.1544062720000241</v>
      </c>
      <c r="K74" s="14">
        <f t="shared" si="38"/>
        <v>1.1354980320000241</v>
      </c>
      <c r="L74" s="14">
        <f t="shared" si="38"/>
        <v>1.117067392</v>
      </c>
    </row>
    <row r="75" spans="1:23" x14ac:dyDescent="0.35">
      <c r="D75" s="18"/>
    </row>
  </sheetData>
  <mergeCells count="7">
    <mergeCell ref="D17:I17"/>
    <mergeCell ref="C5:H5"/>
    <mergeCell ref="C6:H6"/>
    <mergeCell ref="C7:H7"/>
    <mergeCell ref="C8:H8"/>
    <mergeCell ref="C9:H9"/>
    <mergeCell ref="C10:H10"/>
  </mergeCells>
  <conditionalFormatting sqref="C58:L62">
    <cfRule type="cellIs" dxfId="40" priority="11" operator="greaterThan">
      <formula>$C$52</formula>
    </cfRule>
  </conditionalFormatting>
  <conditionalFormatting sqref="C49:L49">
    <cfRule type="cellIs" dxfId="39" priority="10" stopIfTrue="1" operator="notEqual">
      <formula>0</formula>
    </cfRule>
  </conditionalFormatting>
  <conditionalFormatting sqref="C49:L49">
    <cfRule type="cellIs" dxfId="38" priority="9" stopIfTrue="1" operator="equal">
      <formula>""</formula>
    </cfRule>
  </conditionalFormatting>
  <conditionalFormatting sqref="C62:G62">
    <cfRule type="cellIs" dxfId="37" priority="8" operator="greaterThan">
      <formula>$C$56</formula>
    </cfRule>
  </conditionalFormatting>
  <conditionalFormatting sqref="D62">
    <cfRule type="cellIs" dxfId="36" priority="7" operator="greaterThan">
      <formula>$D$56</formula>
    </cfRule>
  </conditionalFormatting>
  <conditionalFormatting sqref="E62">
    <cfRule type="cellIs" dxfId="35" priority="6" operator="greaterThan">
      <formula>$E$56</formula>
    </cfRule>
  </conditionalFormatting>
  <conditionalFormatting sqref="F62">
    <cfRule type="cellIs" dxfId="34" priority="5" operator="greaterThan">
      <formula>$F$56</formula>
    </cfRule>
  </conditionalFormatting>
  <conditionalFormatting sqref="G62">
    <cfRule type="cellIs" dxfId="33" priority="4" operator="greaterThan">
      <formula>$G$56</formula>
    </cfRule>
  </conditionalFormatting>
  <conditionalFormatting sqref="C59:G59">
    <cfRule type="cellIs" dxfId="32" priority="3" operator="greaterThan">
      <formula>$C$53</formula>
    </cfRule>
  </conditionalFormatting>
  <conditionalFormatting sqref="C60:G60">
    <cfRule type="cellIs" dxfId="31" priority="2" operator="greaterThan">
      <formula>$C$54</formula>
    </cfRule>
  </conditionalFormatting>
  <conditionalFormatting sqref="C61:G61">
    <cfRule type="cellIs" dxfId="30" priority="1" operator="greaterThan">
      <formula>$C$55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616F-FCF2-4465-9405-C17989B2BC95}">
  <dimension ref="A1:W75"/>
  <sheetViews>
    <sheetView topLeftCell="B25" zoomScale="150" zoomScaleNormal="150" workbookViewId="0">
      <selection activeCell="C59" sqref="C59:L62"/>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4" max="14" width="12.26953125" customWidth="1"/>
    <col min="15" max="15" width="13" customWidth="1"/>
    <col min="16" max="16" width="9.81640625" customWidth="1"/>
    <col min="17" max="17" width="12" style="2" customWidth="1"/>
    <col min="18" max="18" width="14.7265625" customWidth="1"/>
    <col min="20" max="20" width="10.90625" customWidth="1"/>
    <col min="23" max="23" width="10.90625" customWidth="1"/>
  </cols>
  <sheetData>
    <row r="1" spans="1:11" x14ac:dyDescent="0.35">
      <c r="A1" s="1" t="s">
        <v>92</v>
      </c>
      <c r="B1" s="1"/>
    </row>
    <row r="2" spans="1:11" x14ac:dyDescent="0.35">
      <c r="A2" s="1"/>
      <c r="B2" s="1"/>
    </row>
    <row r="3" spans="1:11" ht="16.5" customHeight="1" x14ac:dyDescent="0.35">
      <c r="A3" s="26" t="s">
        <v>52</v>
      </c>
      <c r="B3" s="26"/>
      <c r="C3" s="26"/>
      <c r="D3" s="26"/>
      <c r="E3" s="26"/>
      <c r="F3" s="26"/>
      <c r="G3" s="26"/>
      <c r="H3" s="26"/>
      <c r="I3" s="26"/>
      <c r="J3" s="26"/>
      <c r="K3" s="26"/>
    </row>
    <row r="4" spans="1:11" x14ac:dyDescent="0.35">
      <c r="A4" s="17" t="s">
        <v>40</v>
      </c>
      <c r="B4" s="13" t="s">
        <v>44</v>
      </c>
      <c r="C4" s="1" t="s">
        <v>45</v>
      </c>
    </row>
    <row r="5" spans="1:11" x14ac:dyDescent="0.35">
      <c r="A5" s="27" t="s">
        <v>53</v>
      </c>
      <c r="B5" s="34"/>
      <c r="C5" s="83" t="s">
        <v>130</v>
      </c>
      <c r="D5" s="83"/>
      <c r="E5" s="83"/>
      <c r="F5" s="83"/>
      <c r="G5" s="83"/>
      <c r="H5" s="83"/>
    </row>
    <row r="6" spans="1:11" x14ac:dyDescent="0.35">
      <c r="A6" s="16" t="s">
        <v>157</v>
      </c>
      <c r="B6" s="34"/>
      <c r="C6" s="83" t="s">
        <v>130</v>
      </c>
      <c r="D6" s="83"/>
      <c r="E6" s="83"/>
      <c r="F6" s="83"/>
      <c r="G6" s="83"/>
      <c r="H6" s="83"/>
    </row>
    <row r="7" spans="1:11" x14ac:dyDescent="0.35">
      <c r="A7" s="16" t="s">
        <v>158</v>
      </c>
      <c r="B7" s="34"/>
      <c r="C7" s="83" t="s">
        <v>130</v>
      </c>
      <c r="D7" s="83"/>
      <c r="E7" s="83"/>
      <c r="F7" s="83"/>
      <c r="G7" s="83"/>
      <c r="H7" s="83"/>
    </row>
    <row r="8" spans="1:11" x14ac:dyDescent="0.35">
      <c r="A8" s="16" t="s">
        <v>159</v>
      </c>
      <c r="B8" s="34"/>
      <c r="C8" s="83" t="s">
        <v>130</v>
      </c>
      <c r="D8" s="83"/>
      <c r="E8" s="83"/>
      <c r="F8" s="83"/>
      <c r="G8" s="83"/>
      <c r="H8" s="83"/>
    </row>
    <row r="9" spans="1:11" x14ac:dyDescent="0.35">
      <c r="A9" s="16" t="s">
        <v>160</v>
      </c>
      <c r="B9" s="52"/>
      <c r="C9" s="83" t="s">
        <v>192</v>
      </c>
      <c r="D9" s="83"/>
      <c r="E9" s="83"/>
      <c r="F9" s="83"/>
      <c r="G9" s="83"/>
      <c r="H9" s="83"/>
    </row>
    <row r="10" spans="1:11" x14ac:dyDescent="0.35">
      <c r="A10" s="16" t="s">
        <v>43</v>
      </c>
      <c r="B10" s="52"/>
      <c r="C10" s="83" t="s">
        <v>130</v>
      </c>
      <c r="D10" s="83"/>
      <c r="E10" s="83"/>
      <c r="F10" s="83"/>
      <c r="G10" s="83"/>
      <c r="H10" s="83"/>
    </row>
    <row r="11" spans="1:11" x14ac:dyDescent="0.35">
      <c r="A11" s="16"/>
      <c r="B11" s="2"/>
      <c r="C11"/>
    </row>
    <row r="12" spans="1:11" x14ac:dyDescent="0.35">
      <c r="A12" s="19" t="s">
        <v>47</v>
      </c>
      <c r="B12" s="2"/>
      <c r="C12"/>
    </row>
    <row r="13" spans="1:11" x14ac:dyDescent="0.35">
      <c r="A13" s="20" t="s">
        <v>54</v>
      </c>
    </row>
    <row r="14" spans="1:11" x14ac:dyDescent="0.35">
      <c r="A14" s="22" t="s">
        <v>49</v>
      </c>
      <c r="B14" s="19"/>
    </row>
    <row r="15" spans="1:11" x14ac:dyDescent="0.35">
      <c r="A15" s="21" t="s">
        <v>48</v>
      </c>
    </row>
    <row r="17" spans="1:17" x14ac:dyDescent="0.35">
      <c r="A17" s="1" t="s">
        <v>55</v>
      </c>
      <c r="D17" s="81"/>
      <c r="E17" s="82"/>
      <c r="F17" s="82"/>
      <c r="G17" s="82"/>
      <c r="H17" s="82"/>
      <c r="I17" s="82"/>
    </row>
    <row r="19" spans="1:17" x14ac:dyDescent="0.35">
      <c r="A19" s="1" t="s">
        <v>33</v>
      </c>
      <c r="B19" s="13" t="s">
        <v>95</v>
      </c>
      <c r="C19"/>
    </row>
    <row r="20" spans="1:17" x14ac:dyDescent="0.35">
      <c r="A20" t="s">
        <v>93</v>
      </c>
      <c r="B20" s="12">
        <v>6</v>
      </c>
      <c r="C20"/>
      <c r="D20" s="23" t="s">
        <v>96</v>
      </c>
    </row>
    <row r="21" spans="1:17" x14ac:dyDescent="0.35">
      <c r="A21" t="s">
        <v>127</v>
      </c>
      <c r="B21" s="12">
        <v>9.9</v>
      </c>
      <c r="C21"/>
      <c r="D21" s="11" t="s">
        <v>161</v>
      </c>
    </row>
    <row r="23" spans="1:17" s="1" customFormat="1" x14ac:dyDescent="0.35">
      <c r="A23" s="46" t="s">
        <v>36</v>
      </c>
      <c r="B23" s="46" t="s">
        <v>50</v>
      </c>
      <c r="C23" s="47" t="s">
        <v>6</v>
      </c>
      <c r="D23" s="47" t="s">
        <v>7</v>
      </c>
      <c r="E23" s="47" t="s">
        <v>8</v>
      </c>
      <c r="F23" s="47" t="s">
        <v>9</v>
      </c>
      <c r="G23" s="47" t="s">
        <v>10</v>
      </c>
      <c r="H23" s="47" t="s">
        <v>11</v>
      </c>
      <c r="I23" s="47" t="s">
        <v>12</v>
      </c>
      <c r="J23" s="47" t="s">
        <v>13</v>
      </c>
      <c r="K23" s="47" t="s">
        <v>37</v>
      </c>
      <c r="L23" s="47" t="s">
        <v>38</v>
      </c>
      <c r="M23" s="47" t="s">
        <v>90</v>
      </c>
      <c r="Q23" s="13"/>
    </row>
    <row r="24" spans="1:17" x14ac:dyDescent="0.35">
      <c r="A24" s="1" t="s">
        <v>46</v>
      </c>
      <c r="B24" s="1"/>
      <c r="C24" s="45">
        <v>9</v>
      </c>
      <c r="D24" s="45">
        <f>C24</f>
        <v>9</v>
      </c>
      <c r="E24" s="45">
        <f t="shared" ref="E24:L24" si="0">D24</f>
        <v>9</v>
      </c>
      <c r="F24" s="45">
        <f t="shared" si="0"/>
        <v>9</v>
      </c>
      <c r="G24" s="45">
        <f t="shared" si="0"/>
        <v>9</v>
      </c>
      <c r="H24" s="45">
        <f t="shared" si="0"/>
        <v>9</v>
      </c>
      <c r="I24" s="45">
        <f t="shared" si="0"/>
        <v>9</v>
      </c>
      <c r="J24" s="45">
        <f t="shared" si="0"/>
        <v>9</v>
      </c>
      <c r="K24" s="45">
        <f t="shared" si="0"/>
        <v>9</v>
      </c>
      <c r="L24" s="45">
        <f t="shared" si="0"/>
        <v>9</v>
      </c>
    </row>
    <row r="25" spans="1:17" x14ac:dyDescent="0.35">
      <c r="A25" s="1" t="s">
        <v>162</v>
      </c>
      <c r="B25" s="1"/>
      <c r="C25" s="14">
        <f>IF(C$24&lt;&gt;"",$B$21,"")</f>
        <v>9.9</v>
      </c>
      <c r="D25" s="14">
        <f t="shared" ref="D25:L25" si="1">IF(D$24&lt;&gt;"",C69,"")</f>
        <v>9.3369659999999985</v>
      </c>
      <c r="E25" s="14">
        <f t="shared" si="1"/>
        <v>8.8662239999999972</v>
      </c>
      <c r="F25" s="14">
        <f t="shared" si="1"/>
        <v>8.4082860000005955</v>
      </c>
      <c r="G25" s="14">
        <f t="shared" si="1"/>
        <v>7.9633800000005959</v>
      </c>
      <c r="H25" s="14">
        <f t="shared" si="1"/>
        <v>7.5315059999999949</v>
      </c>
      <c r="I25" s="14">
        <f t="shared" si="1"/>
        <v>7.4043219999999952</v>
      </c>
      <c r="J25" s="14">
        <f t="shared" si="1"/>
        <v>7.2801740000005957</v>
      </c>
      <c r="K25" s="14">
        <f t="shared" si="1"/>
        <v>7.2180699999999955</v>
      </c>
      <c r="L25" s="14">
        <f t="shared" si="1"/>
        <v>7.1579939999999933</v>
      </c>
    </row>
    <row r="26" spans="1:17" x14ac:dyDescent="0.35">
      <c r="A26" t="s">
        <v>165</v>
      </c>
      <c r="B26" s="24">
        <f>4.4/7.5</f>
        <v>0.58666666666666667</v>
      </c>
      <c r="C26" s="14">
        <f>IF(C$24&lt;&gt;"",1.05+(C$25-C$29-2.3)*B26,"")</f>
        <v>5.5086666666666666</v>
      </c>
      <c r="D26" s="14">
        <f>IF(D24&lt;&gt;"",C64,"")</f>
        <v>4.8597933866666665</v>
      </c>
      <c r="E26" s="14">
        <f t="shared" ref="E26:L26" si="2">IF(E24&lt;&gt;"",D64,"")</f>
        <v>4.2216514133333316</v>
      </c>
      <c r="F26" s="14">
        <f t="shared" si="2"/>
        <v>3.5910211200003488</v>
      </c>
      <c r="G26" s="14">
        <f t="shared" si="2"/>
        <v>2.9680362666670153</v>
      </c>
      <c r="H26" s="14">
        <f t="shared" si="2"/>
        <v>2.3526968533333292</v>
      </c>
      <c r="I26" s="14">
        <f t="shared" si="2"/>
        <v>1.9694422399999958</v>
      </c>
      <c r="J26" s="14">
        <f t="shared" si="2"/>
        <v>1.5879687466670145</v>
      </c>
      <c r="K26" s="14">
        <f t="shared" si="2"/>
        <v>1.2635610666666626</v>
      </c>
      <c r="L26" s="14">
        <f t="shared" si="2"/>
        <v>0.94034314666666141</v>
      </c>
      <c r="N26" s="48"/>
    </row>
    <row r="27" spans="1:17" x14ac:dyDescent="0.35">
      <c r="A27" t="s">
        <v>166</v>
      </c>
      <c r="B27" s="24">
        <f>0.3/7.5</f>
        <v>0.04</v>
      </c>
      <c r="C27" s="14">
        <f>IF(C$24&lt;&gt;"",0.786+(C$25-C$29-2.3)*B27,"")</f>
        <v>1.0900000000000001</v>
      </c>
      <c r="D27" s="14">
        <f t="shared" ref="D27:L30" si="3">IF(D25&lt;&gt;"",C65,"")</f>
        <v>1.0667586400000002</v>
      </c>
      <c r="E27" s="14">
        <f t="shared" si="3"/>
        <v>1.0482489600000002</v>
      </c>
      <c r="F27" s="14">
        <f t="shared" si="3"/>
        <v>1.0302514400000242</v>
      </c>
      <c r="G27" s="14">
        <f t="shared" si="3"/>
        <v>1.0127752000000243</v>
      </c>
      <c r="H27" s="14">
        <f t="shared" si="3"/>
        <v>0.99582024000000047</v>
      </c>
      <c r="I27" s="14">
        <f t="shared" si="3"/>
        <v>0.98305288000000046</v>
      </c>
      <c r="J27" s="14">
        <f t="shared" si="3"/>
        <v>0.97040696000002469</v>
      </c>
      <c r="K27" s="14">
        <f t="shared" si="3"/>
        <v>0.95824280000000073</v>
      </c>
      <c r="L27" s="14">
        <f t="shared" si="3"/>
        <v>0.94615976000000068</v>
      </c>
    </row>
    <row r="28" spans="1:17" x14ac:dyDescent="0.35">
      <c r="A28" t="s">
        <v>167</v>
      </c>
      <c r="B28" s="24">
        <f>2.8/7.5</f>
        <v>0.37333333333333329</v>
      </c>
      <c r="C28" s="14">
        <f>IF(C$24&lt;&gt;"",0.474+(C$25-C$29-2.3)*B28,"")</f>
        <v>3.3113333333333328</v>
      </c>
      <c r="D28" s="14">
        <f t="shared" si="3"/>
        <v>3.4104139733333327</v>
      </c>
      <c r="E28" s="14">
        <f t="shared" si="3"/>
        <v>3.5963236266666656</v>
      </c>
      <c r="F28" s="14">
        <f t="shared" si="3"/>
        <v>3.7870134400002224</v>
      </c>
      <c r="G28" s="14">
        <f t="shared" si="3"/>
        <v>3.9825685333335561</v>
      </c>
      <c r="H28" s="14">
        <f t="shared" si="3"/>
        <v>4.1829889066666652</v>
      </c>
      <c r="I28" s="14">
        <f t="shared" si="3"/>
        <v>4.4518268799999987</v>
      </c>
      <c r="J28" s="14">
        <f t="shared" si="3"/>
        <v>4.7217982933335563</v>
      </c>
      <c r="K28" s="14">
        <f t="shared" si="3"/>
        <v>4.9962661333333322</v>
      </c>
      <c r="L28" s="14">
        <f t="shared" si="3"/>
        <v>5.2714910933333314</v>
      </c>
    </row>
    <row r="29" spans="1:17" x14ac:dyDescent="0.35">
      <c r="A29" t="s">
        <v>168</v>
      </c>
      <c r="B29" s="58">
        <v>0</v>
      </c>
      <c r="C29" s="14">
        <f>IF(C$24&lt;&gt;"",B29,"")</f>
        <v>0</v>
      </c>
      <c r="D29" s="14">
        <f t="shared" si="3"/>
        <v>0</v>
      </c>
      <c r="E29" s="14">
        <f t="shared" si="3"/>
        <v>0</v>
      </c>
      <c r="F29" s="14">
        <f t="shared" si="3"/>
        <v>0</v>
      </c>
      <c r="G29" s="14">
        <f t="shared" si="3"/>
        <v>0</v>
      </c>
      <c r="H29" s="14">
        <f t="shared" si="3"/>
        <v>0</v>
      </c>
      <c r="I29" s="14">
        <f t="shared" si="3"/>
        <v>0</v>
      </c>
      <c r="J29" s="14">
        <f t="shared" si="3"/>
        <v>0</v>
      </c>
      <c r="K29" s="14">
        <f t="shared" si="3"/>
        <v>0</v>
      </c>
      <c r="L29" s="14">
        <f t="shared" si="3"/>
        <v>0</v>
      </c>
    </row>
    <row r="30" spans="1:17" x14ac:dyDescent="0.35">
      <c r="A30" t="s">
        <v>32</v>
      </c>
      <c r="B30" s="62">
        <v>0</v>
      </c>
      <c r="C30" s="14">
        <f>IF(C$24&lt;&gt;"",B30,"")</f>
        <v>0</v>
      </c>
      <c r="D30" s="14">
        <f t="shared" si="3"/>
        <v>0</v>
      </c>
      <c r="E30" s="14">
        <f t="shared" si="3"/>
        <v>0</v>
      </c>
      <c r="F30" s="14">
        <f t="shared" si="3"/>
        <v>0</v>
      </c>
      <c r="G30" s="14">
        <f t="shared" si="3"/>
        <v>0</v>
      </c>
      <c r="H30" s="14">
        <f t="shared" si="3"/>
        <v>0</v>
      </c>
      <c r="I30" s="14">
        <f t="shared" si="3"/>
        <v>0</v>
      </c>
      <c r="J30" s="14">
        <f t="shared" si="3"/>
        <v>0</v>
      </c>
      <c r="K30" s="14">
        <f t="shared" si="3"/>
        <v>0</v>
      </c>
      <c r="L30" s="14">
        <f t="shared" si="3"/>
        <v>0</v>
      </c>
    </row>
    <row r="31" spans="1:17" x14ac:dyDescent="0.35">
      <c r="A31" s="1" t="s">
        <v>188</v>
      </c>
      <c r="B31" s="1"/>
      <c r="C31" s="14">
        <f>IF(C$24&lt;&gt;"", $B$20*VLOOKUP(C$25*1000000,'Mead-Elevation-Area'!$B$5:$D$676,3)/1000000,"")</f>
        <v>0.49403399999999997</v>
      </c>
      <c r="D31" s="14">
        <f>IF(D$24&lt;&gt;"", $B$20*VLOOKUP(D$25*1000000,'Mead-Elevation-Area'!$B$5:$D$676,3)/1000000,"")</f>
        <v>0.479742</v>
      </c>
      <c r="E31" s="14">
        <f>IF(E$24&lt;&gt;"", $B$20*VLOOKUP(E$25*1000000,'Mead-Elevation-Area'!$B$5:$D$676,3)/1000000,"")</f>
        <v>0.4669379999994</v>
      </c>
      <c r="F31" s="14">
        <f>IF(F$24&lt;&gt;"", $B$20*VLOOKUP(F$25*1000000,'Mead-Elevation-Area'!$B$5:$D$676,3)/1000000,"")</f>
        <v>0.45390599999999998</v>
      </c>
      <c r="G31" s="14">
        <f>IF(G$24&lt;&gt;"", $B$20*VLOOKUP(G$25*1000000,'Mead-Elevation-Area'!$B$5:$D$676,3)/1000000,"")</f>
        <v>0.44087400000060001</v>
      </c>
      <c r="H31" s="14">
        <f>IF(H$24&lt;&gt;"", $B$20*VLOOKUP(H$25*1000000,'Mead-Elevation-Area'!$B$5:$D$676,3)/1000000,"")</f>
        <v>0.42818400000000001</v>
      </c>
      <c r="I31" s="14">
        <f>IF(I$24&lt;&gt;"", $B$20*VLOOKUP(I$25*1000000,'Mead-Elevation-Area'!$B$5:$D$676,3)/1000000,"")</f>
        <v>0.42514799999940001</v>
      </c>
      <c r="J31" s="14">
        <f>IF(J$24&lt;&gt;"", $B$20*VLOOKUP(J$25*1000000,'Mead-Elevation-Area'!$B$5:$D$676,3)/1000000,"")</f>
        <v>0.4211040000006</v>
      </c>
      <c r="K31" s="14">
        <f>IF(K$24&lt;&gt;"", $B$20*VLOOKUP(K$25*1000000,'Mead-Elevation-Area'!$B$5:$D$676,3)/1000000,"")</f>
        <v>0.419076</v>
      </c>
      <c r="L31" s="14">
        <f>IF(L$24&lt;&gt;"", $B$20*VLOOKUP(L$25*1000000,'Mead-Elevation-Area'!$B$5:$D$676,3)/1000000,"")</f>
        <v>0.41806200000060001</v>
      </c>
    </row>
    <row r="32" spans="1:17" x14ac:dyDescent="0.35">
      <c r="A32" t="s">
        <v>169</v>
      </c>
      <c r="B32" s="51"/>
      <c r="C32" s="14">
        <f t="shared" ref="C32:L32" si="4">IF(C$24&lt;&gt;"",C$31*C26/C$25,"")</f>
        <v>0.27489582101010096</v>
      </c>
      <c r="D32" s="14">
        <f t="shared" si="4"/>
        <v>0.24970070565815924</v>
      </c>
      <c r="E32" s="14">
        <f t="shared" si="4"/>
        <v>0.22233246843712801</v>
      </c>
      <c r="F32" s="14">
        <f t="shared" si="4"/>
        <v>0.19385473240262793</v>
      </c>
      <c r="G32" s="14">
        <f t="shared" si="4"/>
        <v>0.16431842019748355</v>
      </c>
      <c r="H32" s="14">
        <f t="shared" si="4"/>
        <v>0.13375640269657607</v>
      </c>
      <c r="I32" s="14">
        <f t="shared" si="4"/>
        <v>0.11308320052130864</v>
      </c>
      <c r="J32" s="14">
        <f t="shared" si="4"/>
        <v>9.1852199013013225E-2</v>
      </c>
      <c r="K32" s="14">
        <f t="shared" si="4"/>
        <v>7.3361455011436386E-2</v>
      </c>
      <c r="L32" s="14">
        <f t="shared" si="4"/>
        <v>5.4920657461059952E-2</v>
      </c>
    </row>
    <row r="33" spans="1:14" x14ac:dyDescent="0.35">
      <c r="A33" t="s">
        <v>170</v>
      </c>
      <c r="B33" s="51"/>
      <c r="C33" s="14">
        <f t="shared" ref="C33:L33" si="5">IF(C$24&lt;&gt;"",C$31*C27/C$25,"")</f>
        <v>5.4393642424242418E-2</v>
      </c>
      <c r="D33" s="14">
        <f t="shared" si="5"/>
        <v>5.48110514133692E-2</v>
      </c>
      <c r="E33" s="14">
        <f t="shared" si="5"/>
        <v>5.5205832029943225E-2</v>
      </c>
      <c r="F33" s="14">
        <f t="shared" si="5"/>
        <v>5.5616246893197718E-2</v>
      </c>
      <c r="G33" s="14">
        <f t="shared" si="5"/>
        <v>5.6069941849489158E-2</v>
      </c>
      <c r="H33" s="14">
        <f t="shared" si="5"/>
        <v>5.6614745263983128E-2</v>
      </c>
      <c r="I33" s="14">
        <f t="shared" si="5"/>
        <v>5.6445811760435415E-2</v>
      </c>
      <c r="J33" s="14">
        <f t="shared" si="5"/>
        <v>5.613083595040437E-2</v>
      </c>
      <c r="K33" s="14">
        <f t="shared" si="5"/>
        <v>5.5634894044086655E-2</v>
      </c>
      <c r="L33" s="14">
        <f t="shared" si="5"/>
        <v>5.5260376243077093E-2</v>
      </c>
    </row>
    <row r="34" spans="1:14" x14ac:dyDescent="0.35">
      <c r="A34" t="s">
        <v>171</v>
      </c>
      <c r="B34" s="51"/>
      <c r="C34" s="14">
        <f t="shared" ref="C34:L34" si="6">IF(C$24&lt;&gt;"",C$31*C28/C$25,"")</f>
        <v>0.16524356080808078</v>
      </c>
      <c r="D34" s="14">
        <f t="shared" si="6"/>
        <v>0.17523024292847164</v>
      </c>
      <c r="E34" s="14">
        <f t="shared" si="6"/>
        <v>0.18939969953232877</v>
      </c>
      <c r="F34" s="14">
        <f t="shared" si="6"/>
        <v>0.20443502070417433</v>
      </c>
      <c r="G34" s="14">
        <f t="shared" si="6"/>
        <v>0.22048563795362727</v>
      </c>
      <c r="H34" s="14">
        <f t="shared" si="6"/>
        <v>0.2378128520394408</v>
      </c>
      <c r="I34" s="14">
        <f t="shared" si="6"/>
        <v>0.2556189877176559</v>
      </c>
      <c r="J34" s="14">
        <f t="shared" si="6"/>
        <v>0.27312096503718242</v>
      </c>
      <c r="K34" s="14">
        <f t="shared" si="6"/>
        <v>0.29007965094447696</v>
      </c>
      <c r="L34" s="14">
        <f t="shared" si="6"/>
        <v>0.307880966296463</v>
      </c>
    </row>
    <row r="35" spans="1:14" x14ac:dyDescent="0.35">
      <c r="A35" t="s">
        <v>172</v>
      </c>
      <c r="B35" s="1"/>
      <c r="C35" s="14">
        <f t="shared" ref="C35:L35" si="7">IF(C$24&lt;&gt;"",C$31*C29/C$25,"")</f>
        <v>0</v>
      </c>
      <c r="D35" s="14">
        <f t="shared" si="7"/>
        <v>0</v>
      </c>
      <c r="E35" s="14">
        <f t="shared" si="7"/>
        <v>0</v>
      </c>
      <c r="F35" s="14">
        <f t="shared" si="7"/>
        <v>0</v>
      </c>
      <c r="G35" s="14">
        <f t="shared" si="7"/>
        <v>0</v>
      </c>
      <c r="H35" s="14">
        <f t="shared" si="7"/>
        <v>0</v>
      </c>
      <c r="I35" s="14">
        <f t="shared" si="7"/>
        <v>0</v>
      </c>
      <c r="J35" s="14">
        <f t="shared" si="7"/>
        <v>0</v>
      </c>
      <c r="K35" s="14">
        <f t="shared" si="7"/>
        <v>0</v>
      </c>
      <c r="L35" s="14">
        <f t="shared" si="7"/>
        <v>0</v>
      </c>
    </row>
    <row r="36" spans="1:14" x14ac:dyDescent="0.35">
      <c r="A36" t="s">
        <v>84</v>
      </c>
      <c r="B36" s="1"/>
      <c r="C36" s="14">
        <f t="shared" ref="C36:L36" si="8">IF(C$24&lt;&gt;"",C$31*C30/C$25,"")</f>
        <v>0</v>
      </c>
      <c r="D36" s="14">
        <f t="shared" si="8"/>
        <v>0</v>
      </c>
      <c r="E36" s="14">
        <f t="shared" si="8"/>
        <v>0</v>
      </c>
      <c r="F36" s="14">
        <f t="shared" si="8"/>
        <v>0</v>
      </c>
      <c r="G36" s="14">
        <f t="shared" si="8"/>
        <v>0</v>
      </c>
      <c r="H36" s="14">
        <f t="shared" si="8"/>
        <v>0</v>
      </c>
      <c r="I36" s="14">
        <f t="shared" si="8"/>
        <v>0</v>
      </c>
      <c r="J36" s="14">
        <f t="shared" si="8"/>
        <v>0</v>
      </c>
      <c r="K36" s="14">
        <f t="shared" si="8"/>
        <v>0</v>
      </c>
      <c r="L36" s="14">
        <f t="shared" si="8"/>
        <v>0</v>
      </c>
    </row>
    <row r="37" spans="1:14" x14ac:dyDescent="0.35">
      <c r="A37" s="1" t="s">
        <v>173</v>
      </c>
      <c r="B37" s="1"/>
      <c r="C37" s="14">
        <f t="shared" ref="C37:L37" si="9">IF(C$24&lt;&gt;"",C24-C31,"")</f>
        <v>8.5059660000000008</v>
      </c>
      <c r="D37" s="14">
        <f t="shared" si="9"/>
        <v>8.5202580000000001</v>
      </c>
      <c r="E37" s="14">
        <f t="shared" si="9"/>
        <v>8.5330620000005997</v>
      </c>
      <c r="F37" s="14">
        <f t="shared" si="9"/>
        <v>8.5460940000000001</v>
      </c>
      <c r="G37" s="14">
        <f t="shared" si="9"/>
        <v>8.5591259999994005</v>
      </c>
      <c r="H37" s="14">
        <f t="shared" si="9"/>
        <v>8.5718160000000001</v>
      </c>
      <c r="I37" s="14">
        <f t="shared" si="9"/>
        <v>8.5748520000006003</v>
      </c>
      <c r="J37" s="14">
        <f t="shared" si="9"/>
        <v>8.5788959999993999</v>
      </c>
      <c r="K37" s="14">
        <f t="shared" si="9"/>
        <v>8.5809239999999996</v>
      </c>
      <c r="L37" s="14">
        <f t="shared" si="9"/>
        <v>8.5819379999994005</v>
      </c>
    </row>
    <row r="38" spans="1:14" x14ac:dyDescent="0.35">
      <c r="A38" t="s">
        <v>174</v>
      </c>
      <c r="B38" s="24">
        <f>4.4/7.5</f>
        <v>0.58666666666666667</v>
      </c>
      <c r="C38" s="14">
        <f>IF(C$24&lt;&gt;"",IF(C$37&lt;$B$41,0,(C$37-SUM(C$41,C$42))*$B38),"")</f>
        <v>3.7511267200000002</v>
      </c>
      <c r="D38" s="14">
        <f t="shared" ref="D38:L38" si="10">IF(D$24&lt;&gt;"",IF(D$37&lt;$B$41,0,(D$37-SUM(D$41,D$42))*$B38),"")</f>
        <v>3.7618580266666664</v>
      </c>
      <c r="E38" s="14">
        <f t="shared" si="10"/>
        <v>3.769369706667018</v>
      </c>
      <c r="F38" s="14">
        <f t="shared" si="10"/>
        <v>3.7770151466666664</v>
      </c>
      <c r="G38" s="14">
        <f t="shared" si="10"/>
        <v>3.7846605866663148</v>
      </c>
      <c r="H38" s="14">
        <f t="shared" si="10"/>
        <v>3.8167453866666667</v>
      </c>
      <c r="I38" s="14">
        <f t="shared" si="10"/>
        <v>3.8185265066670189</v>
      </c>
      <c r="J38" s="14">
        <f t="shared" si="10"/>
        <v>3.825592319999648</v>
      </c>
      <c r="K38" s="14">
        <f t="shared" si="10"/>
        <v>3.8267820799999996</v>
      </c>
      <c r="L38" s="14">
        <f t="shared" si="10"/>
        <v>3.8273769599996483</v>
      </c>
      <c r="M38" s="48"/>
      <c r="N38" s="48"/>
    </row>
    <row r="39" spans="1:14" x14ac:dyDescent="0.35">
      <c r="A39" t="s">
        <v>175</v>
      </c>
      <c r="B39" s="24">
        <f>0.3/7.5</f>
        <v>0.04</v>
      </c>
      <c r="C39" s="14">
        <f t="shared" ref="C39:L40" si="11">IF(C$24&lt;&gt;"",IF(C$37&lt;$B$41,0,(C$37-SUM(C$41,C$42))*$B39),"")</f>
        <v>0.25575864000000004</v>
      </c>
      <c r="D39" s="14">
        <f t="shared" si="11"/>
        <v>0.25649031999999999</v>
      </c>
      <c r="E39" s="14">
        <f t="shared" si="11"/>
        <v>0.25700248000002396</v>
      </c>
      <c r="F39" s="14">
        <f t="shared" si="11"/>
        <v>0.25752375999999999</v>
      </c>
      <c r="G39" s="14">
        <f t="shared" si="11"/>
        <v>0.25804503999997602</v>
      </c>
      <c r="H39" s="14">
        <f t="shared" si="11"/>
        <v>0.26023264000000002</v>
      </c>
      <c r="I39" s="14">
        <f t="shared" si="11"/>
        <v>0.26035408000002402</v>
      </c>
      <c r="J39" s="14">
        <f t="shared" si="11"/>
        <v>0.260835839999976</v>
      </c>
      <c r="K39" s="14">
        <f t="shared" si="11"/>
        <v>0.26091695999999998</v>
      </c>
      <c r="L39" s="14">
        <f t="shared" si="11"/>
        <v>0.26095751999997602</v>
      </c>
    </row>
    <row r="40" spans="1:14" x14ac:dyDescent="0.35">
      <c r="A40" t="s">
        <v>176</v>
      </c>
      <c r="B40" s="24">
        <f>2.8/7.5</f>
        <v>0.37333333333333329</v>
      </c>
      <c r="C40" s="14">
        <f t="shared" si="11"/>
        <v>2.3870806400000002</v>
      </c>
      <c r="D40" s="14">
        <f t="shared" si="11"/>
        <v>2.3939096533333331</v>
      </c>
      <c r="E40" s="14">
        <f t="shared" si="11"/>
        <v>2.3986898133335566</v>
      </c>
      <c r="F40" s="14">
        <f t="shared" si="11"/>
        <v>2.4035550933333329</v>
      </c>
      <c r="G40" s="14">
        <f t="shared" si="11"/>
        <v>2.4084203733331089</v>
      </c>
      <c r="H40" s="14">
        <f t="shared" si="11"/>
        <v>2.4288379733333332</v>
      </c>
      <c r="I40" s="14">
        <f t="shared" si="11"/>
        <v>2.4299714133335573</v>
      </c>
      <c r="J40" s="14">
        <f t="shared" si="11"/>
        <v>2.4344678399997757</v>
      </c>
      <c r="K40" s="14">
        <f t="shared" si="11"/>
        <v>2.4352249599999998</v>
      </c>
      <c r="L40" s="14">
        <f t="shared" si="11"/>
        <v>2.4356035199997761</v>
      </c>
    </row>
    <row r="41" spans="1:14" x14ac:dyDescent="0.35">
      <c r="A41" t="s">
        <v>177</v>
      </c>
      <c r="B41" s="59">
        <f>0.6 +0.21/5</f>
        <v>0.64200000000000002</v>
      </c>
      <c r="C41" s="14">
        <f>IF(C$24&lt;&gt;"",IF(C37&gt;$B41,$B41,C37),"")</f>
        <v>0.64200000000000002</v>
      </c>
      <c r="D41" s="14">
        <f t="shared" ref="D41:L41" si="12">IF(D$24&lt;&gt;"",IF(D37&gt;$B41,$B41,D37),"")</f>
        <v>0.64200000000000002</v>
      </c>
      <c r="E41" s="14">
        <f t="shared" si="12"/>
        <v>0.64200000000000002</v>
      </c>
      <c r="F41" s="14">
        <f t="shared" si="12"/>
        <v>0.64200000000000002</v>
      </c>
      <c r="G41" s="14">
        <f t="shared" si="12"/>
        <v>0.64200000000000002</v>
      </c>
      <c r="H41" s="14">
        <f t="shared" si="12"/>
        <v>0.64200000000000002</v>
      </c>
      <c r="I41" s="14">
        <f t="shared" si="12"/>
        <v>0.64200000000000002</v>
      </c>
      <c r="J41" s="14">
        <f t="shared" si="12"/>
        <v>0.64200000000000002</v>
      </c>
      <c r="K41" s="14">
        <f t="shared" si="12"/>
        <v>0.64200000000000002</v>
      </c>
      <c r="L41" s="14">
        <f t="shared" si="12"/>
        <v>0.64200000000000002</v>
      </c>
    </row>
    <row r="42" spans="1:14" x14ac:dyDescent="0.35">
      <c r="A42" t="s">
        <v>178</v>
      </c>
      <c r="B42" s="24">
        <f>1.5/9</f>
        <v>0.16666666666666666</v>
      </c>
      <c r="C42" s="14">
        <f>IF(C$24&lt;&gt;"",IF(C$37&lt;$B$41,0,C62),"")</f>
        <v>1.47</v>
      </c>
      <c r="D42" s="14">
        <f t="shared" ref="D42:L42" si="13">IF(D$24&lt;&gt;"",IF(D$37&lt;$B$41,0,D62),"")</f>
        <v>1.466</v>
      </c>
      <c r="E42" s="14">
        <f t="shared" si="13"/>
        <v>1.466</v>
      </c>
      <c r="F42" s="14">
        <f t="shared" si="13"/>
        <v>1.466</v>
      </c>
      <c r="G42" s="14">
        <f t="shared" si="13"/>
        <v>1.466</v>
      </c>
      <c r="H42" s="14">
        <f t="shared" si="13"/>
        <v>1.4239999999999999</v>
      </c>
      <c r="I42" s="14">
        <f t="shared" si="13"/>
        <v>1.4239999999999999</v>
      </c>
      <c r="J42" s="14">
        <f t="shared" si="13"/>
        <v>1.4159999999999999</v>
      </c>
      <c r="K42" s="14">
        <f t="shared" si="13"/>
        <v>1.4159999999999999</v>
      </c>
      <c r="L42" s="14">
        <f t="shared" si="13"/>
        <v>1.4159999999999999</v>
      </c>
    </row>
    <row r="43" spans="1:14" x14ac:dyDescent="0.35">
      <c r="A43" s="1" t="s">
        <v>179</v>
      </c>
      <c r="C43"/>
    </row>
    <row r="44" spans="1:14" x14ac:dyDescent="0.35">
      <c r="A44" s="31" t="s">
        <v>180</v>
      </c>
      <c r="B44" s="1"/>
      <c r="C44" s="43"/>
      <c r="D44" s="43"/>
      <c r="E44" s="43"/>
      <c r="F44" s="43"/>
      <c r="G44" s="43"/>
      <c r="H44" s="43"/>
      <c r="I44" s="43"/>
      <c r="J44" s="43"/>
      <c r="K44" s="43"/>
      <c r="L44" s="43"/>
      <c r="M44" s="60">
        <f>SUMPRODUCT(C44:L44,C$50:L$50)</f>
        <v>0</v>
      </c>
    </row>
    <row r="45" spans="1:14" x14ac:dyDescent="0.35">
      <c r="A45" s="31" t="s">
        <v>181</v>
      </c>
      <c r="B45" s="1"/>
      <c r="C45" s="61"/>
      <c r="D45" s="61"/>
      <c r="E45" s="61"/>
      <c r="F45" s="61"/>
      <c r="G45" s="61"/>
      <c r="H45" s="61"/>
      <c r="I45" s="61"/>
      <c r="J45" s="61"/>
      <c r="K45" s="61"/>
      <c r="L45" s="61"/>
      <c r="M45" s="60">
        <f>SUMPRODUCT(C45:L45,C$50:L$50)</f>
        <v>0</v>
      </c>
    </row>
    <row r="46" spans="1:14" x14ac:dyDescent="0.35">
      <c r="A46" s="31" t="s">
        <v>182</v>
      </c>
      <c r="B46" s="1"/>
      <c r="C46" s="43"/>
      <c r="D46" s="43"/>
      <c r="E46" s="43"/>
      <c r="F46" s="43"/>
      <c r="G46" s="43"/>
      <c r="H46" s="43"/>
      <c r="I46" s="43"/>
      <c r="J46" s="43"/>
      <c r="K46" s="43"/>
      <c r="L46" s="43"/>
      <c r="M46" s="60">
        <f>SUMPRODUCT(C46:L46,C$50:L$50)</f>
        <v>0</v>
      </c>
    </row>
    <row r="47" spans="1:14" x14ac:dyDescent="0.35">
      <c r="A47" s="31" t="s">
        <v>183</v>
      </c>
      <c r="B47" s="1"/>
      <c r="C47" s="43"/>
      <c r="D47" s="43"/>
      <c r="E47" s="43"/>
      <c r="F47" s="43"/>
      <c r="G47" s="43"/>
      <c r="H47" s="43"/>
      <c r="I47" s="43"/>
      <c r="J47" s="43"/>
      <c r="K47" s="43"/>
      <c r="L47" s="43"/>
      <c r="M47" s="60">
        <f>SUMPRODUCT(C47:L47,C$50:L$50)</f>
        <v>0</v>
      </c>
    </row>
    <row r="48" spans="1:14" x14ac:dyDescent="0.35">
      <c r="A48" s="31" t="s">
        <v>4</v>
      </c>
      <c r="B48" s="1"/>
      <c r="C48" s="43"/>
      <c r="D48" s="43"/>
      <c r="E48" s="43"/>
      <c r="F48" s="43"/>
      <c r="G48" s="43"/>
      <c r="H48" s="43"/>
      <c r="I48" s="43"/>
      <c r="J48" s="43"/>
      <c r="K48" s="43"/>
      <c r="L48" s="43"/>
      <c r="M48" s="60">
        <f>SUMPRODUCT(C48:L48,C$50:L$50)</f>
        <v>0</v>
      </c>
    </row>
    <row r="49" spans="1:23" x14ac:dyDescent="0.35">
      <c r="A49" s="31" t="s">
        <v>185</v>
      </c>
      <c r="B49" s="1"/>
      <c r="C49" s="60">
        <f>IF(C$24&lt;&gt;"",SUM(C44:C48),"")</f>
        <v>0</v>
      </c>
      <c r="D49" s="60">
        <f>IF(D$24&lt;&gt;"",SUM(D44:D48),"")</f>
        <v>0</v>
      </c>
      <c r="E49" s="60">
        <f t="shared" ref="E49:L49" si="14">IF(E$24&lt;&gt;"",SUM(E44:E48),"")</f>
        <v>0</v>
      </c>
      <c r="F49" s="60">
        <f t="shared" si="14"/>
        <v>0</v>
      </c>
      <c r="G49" s="60">
        <f t="shared" si="14"/>
        <v>0</v>
      </c>
      <c r="H49" s="60">
        <f t="shared" si="14"/>
        <v>0</v>
      </c>
      <c r="I49" s="60">
        <f t="shared" si="14"/>
        <v>0</v>
      </c>
      <c r="J49" s="60">
        <f t="shared" si="14"/>
        <v>0</v>
      </c>
      <c r="K49" s="60">
        <f t="shared" si="14"/>
        <v>0</v>
      </c>
      <c r="L49" s="60">
        <f t="shared" si="14"/>
        <v>0</v>
      </c>
    </row>
    <row r="50" spans="1:23" x14ac:dyDescent="0.35">
      <c r="A50" s="31" t="s">
        <v>184</v>
      </c>
      <c r="B50" s="1"/>
      <c r="C50" s="30"/>
      <c r="D50" s="30"/>
      <c r="E50" s="30"/>
      <c r="F50" s="30"/>
      <c r="G50" s="30"/>
      <c r="H50" s="30"/>
      <c r="I50" s="30"/>
      <c r="J50" s="30"/>
      <c r="K50" s="30"/>
      <c r="L50" s="30"/>
    </row>
    <row r="51" spans="1:23" x14ac:dyDescent="0.35">
      <c r="A51" s="1" t="s">
        <v>106</v>
      </c>
      <c r="B51" s="1"/>
      <c r="C51"/>
    </row>
    <row r="52" spans="1:23" x14ac:dyDescent="0.35">
      <c r="A52" s="31" t="s">
        <v>180</v>
      </c>
      <c r="C52" s="14">
        <f t="shared" ref="C52:L52" si="15">IF(C$24&lt;&gt;"",C26+C38-C44,"")</f>
        <v>9.2597933866666668</v>
      </c>
      <c r="D52" s="14">
        <f t="shared" si="15"/>
        <v>8.621651413333332</v>
      </c>
      <c r="E52" s="14">
        <f t="shared" si="15"/>
        <v>7.9910211200003491</v>
      </c>
      <c r="F52" s="14">
        <f t="shared" si="15"/>
        <v>7.3680362666670156</v>
      </c>
      <c r="G52" s="14">
        <f t="shared" si="15"/>
        <v>6.7526968533333296</v>
      </c>
      <c r="H52" s="14">
        <f t="shared" si="15"/>
        <v>6.169442239999996</v>
      </c>
      <c r="I52" s="14">
        <f t="shared" si="15"/>
        <v>5.7879687466670147</v>
      </c>
      <c r="J52" s="14">
        <f t="shared" si="15"/>
        <v>5.4135610666666629</v>
      </c>
      <c r="K52" s="14">
        <f t="shared" si="15"/>
        <v>5.0903431466666618</v>
      </c>
      <c r="L52" s="14">
        <f t="shared" si="15"/>
        <v>4.7677201066663102</v>
      </c>
    </row>
    <row r="53" spans="1:23" x14ac:dyDescent="0.35">
      <c r="A53" s="31" t="s">
        <v>181</v>
      </c>
      <c r="C53" s="14">
        <f t="shared" ref="C53:L53" si="16">IF(C$24&lt;&gt;"",C27+C39-C45,"")</f>
        <v>1.3457586400000001</v>
      </c>
      <c r="D53" s="14">
        <f t="shared" si="16"/>
        <v>1.3232489600000001</v>
      </c>
      <c r="E53" s="14">
        <f t="shared" si="16"/>
        <v>1.3052514400000241</v>
      </c>
      <c r="F53" s="14">
        <f t="shared" si="16"/>
        <v>1.2877752000000242</v>
      </c>
      <c r="G53" s="14">
        <f t="shared" si="16"/>
        <v>1.2708202400000004</v>
      </c>
      <c r="H53" s="14">
        <f t="shared" si="16"/>
        <v>1.2560528800000004</v>
      </c>
      <c r="I53" s="14">
        <f t="shared" si="16"/>
        <v>1.2434069600000246</v>
      </c>
      <c r="J53" s="14">
        <f t="shared" si="16"/>
        <v>1.2312428000000006</v>
      </c>
      <c r="K53" s="14">
        <f t="shared" si="16"/>
        <v>1.2191597600000006</v>
      </c>
      <c r="L53" s="14">
        <f t="shared" si="16"/>
        <v>1.2071172799999768</v>
      </c>
    </row>
    <row r="54" spans="1:23" x14ac:dyDescent="0.35">
      <c r="A54" s="31" t="s">
        <v>182</v>
      </c>
      <c r="C54" s="14">
        <f t="shared" ref="C54:L54" si="17">IF(C$24&lt;&gt;"",C28+C40-C46,"")</f>
        <v>5.6984139733333325</v>
      </c>
      <c r="D54" s="14">
        <f t="shared" si="17"/>
        <v>5.8043236266666653</v>
      </c>
      <c r="E54" s="14">
        <f t="shared" si="17"/>
        <v>5.9950134400002222</v>
      </c>
      <c r="F54" s="14">
        <f t="shared" si="17"/>
        <v>6.1905685333335558</v>
      </c>
      <c r="G54" s="14">
        <f t="shared" si="17"/>
        <v>6.3909889066666654</v>
      </c>
      <c r="H54" s="14">
        <f t="shared" si="17"/>
        <v>6.6118268799999989</v>
      </c>
      <c r="I54" s="14">
        <f t="shared" si="17"/>
        <v>6.8817982933335564</v>
      </c>
      <c r="J54" s="14">
        <f t="shared" si="17"/>
        <v>7.1562661333333324</v>
      </c>
      <c r="K54" s="14">
        <f t="shared" si="17"/>
        <v>7.4314910933333316</v>
      </c>
      <c r="L54" s="14">
        <f t="shared" si="17"/>
        <v>7.7070946133331075</v>
      </c>
    </row>
    <row r="55" spans="1:23" x14ac:dyDescent="0.35">
      <c r="A55" s="31" t="s">
        <v>183</v>
      </c>
      <c r="C55" s="14">
        <f t="shared" ref="C55:L55" si="18">IF(C$24&lt;&gt;"",C29+C41-C47,"")</f>
        <v>0.64200000000000002</v>
      </c>
      <c r="D55" s="14">
        <f t="shared" si="18"/>
        <v>0.64200000000000002</v>
      </c>
      <c r="E55" s="14">
        <f t="shared" si="18"/>
        <v>0.64200000000000002</v>
      </c>
      <c r="F55" s="14">
        <f t="shared" si="18"/>
        <v>0.64200000000000002</v>
      </c>
      <c r="G55" s="14">
        <f t="shared" si="18"/>
        <v>0.64200000000000002</v>
      </c>
      <c r="H55" s="14">
        <f t="shared" si="18"/>
        <v>0.64200000000000002</v>
      </c>
      <c r="I55" s="14">
        <f t="shared" si="18"/>
        <v>0.64200000000000002</v>
      </c>
      <c r="J55" s="14">
        <f t="shared" si="18"/>
        <v>0.64200000000000002</v>
      </c>
      <c r="K55" s="14">
        <f t="shared" si="18"/>
        <v>0.64200000000000002</v>
      </c>
      <c r="L55" s="14">
        <f t="shared" si="18"/>
        <v>0.64200000000000002</v>
      </c>
    </row>
    <row r="56" spans="1:23" x14ac:dyDescent="0.35">
      <c r="A56" s="31" t="s">
        <v>4</v>
      </c>
      <c r="C56" s="14">
        <f t="shared" ref="C56:L56" si="19">IF(C$24&lt;&gt;"",C30+C42-C48,"")</f>
        <v>1.47</v>
      </c>
      <c r="D56" s="14">
        <f t="shared" si="19"/>
        <v>1.466</v>
      </c>
      <c r="E56" s="14">
        <f t="shared" si="19"/>
        <v>1.466</v>
      </c>
      <c r="F56" s="14">
        <f t="shared" si="19"/>
        <v>1.466</v>
      </c>
      <c r="G56" s="14">
        <f t="shared" si="19"/>
        <v>1.466</v>
      </c>
      <c r="H56" s="14">
        <f t="shared" si="19"/>
        <v>1.4239999999999999</v>
      </c>
      <c r="I56" s="14">
        <f t="shared" si="19"/>
        <v>1.4239999999999999</v>
      </c>
      <c r="J56" s="14">
        <f t="shared" si="19"/>
        <v>1.4159999999999999</v>
      </c>
      <c r="K56" s="14">
        <f t="shared" si="19"/>
        <v>1.4159999999999999</v>
      </c>
      <c r="L56" s="14">
        <f t="shared" si="19"/>
        <v>1.4159999999999999</v>
      </c>
    </row>
    <row r="57" spans="1:23" x14ac:dyDescent="0.35">
      <c r="A57" s="1" t="s">
        <v>118</v>
      </c>
      <c r="B57" s="1"/>
      <c r="C57" s="29"/>
      <c r="D57" s="2"/>
      <c r="E57" s="2"/>
      <c r="F57" s="2"/>
      <c r="G57" s="2"/>
      <c r="H57" s="2"/>
      <c r="I57" s="2"/>
      <c r="J57" s="2"/>
      <c r="K57" s="2"/>
      <c r="L57" s="2"/>
    </row>
    <row r="58" spans="1:23" x14ac:dyDescent="0.35">
      <c r="A58" s="31" t="s">
        <v>180</v>
      </c>
      <c r="C58" s="43">
        <f>IF(C$24&lt;&gt;"",4.4-VLOOKUP(C$25,$O$60:$T$69,2)/1000000,"")</f>
        <v>4.4000000000000004</v>
      </c>
      <c r="D58" s="43">
        <f t="shared" ref="D58:L58" si="20">IF(D$24&lt;&gt;"",4.4-VLOOKUP(D$25,$O$60:$T$69,2)/1000000,"")</f>
        <v>4.4000000000000004</v>
      </c>
      <c r="E58" s="43">
        <f t="shared" si="20"/>
        <v>4.4000000000000004</v>
      </c>
      <c r="F58" s="43">
        <f t="shared" si="20"/>
        <v>4.4000000000000004</v>
      </c>
      <c r="G58" s="43">
        <f t="shared" si="20"/>
        <v>4.4000000000000004</v>
      </c>
      <c r="H58" s="43">
        <f t="shared" si="20"/>
        <v>4.2</v>
      </c>
      <c r="I58" s="43">
        <f t="shared" si="20"/>
        <v>4.2</v>
      </c>
      <c r="J58" s="43">
        <f t="shared" si="20"/>
        <v>4.1500000000000004</v>
      </c>
      <c r="K58" s="43">
        <f t="shared" si="20"/>
        <v>4.1500000000000004</v>
      </c>
      <c r="L58" s="43">
        <f t="shared" si="20"/>
        <v>4.1500000000000004</v>
      </c>
      <c r="N58" s="1" t="s">
        <v>111</v>
      </c>
    </row>
    <row r="59" spans="1:23" x14ac:dyDescent="0.35">
      <c r="A59" s="31" t="s">
        <v>181</v>
      </c>
      <c r="C59" s="43">
        <f>IF(C$24&lt;&gt;"",0.3-VLOOKUP(C$25,$O$60:$T$69,3)/1000000,"")</f>
        <v>0.27899999999999997</v>
      </c>
      <c r="D59" s="43">
        <f t="shared" ref="D59:L59" si="21">IF(D$24&lt;&gt;"",0.3-VLOOKUP(D$25,$O$60:$T$69,3)/1000000,"")</f>
        <v>0.27499999999999997</v>
      </c>
      <c r="E59" s="43">
        <f t="shared" si="21"/>
        <v>0.27499999999999997</v>
      </c>
      <c r="F59" s="43">
        <f t="shared" si="21"/>
        <v>0.27499999999999997</v>
      </c>
      <c r="G59" s="43">
        <f t="shared" si="21"/>
        <v>0.27499999999999997</v>
      </c>
      <c r="H59" s="43">
        <f t="shared" si="21"/>
        <v>0.27299999999999996</v>
      </c>
      <c r="I59" s="43">
        <f t="shared" si="21"/>
        <v>0.27299999999999996</v>
      </c>
      <c r="J59" s="43">
        <f t="shared" si="21"/>
        <v>0.27299999999999996</v>
      </c>
      <c r="K59" s="43">
        <f t="shared" si="21"/>
        <v>0.27299999999999996</v>
      </c>
      <c r="L59" s="43">
        <f t="shared" si="21"/>
        <v>0.27299999999999996</v>
      </c>
      <c r="N59" s="37" t="s">
        <v>112</v>
      </c>
      <c r="O59" s="37" t="s">
        <v>113</v>
      </c>
      <c r="P59" t="s">
        <v>189</v>
      </c>
      <c r="Q59" s="2" t="s">
        <v>190</v>
      </c>
      <c r="R59" s="63" t="s">
        <v>191</v>
      </c>
      <c r="S59" s="38" t="s">
        <v>114</v>
      </c>
      <c r="T59" s="57" t="s">
        <v>150</v>
      </c>
      <c r="U59" s="37" t="s">
        <v>116</v>
      </c>
      <c r="V59" s="55" t="s">
        <v>149</v>
      </c>
      <c r="W59" s="55" t="s">
        <v>151</v>
      </c>
    </row>
    <row r="60" spans="1:23" x14ac:dyDescent="0.35">
      <c r="A60" s="31" t="s">
        <v>182</v>
      </c>
      <c r="C60" s="43">
        <f>IF(C$24&lt;&gt;"",2.8-VLOOKUP(C$25,$O$60:$T$69,4)/1000000,"")</f>
        <v>2.2879999999999998</v>
      </c>
      <c r="D60" s="43">
        <f t="shared" ref="D60:L60" si="22">IF(D$24&lt;&gt;"",2.8-VLOOKUP(D$25,$O$60:$T$69,4)/1000000,"")</f>
        <v>2.2079999999999997</v>
      </c>
      <c r="E60" s="43">
        <f t="shared" si="22"/>
        <v>2.2079999999999997</v>
      </c>
      <c r="F60" s="43">
        <f t="shared" si="22"/>
        <v>2.2079999999999997</v>
      </c>
      <c r="G60" s="43">
        <f t="shared" si="22"/>
        <v>2.2079999999999997</v>
      </c>
      <c r="H60" s="43">
        <f t="shared" si="22"/>
        <v>2.1599999999999997</v>
      </c>
      <c r="I60" s="43">
        <f t="shared" si="22"/>
        <v>2.1599999999999997</v>
      </c>
      <c r="J60" s="43">
        <f t="shared" si="22"/>
        <v>2.1599999999999997</v>
      </c>
      <c r="K60" s="43">
        <f t="shared" si="22"/>
        <v>2.1599999999999997</v>
      </c>
      <c r="L60" s="43">
        <f t="shared" si="22"/>
        <v>2.1599999999999997</v>
      </c>
      <c r="N60" s="37" t="s">
        <v>193</v>
      </c>
      <c r="O60" s="40">
        <v>2</v>
      </c>
      <c r="P60" s="56">
        <v>350000</v>
      </c>
      <c r="Q60" s="56">
        <v>30000</v>
      </c>
      <c r="R60" s="56">
        <v>720000</v>
      </c>
      <c r="S60" s="41">
        <f>U60-T60</f>
        <v>1.2000000000000002</v>
      </c>
      <c r="T60" s="53">
        <v>0.15</v>
      </c>
      <c r="U60" s="41">
        <f t="shared" ref="U60" si="23">W60/1000000</f>
        <v>1.35</v>
      </c>
      <c r="V60" s="42">
        <v>0.125</v>
      </c>
      <c r="W60" s="56">
        <v>1350000</v>
      </c>
    </row>
    <row r="61" spans="1:23" x14ac:dyDescent="0.35">
      <c r="A61" s="31" t="s">
        <v>183</v>
      </c>
      <c r="C61" s="43">
        <f>IF(C$24&lt;&gt;"",$B$41,"")</f>
        <v>0.64200000000000002</v>
      </c>
      <c r="D61" s="43">
        <f t="shared" ref="D61:L61" si="24">IF(D$24&lt;&gt;"",$B$41,"")</f>
        <v>0.64200000000000002</v>
      </c>
      <c r="E61" s="43">
        <f t="shared" si="24"/>
        <v>0.64200000000000002</v>
      </c>
      <c r="F61" s="43">
        <f t="shared" si="24"/>
        <v>0.64200000000000002</v>
      </c>
      <c r="G61" s="43">
        <f t="shared" si="24"/>
        <v>0.64200000000000002</v>
      </c>
      <c r="H61" s="43">
        <f t="shared" si="24"/>
        <v>0.64200000000000002</v>
      </c>
      <c r="I61" s="43">
        <f t="shared" si="24"/>
        <v>0.64200000000000002</v>
      </c>
      <c r="J61" s="43">
        <f t="shared" si="24"/>
        <v>0.64200000000000002</v>
      </c>
      <c r="K61" s="43">
        <f t="shared" si="24"/>
        <v>0.64200000000000002</v>
      </c>
      <c r="L61" s="43">
        <f t="shared" si="24"/>
        <v>0.64200000000000002</v>
      </c>
      <c r="N61" s="39">
        <v>1025</v>
      </c>
      <c r="O61" s="40">
        <v>5.981122</v>
      </c>
      <c r="P61" s="56">
        <v>350000</v>
      </c>
      <c r="Q61" s="56">
        <v>30000</v>
      </c>
      <c r="R61" s="56">
        <v>720000</v>
      </c>
      <c r="S61" s="41">
        <f>U61-T61</f>
        <v>1.2000000000000002</v>
      </c>
      <c r="T61" s="53">
        <v>0.15</v>
      </c>
      <c r="U61" s="41">
        <f t="shared" ref="U61:U68" si="25">W61/1000000</f>
        <v>1.35</v>
      </c>
      <c r="V61" s="42">
        <v>0.125</v>
      </c>
      <c r="W61" s="56">
        <v>1350000</v>
      </c>
    </row>
    <row r="62" spans="1:23" x14ac:dyDescent="0.35">
      <c r="A62" s="31" t="s">
        <v>4</v>
      </c>
      <c r="C62" s="43">
        <f>IF(C$24&lt;&gt;"",1.5-VLOOKUP(C$25,$O$60:$T$69,6),"")</f>
        <v>1.47</v>
      </c>
      <c r="D62" s="43">
        <f t="shared" ref="D62:L62" si="26">IF(D$24&lt;&gt;"",1.5-VLOOKUP(D$25,$O$60:$T$69,6),"")</f>
        <v>1.466</v>
      </c>
      <c r="E62" s="43">
        <f t="shared" si="26"/>
        <v>1.466</v>
      </c>
      <c r="F62" s="43">
        <f t="shared" si="26"/>
        <v>1.466</v>
      </c>
      <c r="G62" s="43">
        <f t="shared" si="26"/>
        <v>1.466</v>
      </c>
      <c r="H62" s="43">
        <f t="shared" si="26"/>
        <v>1.4239999999999999</v>
      </c>
      <c r="I62" s="43">
        <f t="shared" si="26"/>
        <v>1.4239999999999999</v>
      </c>
      <c r="J62" s="43">
        <f t="shared" si="26"/>
        <v>1.4159999999999999</v>
      </c>
      <c r="K62" s="43">
        <f t="shared" si="26"/>
        <v>1.4159999999999999</v>
      </c>
      <c r="L62" s="43">
        <f t="shared" si="26"/>
        <v>1.4159999999999999</v>
      </c>
      <c r="N62" s="39">
        <v>1030</v>
      </c>
      <c r="O62" s="40">
        <v>6.305377</v>
      </c>
      <c r="P62" s="56">
        <v>350000</v>
      </c>
      <c r="Q62" s="56">
        <v>27000</v>
      </c>
      <c r="R62" s="56">
        <v>640000</v>
      </c>
      <c r="S62" s="41">
        <f t="shared" ref="S62:S68" si="27">U62-T62</f>
        <v>1.117</v>
      </c>
      <c r="T62" s="53">
        <v>0.10100000000000001</v>
      </c>
      <c r="U62" s="41">
        <f t="shared" si="25"/>
        <v>1.218</v>
      </c>
      <c r="V62" s="42">
        <v>7.0000000000000007E-2</v>
      </c>
      <c r="W62" s="56">
        <v>1218000</v>
      </c>
    </row>
    <row r="63" spans="1:23" x14ac:dyDescent="0.35">
      <c r="A63" s="1" t="s">
        <v>5</v>
      </c>
      <c r="B63" s="1"/>
      <c r="D63" s="2"/>
      <c r="E63" s="2"/>
      <c r="F63" s="2"/>
      <c r="G63" s="2"/>
      <c r="H63" s="2"/>
      <c r="I63" s="2"/>
      <c r="J63" s="2"/>
      <c r="K63" s="2"/>
      <c r="L63" s="2"/>
      <c r="N63" s="39">
        <v>1035</v>
      </c>
      <c r="O63" s="40">
        <v>6.6375080000000004</v>
      </c>
      <c r="P63" s="56">
        <v>300000</v>
      </c>
      <c r="Q63" s="56">
        <v>27000</v>
      </c>
      <c r="R63" s="56">
        <v>640000</v>
      </c>
      <c r="S63" s="41">
        <f t="shared" si="27"/>
        <v>1.0669999999999999</v>
      </c>
      <c r="T63" s="53">
        <v>9.1999999999999998E-2</v>
      </c>
      <c r="U63" s="41">
        <f t="shared" si="25"/>
        <v>1.159</v>
      </c>
      <c r="V63" s="42">
        <v>7.0000000000000007E-2</v>
      </c>
      <c r="W63" s="56">
        <v>1159000</v>
      </c>
    </row>
    <row r="64" spans="1:23" x14ac:dyDescent="0.35">
      <c r="A64" s="31" t="s">
        <v>180</v>
      </c>
      <c r="C64" s="14">
        <f>IF(C$24&lt;&gt;"",C52-C58,"")</f>
        <v>4.8597933866666665</v>
      </c>
      <c r="D64" s="14">
        <f t="shared" ref="D64:L64" si="28">IF(D$24&lt;&gt;"",D52-D58,"")</f>
        <v>4.2216514133333316</v>
      </c>
      <c r="E64" s="14">
        <f t="shared" si="28"/>
        <v>3.5910211200003488</v>
      </c>
      <c r="F64" s="14">
        <f t="shared" si="28"/>
        <v>2.9680362666670153</v>
      </c>
      <c r="G64" s="14">
        <f t="shared" si="28"/>
        <v>2.3526968533333292</v>
      </c>
      <c r="H64" s="14">
        <f t="shared" si="28"/>
        <v>1.9694422399999958</v>
      </c>
      <c r="I64" s="14">
        <f t="shared" si="28"/>
        <v>1.5879687466670145</v>
      </c>
      <c r="J64" s="14">
        <f t="shared" si="28"/>
        <v>1.2635610666666626</v>
      </c>
      <c r="K64" s="14">
        <f t="shared" si="28"/>
        <v>0.94034314666666141</v>
      </c>
      <c r="L64" s="14">
        <f t="shared" si="28"/>
        <v>0.61772010666630983</v>
      </c>
      <c r="N64" s="39">
        <v>1040</v>
      </c>
      <c r="O64" s="40">
        <v>6.977665</v>
      </c>
      <c r="P64" s="56">
        <v>250000</v>
      </c>
      <c r="Q64" s="56">
        <v>27000</v>
      </c>
      <c r="R64" s="56">
        <v>640000</v>
      </c>
      <c r="S64" s="41">
        <f t="shared" si="27"/>
        <v>1.0169999999999999</v>
      </c>
      <c r="T64" s="53">
        <v>8.4000000000000005E-2</v>
      </c>
      <c r="U64" s="41">
        <f t="shared" si="25"/>
        <v>1.101</v>
      </c>
      <c r="V64" s="42">
        <v>7.0000000000000007E-2</v>
      </c>
      <c r="W64" s="56">
        <v>1101000</v>
      </c>
    </row>
    <row r="65" spans="1:23" x14ac:dyDescent="0.35">
      <c r="A65" s="31" t="s">
        <v>181</v>
      </c>
      <c r="C65" s="14">
        <f t="shared" ref="C65:L68" si="29">IF(C$24&lt;&gt;"",C53-C59,"")</f>
        <v>1.0667586400000002</v>
      </c>
      <c r="D65" s="14">
        <f t="shared" si="29"/>
        <v>1.0482489600000002</v>
      </c>
      <c r="E65" s="14">
        <f t="shared" si="29"/>
        <v>1.0302514400000242</v>
      </c>
      <c r="F65" s="14">
        <f t="shared" si="29"/>
        <v>1.0127752000000243</v>
      </c>
      <c r="G65" s="14">
        <f t="shared" si="29"/>
        <v>0.99582024000000047</v>
      </c>
      <c r="H65" s="14">
        <f t="shared" si="29"/>
        <v>0.98305288000000046</v>
      </c>
      <c r="I65" s="14">
        <f t="shared" si="29"/>
        <v>0.97040696000002469</v>
      </c>
      <c r="J65" s="14">
        <f t="shared" si="29"/>
        <v>0.95824280000000073</v>
      </c>
      <c r="K65" s="14">
        <f t="shared" si="29"/>
        <v>0.94615976000000068</v>
      </c>
      <c r="L65" s="14">
        <f t="shared" si="29"/>
        <v>0.93411727999997685</v>
      </c>
      <c r="N65" s="39">
        <v>1045</v>
      </c>
      <c r="O65" s="40">
        <v>7.3260519999999998</v>
      </c>
      <c r="P65" s="56">
        <v>200000</v>
      </c>
      <c r="Q65" s="56">
        <v>27000</v>
      </c>
      <c r="R65" s="56">
        <v>640000</v>
      </c>
      <c r="S65" s="41">
        <f t="shared" si="27"/>
        <v>0.96699999999999997</v>
      </c>
      <c r="T65" s="53">
        <v>7.5999999999999998E-2</v>
      </c>
      <c r="U65" s="41">
        <f t="shared" si="25"/>
        <v>1.0429999999999999</v>
      </c>
      <c r="V65" s="42">
        <v>7.0000000000000007E-2</v>
      </c>
      <c r="W65" s="56">
        <v>1043000</v>
      </c>
    </row>
    <row r="66" spans="1:23" x14ac:dyDescent="0.35">
      <c r="A66" s="31" t="s">
        <v>182</v>
      </c>
      <c r="C66" s="14">
        <f t="shared" si="29"/>
        <v>3.4104139733333327</v>
      </c>
      <c r="D66" s="14">
        <f t="shared" si="29"/>
        <v>3.5963236266666656</v>
      </c>
      <c r="E66" s="14">
        <f t="shared" si="29"/>
        <v>3.7870134400002224</v>
      </c>
      <c r="F66" s="14">
        <f t="shared" si="29"/>
        <v>3.9825685333335561</v>
      </c>
      <c r="G66" s="14">
        <f t="shared" si="29"/>
        <v>4.1829889066666652</v>
      </c>
      <c r="H66" s="14">
        <f t="shared" si="29"/>
        <v>4.4518268799999987</v>
      </c>
      <c r="I66" s="14">
        <f t="shared" si="29"/>
        <v>4.7217982933335563</v>
      </c>
      <c r="J66" s="14">
        <f t="shared" si="29"/>
        <v>4.9962661333333322</v>
      </c>
      <c r="K66" s="14">
        <f t="shared" si="29"/>
        <v>5.2714910933333314</v>
      </c>
      <c r="L66" s="14">
        <f t="shared" si="29"/>
        <v>5.5470946133331083</v>
      </c>
      <c r="N66" s="39">
        <v>1050</v>
      </c>
      <c r="O66" s="40">
        <v>7.6828779999999997</v>
      </c>
      <c r="P66" s="56"/>
      <c r="Q66" s="56">
        <v>25000</v>
      </c>
      <c r="R66" s="56">
        <v>592000</v>
      </c>
      <c r="S66" s="41">
        <f t="shared" si="27"/>
        <v>0.71699999999999997</v>
      </c>
      <c r="T66" s="53">
        <v>3.4000000000000002E-2</v>
      </c>
      <c r="U66" s="41">
        <f t="shared" si="25"/>
        <v>0.751</v>
      </c>
      <c r="V66" s="42">
        <v>7.0000000000000007E-2</v>
      </c>
      <c r="W66" s="56">
        <v>751000</v>
      </c>
    </row>
    <row r="67" spans="1:23" x14ac:dyDescent="0.35">
      <c r="A67" s="31" t="s">
        <v>183</v>
      </c>
      <c r="C67" s="14">
        <f t="shared" si="29"/>
        <v>0</v>
      </c>
      <c r="D67" s="14">
        <f t="shared" si="29"/>
        <v>0</v>
      </c>
      <c r="E67" s="14">
        <f t="shared" si="29"/>
        <v>0</v>
      </c>
      <c r="F67" s="14">
        <f t="shared" si="29"/>
        <v>0</v>
      </c>
      <c r="G67" s="14">
        <f t="shared" si="29"/>
        <v>0</v>
      </c>
      <c r="H67" s="14">
        <f t="shared" si="29"/>
        <v>0</v>
      </c>
      <c r="I67" s="14">
        <f t="shared" si="29"/>
        <v>0</v>
      </c>
      <c r="J67" s="14">
        <f t="shared" si="29"/>
        <v>0</v>
      </c>
      <c r="K67" s="14">
        <f t="shared" si="29"/>
        <v>0</v>
      </c>
      <c r="L67" s="14">
        <f t="shared" si="29"/>
        <v>0</v>
      </c>
      <c r="N67" s="39">
        <v>1075</v>
      </c>
      <c r="O67" s="40">
        <v>9.6009879999900001</v>
      </c>
      <c r="P67" s="56"/>
      <c r="Q67" s="56">
        <v>21000</v>
      </c>
      <c r="R67" s="56">
        <v>512000</v>
      </c>
      <c r="S67" s="41">
        <f t="shared" si="27"/>
        <v>0.63300000000000001</v>
      </c>
      <c r="T67" s="53">
        <v>0.03</v>
      </c>
      <c r="U67" s="41">
        <f t="shared" si="25"/>
        <v>0.66300000000000003</v>
      </c>
      <c r="V67" s="42">
        <v>0.05</v>
      </c>
      <c r="W67" s="56">
        <v>663000</v>
      </c>
    </row>
    <row r="68" spans="1:23" x14ac:dyDescent="0.35">
      <c r="A68" s="31" t="s">
        <v>4</v>
      </c>
      <c r="C68" s="14">
        <f t="shared" si="29"/>
        <v>0</v>
      </c>
      <c r="D68" s="14">
        <f t="shared" si="29"/>
        <v>0</v>
      </c>
      <c r="E68" s="14">
        <f t="shared" si="29"/>
        <v>0</v>
      </c>
      <c r="F68" s="14">
        <f t="shared" si="29"/>
        <v>0</v>
      </c>
      <c r="G68" s="14">
        <f t="shared" si="29"/>
        <v>0</v>
      </c>
      <c r="H68" s="14">
        <f t="shared" si="29"/>
        <v>0</v>
      </c>
      <c r="I68" s="14">
        <f t="shared" si="29"/>
        <v>0</v>
      </c>
      <c r="J68" s="14">
        <f t="shared" si="29"/>
        <v>0</v>
      </c>
      <c r="K68" s="14">
        <f t="shared" si="29"/>
        <v>0</v>
      </c>
      <c r="L68" s="14">
        <f t="shared" si="29"/>
        <v>0</v>
      </c>
      <c r="N68" s="39">
        <v>1090</v>
      </c>
      <c r="O68" s="40">
        <v>10.857008</v>
      </c>
      <c r="P68" s="56"/>
      <c r="Q68" s="56">
        <v>8000</v>
      </c>
      <c r="R68" s="56">
        <v>192000</v>
      </c>
      <c r="S68" s="41">
        <f t="shared" si="27"/>
        <v>0.30000000000000004</v>
      </c>
      <c r="T68" s="53">
        <v>4.1000000000000002E-2</v>
      </c>
      <c r="U68" s="41">
        <f t="shared" si="25"/>
        <v>0.34100000000000003</v>
      </c>
      <c r="V68" s="38"/>
      <c r="W68" s="56">
        <v>341000</v>
      </c>
    </row>
    <row r="69" spans="1:23" x14ac:dyDescent="0.35">
      <c r="A69" s="1" t="s">
        <v>163</v>
      </c>
      <c r="B69" s="1"/>
      <c r="C69" s="14">
        <f t="shared" ref="C69:L69" si="30">IF(C$24&lt;&gt;"",SUM(C64:C68),"")</f>
        <v>9.3369659999999985</v>
      </c>
      <c r="D69" s="14">
        <f t="shared" si="30"/>
        <v>8.8662239999999972</v>
      </c>
      <c r="E69" s="14">
        <f t="shared" si="30"/>
        <v>8.4082860000005955</v>
      </c>
      <c r="F69" s="14">
        <f t="shared" si="30"/>
        <v>7.9633800000005959</v>
      </c>
      <c r="G69" s="14">
        <f t="shared" si="30"/>
        <v>7.5315059999999949</v>
      </c>
      <c r="H69" s="14">
        <f t="shared" si="30"/>
        <v>7.4043219999999952</v>
      </c>
      <c r="I69" s="14">
        <f t="shared" si="30"/>
        <v>7.2801740000005957</v>
      </c>
      <c r="J69" s="14">
        <f t="shared" si="30"/>
        <v>7.2180699999999955</v>
      </c>
      <c r="K69" s="14">
        <f t="shared" si="30"/>
        <v>7.1579939999999933</v>
      </c>
      <c r="L69" s="14">
        <f t="shared" si="30"/>
        <v>7.0989319999993947</v>
      </c>
      <c r="N69" s="38" t="s">
        <v>194</v>
      </c>
      <c r="O69" s="64">
        <v>10.91</v>
      </c>
      <c r="P69" s="38">
        <v>0</v>
      </c>
      <c r="Q69" s="37">
        <v>0</v>
      </c>
      <c r="R69" s="65">
        <v>0</v>
      </c>
      <c r="S69" s="38">
        <v>0</v>
      </c>
      <c r="T69" s="66">
        <v>0</v>
      </c>
      <c r="U69" s="38">
        <v>0</v>
      </c>
      <c r="V69" s="67">
        <v>0</v>
      </c>
      <c r="W69" s="65">
        <v>0</v>
      </c>
    </row>
    <row r="70" spans="1:23" x14ac:dyDescent="0.35">
      <c r="A70" s="1" t="s">
        <v>164</v>
      </c>
      <c r="B70" s="1"/>
      <c r="C70" s="14">
        <f>IF(C24&lt;&gt;"",SUM(C58:C62),"")</f>
        <v>9.0790000000000006</v>
      </c>
      <c r="D70" s="14">
        <f t="shared" ref="D70:L70" si="31">IF(D24&lt;&gt;"",SUM(D58:D62),"")</f>
        <v>8.9910000000000014</v>
      </c>
      <c r="E70" s="14">
        <f t="shared" si="31"/>
        <v>8.9910000000000014</v>
      </c>
      <c r="F70" s="14">
        <f t="shared" si="31"/>
        <v>8.9910000000000014</v>
      </c>
      <c r="G70" s="14">
        <f t="shared" si="31"/>
        <v>8.9910000000000014</v>
      </c>
      <c r="H70" s="14">
        <f t="shared" si="31"/>
        <v>8.6989999999999998</v>
      </c>
      <c r="I70" s="14">
        <f t="shared" si="31"/>
        <v>8.6989999999999998</v>
      </c>
      <c r="J70" s="14">
        <f t="shared" si="31"/>
        <v>8.641</v>
      </c>
      <c r="K70" s="14">
        <f t="shared" si="31"/>
        <v>8.641</v>
      </c>
      <c r="L70" s="14">
        <f t="shared" si="31"/>
        <v>8.641</v>
      </c>
    </row>
    <row r="72" spans="1:23" x14ac:dyDescent="0.35">
      <c r="A72" s="1" t="s">
        <v>109</v>
      </c>
      <c r="C72" s="12">
        <f>IF(C$24&lt;&gt;"",0.2,"")</f>
        <v>0.2</v>
      </c>
      <c r="D72" s="12">
        <f t="shared" ref="D72:L72" si="32">IF(D$24&lt;&gt;"",0.2,"")</f>
        <v>0.2</v>
      </c>
      <c r="E72" s="12">
        <f t="shared" si="32"/>
        <v>0.2</v>
      </c>
      <c r="F72" s="12">
        <f t="shared" si="32"/>
        <v>0.2</v>
      </c>
      <c r="G72" s="12">
        <f t="shared" si="32"/>
        <v>0.2</v>
      </c>
      <c r="H72" s="12">
        <f t="shared" si="32"/>
        <v>0.2</v>
      </c>
      <c r="I72" s="12">
        <f t="shared" si="32"/>
        <v>0.2</v>
      </c>
      <c r="J72" s="12">
        <f t="shared" si="32"/>
        <v>0.2</v>
      </c>
      <c r="K72" s="12">
        <f t="shared" si="32"/>
        <v>0.2</v>
      </c>
      <c r="L72" s="12">
        <f t="shared" si="32"/>
        <v>0.2</v>
      </c>
    </row>
    <row r="73" spans="1:23" x14ac:dyDescent="0.35">
      <c r="A73" t="s">
        <v>186</v>
      </c>
      <c r="C73" s="14">
        <f t="shared" ref="C73:L73" si="33">IF(C$24&lt;&gt;"",C64+C$72/2,"")</f>
        <v>4.9597933866666661</v>
      </c>
      <c r="D73" s="14">
        <f t="shared" si="33"/>
        <v>4.3216514133333312</v>
      </c>
      <c r="E73" s="14">
        <f t="shared" si="33"/>
        <v>3.6910211200003489</v>
      </c>
      <c r="F73" s="14">
        <f t="shared" si="33"/>
        <v>3.0680362666670153</v>
      </c>
      <c r="G73" s="14">
        <f t="shared" si="33"/>
        <v>2.4526968533333293</v>
      </c>
      <c r="H73" s="14">
        <f t="shared" si="33"/>
        <v>2.0694422399999959</v>
      </c>
      <c r="I73" s="14">
        <f t="shared" si="33"/>
        <v>1.6879687466670146</v>
      </c>
      <c r="J73" s="14">
        <f t="shared" si="33"/>
        <v>1.3635610666666627</v>
      </c>
      <c r="K73" s="14">
        <f t="shared" si="33"/>
        <v>1.0403431466666615</v>
      </c>
      <c r="L73" s="14">
        <f t="shared" si="33"/>
        <v>0.71772010666630981</v>
      </c>
    </row>
    <row r="74" spans="1:23" x14ac:dyDescent="0.35">
      <c r="A74" s="31" t="s">
        <v>187</v>
      </c>
      <c r="C74" s="14">
        <f t="shared" ref="C74:L74" si="34">IF(C$24&lt;&gt;"",C65+C$72/2,"")</f>
        <v>1.1667586400000003</v>
      </c>
      <c r="D74" s="14">
        <f t="shared" si="34"/>
        <v>1.1482489600000003</v>
      </c>
      <c r="E74" s="14">
        <f t="shared" si="34"/>
        <v>1.1302514400000243</v>
      </c>
      <c r="F74" s="14">
        <f t="shared" si="34"/>
        <v>1.1127752000000244</v>
      </c>
      <c r="G74" s="14">
        <f t="shared" si="34"/>
        <v>1.0958202400000006</v>
      </c>
      <c r="H74" s="14">
        <f t="shared" si="34"/>
        <v>1.0830528800000006</v>
      </c>
      <c r="I74" s="14">
        <f t="shared" si="34"/>
        <v>1.0704069600000248</v>
      </c>
      <c r="J74" s="14">
        <f t="shared" si="34"/>
        <v>1.0582428000000008</v>
      </c>
      <c r="K74" s="14">
        <f t="shared" si="34"/>
        <v>1.0461597600000008</v>
      </c>
      <c r="L74" s="14">
        <f t="shared" si="34"/>
        <v>1.0341172799999769</v>
      </c>
    </row>
    <row r="75" spans="1:23" x14ac:dyDescent="0.35">
      <c r="D75" s="18"/>
    </row>
  </sheetData>
  <sortState ref="P61:P68">
    <sortCondition descending="1" ref="P61:P68"/>
  </sortState>
  <mergeCells count="7">
    <mergeCell ref="C5:H5"/>
    <mergeCell ref="C6:H6"/>
    <mergeCell ref="C7:H7"/>
    <mergeCell ref="C8:H8"/>
    <mergeCell ref="D17:I17"/>
    <mergeCell ref="C9:H9"/>
    <mergeCell ref="C10:H10"/>
  </mergeCells>
  <conditionalFormatting sqref="C58:L62">
    <cfRule type="cellIs" dxfId="29" priority="7" operator="greaterThan">
      <formula>$C$52</formula>
    </cfRule>
  </conditionalFormatting>
  <conditionalFormatting sqref="C49:L49">
    <cfRule type="cellIs" dxfId="28" priority="6" stopIfTrue="1" operator="notEqual">
      <formula>0</formula>
    </cfRule>
  </conditionalFormatting>
  <conditionalFormatting sqref="C49:L49">
    <cfRule type="cellIs" dxfId="27" priority="5" stopIfTrue="1" operator="equal">
      <formula>""</formula>
    </cfRule>
  </conditionalFormatting>
  <conditionalFormatting sqref="C59:L59">
    <cfRule type="cellIs" dxfId="26" priority="4" operator="greaterThan">
      <formula>$C$53</formula>
    </cfRule>
  </conditionalFormatting>
  <conditionalFormatting sqref="C60:L60">
    <cfRule type="cellIs" dxfId="25" priority="3" operator="greaterThan">
      <formula>$C$54</formula>
    </cfRule>
  </conditionalFormatting>
  <conditionalFormatting sqref="C61:L61">
    <cfRule type="cellIs" dxfId="24" priority="2" operator="greaterThan">
      <formula>$C$55</formula>
    </cfRule>
  </conditionalFormatting>
  <conditionalFormatting sqref="C62:L62">
    <cfRule type="cellIs" dxfId="23" priority="1" operator="greaterThan">
      <formula>$C$56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83FB-2133-4215-BF55-5657B6D72C84}">
  <dimension ref="G1:P1"/>
  <sheetViews>
    <sheetView workbookViewId="0">
      <selection activeCell="U28" sqref="U28"/>
    </sheetView>
  </sheetViews>
  <sheetFormatPr defaultRowHeight="14.5" x14ac:dyDescent="0.35"/>
  <sheetData>
    <row r="1" spans="7:16" ht="36" x14ac:dyDescent="0.8">
      <c r="G1" s="50"/>
      <c r="P1" s="5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9"/>
  <sheetViews>
    <sheetView zoomScale="208" zoomScaleNormal="208" workbookViewId="0">
      <pane xSplit="2" ySplit="5" topLeftCell="C6" activePane="bottomRight" state="frozen"/>
      <selection pane="topRight" activeCell="C1" sqref="C1"/>
      <selection pane="bottomLeft" activeCell="A6" sqref="A6"/>
      <selection pane="bottomRight" activeCell="A10" sqref="A10"/>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57</v>
      </c>
    </row>
    <row r="3" spans="1:24" x14ac:dyDescent="0.35">
      <c r="A3" t="s">
        <v>152</v>
      </c>
    </row>
    <row r="5" spans="1:24" s="1" customFormat="1" x14ac:dyDescent="0.35">
      <c r="A5" s="1" t="s">
        <v>59</v>
      </c>
      <c r="B5" s="1" t="s">
        <v>58</v>
      </c>
      <c r="C5" s="13" t="s">
        <v>6</v>
      </c>
      <c r="D5" s="13" t="s">
        <v>7</v>
      </c>
      <c r="E5" s="13" t="s">
        <v>8</v>
      </c>
      <c r="F5" s="13" t="s">
        <v>9</v>
      </c>
      <c r="G5" s="13" t="s">
        <v>10</v>
      </c>
      <c r="H5" s="13" t="s">
        <v>11</v>
      </c>
      <c r="I5" s="13" t="s">
        <v>12</v>
      </c>
      <c r="J5" s="13" t="s">
        <v>13</v>
      </c>
      <c r="K5" s="13" t="s">
        <v>37</v>
      </c>
      <c r="L5" s="13" t="s">
        <v>38</v>
      </c>
      <c r="M5" s="13" t="s">
        <v>61</v>
      </c>
      <c r="N5" s="13" t="s">
        <v>62</v>
      </c>
      <c r="O5" s="13" t="s">
        <v>63</v>
      </c>
      <c r="P5" s="13" t="s">
        <v>64</v>
      </c>
      <c r="Q5" s="13" t="s">
        <v>65</v>
      </c>
      <c r="R5" s="13" t="s">
        <v>66</v>
      </c>
      <c r="S5" s="13" t="s">
        <v>67</v>
      </c>
      <c r="T5" s="13" t="s">
        <v>68</v>
      </c>
      <c r="U5" s="13" t="s">
        <v>69</v>
      </c>
      <c r="V5" s="1" t="s">
        <v>71</v>
      </c>
      <c r="W5" s="1" t="s">
        <v>72</v>
      </c>
      <c r="X5" s="1" t="s">
        <v>60</v>
      </c>
    </row>
    <row r="6" spans="1:24" x14ac:dyDescent="0.35">
      <c r="A6" t="s">
        <v>153</v>
      </c>
      <c r="C6" s="2">
        <v>10</v>
      </c>
      <c r="D6" s="2">
        <f>C6</f>
        <v>10</v>
      </c>
      <c r="E6" s="2">
        <f t="shared" ref="E6:W9" si="0">D6</f>
        <v>10</v>
      </c>
      <c r="F6" s="2">
        <f t="shared" si="0"/>
        <v>10</v>
      </c>
      <c r="G6" s="2">
        <f t="shared" si="0"/>
        <v>10</v>
      </c>
      <c r="H6" s="2">
        <f t="shared" si="0"/>
        <v>10</v>
      </c>
      <c r="I6" s="2">
        <f t="shared" si="0"/>
        <v>10</v>
      </c>
      <c r="J6" s="2">
        <f t="shared" si="0"/>
        <v>10</v>
      </c>
      <c r="K6" s="2">
        <f t="shared" si="0"/>
        <v>10</v>
      </c>
      <c r="L6" s="2">
        <f t="shared" si="0"/>
        <v>10</v>
      </c>
      <c r="M6" s="2">
        <f t="shared" si="0"/>
        <v>10</v>
      </c>
      <c r="N6" s="2">
        <f t="shared" si="0"/>
        <v>10</v>
      </c>
      <c r="O6" s="2">
        <f t="shared" si="0"/>
        <v>10</v>
      </c>
      <c r="P6" s="2">
        <f t="shared" si="0"/>
        <v>10</v>
      </c>
      <c r="Q6" s="2">
        <f t="shared" si="0"/>
        <v>10</v>
      </c>
      <c r="R6" s="2">
        <f t="shared" si="0"/>
        <v>10</v>
      </c>
      <c r="S6" s="2">
        <f t="shared" si="0"/>
        <v>10</v>
      </c>
      <c r="T6" s="2">
        <f t="shared" si="0"/>
        <v>10</v>
      </c>
      <c r="U6" s="2">
        <f t="shared" si="0"/>
        <v>10</v>
      </c>
      <c r="V6" s="2">
        <f t="shared" si="0"/>
        <v>10</v>
      </c>
      <c r="W6" s="2">
        <f t="shared" si="0"/>
        <v>10</v>
      </c>
      <c r="X6" t="s">
        <v>70</v>
      </c>
    </row>
    <row r="7" spans="1:24" x14ac:dyDescent="0.35">
      <c r="A7" t="s">
        <v>154</v>
      </c>
      <c r="C7" s="2">
        <v>9</v>
      </c>
      <c r="D7" s="2">
        <f t="shared" ref="D7:S9" si="1">C7</f>
        <v>9</v>
      </c>
      <c r="E7" s="2">
        <f t="shared" si="1"/>
        <v>9</v>
      </c>
      <c r="F7" s="2">
        <f t="shared" si="1"/>
        <v>9</v>
      </c>
      <c r="G7" s="2">
        <f t="shared" si="1"/>
        <v>9</v>
      </c>
      <c r="H7" s="2">
        <f t="shared" si="1"/>
        <v>9</v>
      </c>
      <c r="I7" s="2">
        <f t="shared" si="1"/>
        <v>9</v>
      </c>
      <c r="J7" s="2">
        <f t="shared" si="1"/>
        <v>9</v>
      </c>
      <c r="K7" s="2">
        <f t="shared" si="1"/>
        <v>9</v>
      </c>
      <c r="L7" s="2">
        <f t="shared" si="1"/>
        <v>9</v>
      </c>
      <c r="M7" s="2">
        <f t="shared" si="1"/>
        <v>9</v>
      </c>
      <c r="N7" s="2">
        <f t="shared" si="1"/>
        <v>9</v>
      </c>
      <c r="O7" s="2">
        <f t="shared" si="1"/>
        <v>9</v>
      </c>
      <c r="P7" s="2">
        <f t="shared" si="1"/>
        <v>9</v>
      </c>
      <c r="Q7" s="2">
        <f t="shared" si="1"/>
        <v>9</v>
      </c>
      <c r="R7" s="2">
        <f t="shared" si="1"/>
        <v>9</v>
      </c>
      <c r="S7" s="2">
        <f t="shared" si="1"/>
        <v>9</v>
      </c>
      <c r="T7" s="2">
        <f t="shared" si="0"/>
        <v>9</v>
      </c>
      <c r="U7" s="2">
        <f t="shared" si="0"/>
        <v>9</v>
      </c>
      <c r="V7" s="2">
        <f t="shared" si="0"/>
        <v>9</v>
      </c>
      <c r="W7" s="2">
        <f t="shared" si="0"/>
        <v>9</v>
      </c>
    </row>
    <row r="8" spans="1:24" x14ac:dyDescent="0.35">
      <c r="A8" t="s">
        <v>155</v>
      </c>
      <c r="C8" s="2">
        <v>8.5</v>
      </c>
      <c r="D8" s="2">
        <f t="shared" si="1"/>
        <v>8.5</v>
      </c>
      <c r="E8" s="2">
        <f t="shared" si="0"/>
        <v>8.5</v>
      </c>
      <c r="F8" s="2">
        <f t="shared" si="0"/>
        <v>8.5</v>
      </c>
      <c r="G8" s="2">
        <f t="shared" si="0"/>
        <v>8.5</v>
      </c>
      <c r="H8" s="2">
        <f t="shared" si="0"/>
        <v>8.5</v>
      </c>
      <c r="I8" s="2">
        <f t="shared" si="0"/>
        <v>8.5</v>
      </c>
      <c r="J8" s="2">
        <f t="shared" si="0"/>
        <v>8.5</v>
      </c>
      <c r="K8" s="2">
        <f t="shared" si="0"/>
        <v>8.5</v>
      </c>
      <c r="L8" s="2">
        <f t="shared" si="0"/>
        <v>8.5</v>
      </c>
      <c r="M8" s="2">
        <f t="shared" si="0"/>
        <v>8.5</v>
      </c>
      <c r="N8" s="2">
        <f t="shared" si="0"/>
        <v>8.5</v>
      </c>
      <c r="O8" s="2">
        <f t="shared" si="0"/>
        <v>8.5</v>
      </c>
      <c r="P8" s="2">
        <f t="shared" si="0"/>
        <v>8.5</v>
      </c>
      <c r="Q8" s="2">
        <f t="shared" si="0"/>
        <v>8.5</v>
      </c>
      <c r="R8" s="2">
        <f t="shared" si="0"/>
        <v>8.5</v>
      </c>
      <c r="S8" s="2">
        <f t="shared" si="0"/>
        <v>8.5</v>
      </c>
      <c r="T8" s="2">
        <f t="shared" si="0"/>
        <v>8.5</v>
      </c>
      <c r="U8" s="2">
        <f t="shared" si="0"/>
        <v>8.5</v>
      </c>
      <c r="V8" s="2">
        <f t="shared" si="0"/>
        <v>8.5</v>
      </c>
      <c r="W8" s="2">
        <f t="shared" si="0"/>
        <v>8.5</v>
      </c>
    </row>
    <row r="9" spans="1:24" x14ac:dyDescent="0.35">
      <c r="A9" t="s">
        <v>156</v>
      </c>
      <c r="C9" s="2">
        <v>8</v>
      </c>
      <c r="D9" s="2">
        <f t="shared" si="1"/>
        <v>8</v>
      </c>
      <c r="E9" s="2">
        <f t="shared" si="0"/>
        <v>8</v>
      </c>
      <c r="F9" s="2">
        <f t="shared" si="0"/>
        <v>8</v>
      </c>
      <c r="G9" s="2">
        <f t="shared" si="0"/>
        <v>8</v>
      </c>
      <c r="H9" s="2">
        <f t="shared" si="0"/>
        <v>8</v>
      </c>
      <c r="I9" s="2">
        <f t="shared" si="0"/>
        <v>8</v>
      </c>
      <c r="J9" s="2">
        <f t="shared" si="0"/>
        <v>8</v>
      </c>
      <c r="K9" s="2">
        <f t="shared" si="0"/>
        <v>8</v>
      </c>
      <c r="L9" s="2">
        <f t="shared" si="0"/>
        <v>8</v>
      </c>
      <c r="M9" s="2">
        <f t="shared" si="0"/>
        <v>8</v>
      </c>
      <c r="N9" s="2">
        <f t="shared" si="0"/>
        <v>8</v>
      </c>
      <c r="O9" s="2">
        <f t="shared" si="0"/>
        <v>8</v>
      </c>
      <c r="P9" s="2">
        <f t="shared" si="0"/>
        <v>8</v>
      </c>
      <c r="Q9" s="2">
        <f t="shared" si="0"/>
        <v>8</v>
      </c>
      <c r="R9" s="2">
        <f t="shared" si="0"/>
        <v>8</v>
      </c>
      <c r="S9" s="2">
        <f t="shared" si="0"/>
        <v>8</v>
      </c>
      <c r="T9" s="2">
        <f t="shared" si="0"/>
        <v>8</v>
      </c>
      <c r="U9" s="2">
        <f t="shared" si="0"/>
        <v>8</v>
      </c>
      <c r="V9" s="2">
        <f t="shared" si="0"/>
        <v>8</v>
      </c>
      <c r="W9" s="2">
        <f t="shared" si="0"/>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C5" sqref="C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14</v>
      </c>
    </row>
    <row r="2" spans="1:19" x14ac:dyDescent="0.35">
      <c r="A2" t="s">
        <v>15</v>
      </c>
    </row>
    <row r="4" spans="1:19" x14ac:dyDescent="0.35">
      <c r="A4" s="3" t="s">
        <v>16</v>
      </c>
      <c r="B4" s="3" t="s">
        <v>17</v>
      </c>
      <c r="C4" s="3" t="s">
        <v>18</v>
      </c>
      <c r="D4" s="3" t="s">
        <v>19</v>
      </c>
      <c r="E4" s="4" t="s">
        <v>20</v>
      </c>
      <c r="G4" s="3" t="s">
        <v>21</v>
      </c>
      <c r="H4" s="3" t="s">
        <v>22</v>
      </c>
      <c r="J4" s="3" t="s">
        <v>23</v>
      </c>
    </row>
    <row r="5" spans="1:19" x14ac:dyDescent="0.35">
      <c r="A5" s="5">
        <v>3370</v>
      </c>
      <c r="B5" s="6">
        <v>0</v>
      </c>
      <c r="C5" s="6">
        <v>1895000</v>
      </c>
      <c r="D5" s="6">
        <v>20303</v>
      </c>
      <c r="E5" s="2">
        <v>1</v>
      </c>
      <c r="G5" s="7">
        <f>C5</f>
        <v>1895000</v>
      </c>
      <c r="H5" s="8">
        <f>A5</f>
        <v>3370</v>
      </c>
      <c r="J5" t="s">
        <v>24</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25</v>
      </c>
      <c r="K7" t="s">
        <v>19</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26</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25</v>
      </c>
      <c r="K12" s="9" t="s">
        <v>20</v>
      </c>
      <c r="L12" t="s">
        <v>27</v>
      </c>
      <c r="M12" t="s">
        <v>28</v>
      </c>
      <c r="N12" t="s">
        <v>29</v>
      </c>
      <c r="O12" t="s">
        <v>30</v>
      </c>
      <c r="P12" t="s">
        <v>31</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58" activePane="bottomRight" state="frozen"/>
      <selection pane="topRight" activeCell="B1" sqref="B1"/>
      <selection pane="bottomLeft" activeCell="A5" sqref="A5"/>
      <selection pane="bottomRight" activeCell="B373" sqref="B37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104</v>
      </c>
    </row>
    <row r="2" spans="1:13" x14ac:dyDescent="0.35">
      <c r="A2" t="s">
        <v>15</v>
      </c>
    </row>
    <row r="3" spans="1:13" x14ac:dyDescent="0.35">
      <c r="C3">
        <v>2035000</v>
      </c>
    </row>
    <row r="4" spans="1:13" x14ac:dyDescent="0.35">
      <c r="A4" s="3" t="s">
        <v>16</v>
      </c>
      <c r="B4" s="3" t="s">
        <v>17</v>
      </c>
      <c r="C4" s="3" t="s">
        <v>18</v>
      </c>
      <c r="D4" s="3" t="s">
        <v>19</v>
      </c>
      <c r="E4" s="4" t="s">
        <v>20</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2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92</v>
      </c>
      <c r="B1" s="1"/>
    </row>
    <row r="2" spans="1:11" x14ac:dyDescent="0.35">
      <c r="A2" s="1"/>
      <c r="B2" s="1"/>
    </row>
    <row r="3" spans="1:11" ht="16.5" customHeight="1" x14ac:dyDescent="0.35">
      <c r="A3" s="26" t="s">
        <v>52</v>
      </c>
      <c r="B3" s="26"/>
      <c r="C3" s="26"/>
      <c r="D3" s="26"/>
      <c r="E3" s="26"/>
      <c r="F3" s="26"/>
      <c r="G3" s="26"/>
      <c r="H3" s="26"/>
      <c r="I3" s="26"/>
      <c r="J3" s="26"/>
      <c r="K3" s="26"/>
    </row>
    <row r="4" spans="1:11" x14ac:dyDescent="0.35">
      <c r="A4" s="17" t="s">
        <v>40</v>
      </c>
      <c r="B4" s="13" t="s">
        <v>44</v>
      </c>
      <c r="C4" s="1" t="s">
        <v>45</v>
      </c>
    </row>
    <row r="5" spans="1:11" x14ac:dyDescent="0.35">
      <c r="A5" s="27" t="s">
        <v>53</v>
      </c>
      <c r="B5" s="49"/>
      <c r="C5" s="83"/>
      <c r="D5" s="83"/>
      <c r="E5" s="83"/>
      <c r="F5" s="83"/>
      <c r="G5" s="83"/>
      <c r="H5" s="83"/>
    </row>
    <row r="6" spans="1:11" x14ac:dyDescent="0.35">
      <c r="A6" s="16" t="s">
        <v>41</v>
      </c>
      <c r="B6" s="49"/>
      <c r="C6" s="83"/>
      <c r="D6" s="83"/>
      <c r="E6" s="83"/>
      <c r="F6" s="83"/>
      <c r="G6" s="83"/>
      <c r="H6" s="83"/>
    </row>
    <row r="7" spans="1:11" x14ac:dyDescent="0.35">
      <c r="A7" s="16" t="s">
        <v>42</v>
      </c>
      <c r="B7" s="49"/>
      <c r="C7" s="83"/>
      <c r="D7" s="83"/>
      <c r="E7" s="83"/>
      <c r="F7" s="83"/>
      <c r="G7" s="83"/>
      <c r="H7" s="83"/>
    </row>
    <row r="8" spans="1:11" x14ac:dyDescent="0.35">
      <c r="A8" s="16" t="s">
        <v>43</v>
      </c>
      <c r="B8" s="49"/>
      <c r="C8" s="83"/>
      <c r="D8" s="83"/>
      <c r="E8" s="83"/>
      <c r="F8" s="83"/>
      <c r="G8" s="83"/>
      <c r="H8" s="83"/>
    </row>
    <row r="9" spans="1:11" x14ac:dyDescent="0.35">
      <c r="A9" s="16"/>
      <c r="B9" s="2"/>
      <c r="C9"/>
    </row>
    <row r="10" spans="1:11" x14ac:dyDescent="0.35">
      <c r="A10" s="19" t="s">
        <v>47</v>
      </c>
      <c r="B10" s="2"/>
      <c r="C10"/>
    </row>
    <row r="11" spans="1:11" x14ac:dyDescent="0.35">
      <c r="A11" s="20" t="s">
        <v>54</v>
      </c>
    </row>
    <row r="12" spans="1:11" x14ac:dyDescent="0.35">
      <c r="A12" s="22" t="s">
        <v>49</v>
      </c>
      <c r="B12" s="19"/>
    </row>
    <row r="13" spans="1:11" x14ac:dyDescent="0.35">
      <c r="A13" s="21" t="s">
        <v>48</v>
      </c>
    </row>
    <row r="15" spans="1:11" x14ac:dyDescent="0.35">
      <c r="A15" s="1" t="s">
        <v>55</v>
      </c>
      <c r="D15" s="20"/>
    </row>
    <row r="17" spans="1:13" x14ac:dyDescent="0.35">
      <c r="A17" s="1" t="s">
        <v>33</v>
      </c>
      <c r="B17" s="1" t="s">
        <v>94</v>
      </c>
      <c r="C17" s="13" t="s">
        <v>95</v>
      </c>
    </row>
    <row r="18" spans="1:13" x14ac:dyDescent="0.35">
      <c r="A18" t="s">
        <v>93</v>
      </c>
      <c r="B18" s="12">
        <v>5.73</v>
      </c>
      <c r="C18" s="12">
        <v>6</v>
      </c>
      <c r="D18" s="23" t="s">
        <v>124</v>
      </c>
    </row>
    <row r="19" spans="1:13" x14ac:dyDescent="0.35">
      <c r="A19" t="s">
        <v>34</v>
      </c>
      <c r="B19" s="12">
        <v>11</v>
      </c>
      <c r="C19" s="12">
        <v>10.1</v>
      </c>
      <c r="D19" s="11" t="s">
        <v>35</v>
      </c>
    </row>
    <row r="21" spans="1:13" s="1" customFormat="1" x14ac:dyDescent="0.35">
      <c r="A21" s="1" t="s">
        <v>36</v>
      </c>
      <c r="B21" s="1" t="s">
        <v>50</v>
      </c>
      <c r="C21" s="13" t="s">
        <v>6</v>
      </c>
      <c r="D21" s="13" t="s">
        <v>7</v>
      </c>
      <c r="E21" s="13" t="s">
        <v>8</v>
      </c>
      <c r="F21" s="13" t="s">
        <v>9</v>
      </c>
      <c r="G21" s="13" t="s">
        <v>10</v>
      </c>
      <c r="H21" s="13" t="s">
        <v>11</v>
      </c>
      <c r="I21" s="13" t="s">
        <v>12</v>
      </c>
      <c r="J21" s="13" t="s">
        <v>13</v>
      </c>
      <c r="K21" s="13" t="s">
        <v>37</v>
      </c>
      <c r="L21" s="13" t="s">
        <v>38</v>
      </c>
      <c r="M21" s="13" t="s">
        <v>90</v>
      </c>
    </row>
    <row r="22" spans="1:13" x14ac:dyDescent="0.35">
      <c r="A22" s="1" t="s">
        <v>46</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105</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108</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100</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101</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32</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99</v>
      </c>
      <c r="C28"/>
    </row>
    <row r="29" spans="1:13" hidden="1" x14ac:dyDescent="0.35">
      <c r="A29" t="s">
        <v>97</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98</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103</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82</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83</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84</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102</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117</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87</v>
      </c>
      <c r="C39"/>
    </row>
    <row r="40" spans="1:13" x14ac:dyDescent="0.35">
      <c r="A40" s="31" t="s">
        <v>85</v>
      </c>
      <c r="B40" s="1"/>
      <c r="C40" s="25"/>
      <c r="D40" s="25"/>
      <c r="E40" s="25"/>
      <c r="F40" s="25"/>
      <c r="G40" s="25"/>
      <c r="H40" s="25"/>
      <c r="I40" s="25"/>
      <c r="J40" s="25"/>
      <c r="K40" s="25"/>
      <c r="L40" s="25"/>
    </row>
    <row r="41" spans="1:13" x14ac:dyDescent="0.35">
      <c r="A41" s="31" t="s">
        <v>86</v>
      </c>
      <c r="B41" s="1"/>
      <c r="C41" s="30"/>
      <c r="D41" s="30"/>
      <c r="E41" s="30"/>
      <c r="F41" s="30"/>
      <c r="G41" s="30"/>
      <c r="H41" s="30"/>
      <c r="I41" s="30"/>
      <c r="J41" s="30"/>
      <c r="K41" s="30"/>
      <c r="L41" s="30"/>
      <c r="M41" s="32">
        <f>SUM(C41:L41)</f>
        <v>0</v>
      </c>
    </row>
    <row r="42" spans="1:13" hidden="1" x14ac:dyDescent="0.35">
      <c r="A42" s="31" t="s">
        <v>88</v>
      </c>
      <c r="B42" s="1"/>
      <c r="C42" s="25"/>
      <c r="D42" s="25"/>
      <c r="E42" s="25"/>
      <c r="F42" s="25"/>
      <c r="G42" s="25"/>
      <c r="H42" s="25"/>
      <c r="I42" s="25"/>
      <c r="J42" s="25"/>
      <c r="K42" s="25"/>
      <c r="L42" s="25"/>
      <c r="M42" s="33"/>
    </row>
    <row r="43" spans="1:13" hidden="1" x14ac:dyDescent="0.35">
      <c r="A43" s="31" t="s">
        <v>89</v>
      </c>
      <c r="B43" s="1"/>
      <c r="C43" s="30"/>
      <c r="D43" s="30"/>
      <c r="E43" s="30"/>
      <c r="F43" s="30"/>
      <c r="G43" s="30"/>
      <c r="H43" s="30"/>
      <c r="I43" s="30"/>
      <c r="J43" s="30"/>
      <c r="K43" s="30"/>
      <c r="L43" s="30"/>
      <c r="M43" s="32">
        <f>SUM(C43:L43)</f>
        <v>0</v>
      </c>
    </row>
    <row r="44" spans="1:13" x14ac:dyDescent="0.35">
      <c r="A44" s="1" t="s">
        <v>106</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118</v>
      </c>
      <c r="B48" s="1"/>
      <c r="C48" s="29"/>
      <c r="D48" s="2"/>
      <c r="E48" s="2"/>
      <c r="F48" s="2"/>
      <c r="G48" s="2"/>
      <c r="H48" s="2"/>
      <c r="I48" s="2"/>
      <c r="J48" s="2"/>
      <c r="K48" s="2"/>
      <c r="L48" s="2"/>
    </row>
    <row r="49" spans="1:18" x14ac:dyDescent="0.35">
      <c r="A49" t="s">
        <v>119</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8"/>
      <c r="N49" s="1" t="s">
        <v>111</v>
      </c>
    </row>
    <row r="50" spans="1:18" x14ac:dyDescent="0.35">
      <c r="A50" t="s">
        <v>120</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112</v>
      </c>
      <c r="O50" s="37" t="s">
        <v>113</v>
      </c>
      <c r="P50" s="38" t="s">
        <v>114</v>
      </c>
      <c r="Q50" s="38" t="s">
        <v>115</v>
      </c>
      <c r="R50" s="37" t="s">
        <v>116</v>
      </c>
    </row>
    <row r="51" spans="1:18" x14ac:dyDescent="0.35">
      <c r="A51" t="s">
        <v>121</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122</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123</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107</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109</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110</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ReadMe-Directions</vt:lpstr>
      <vt:lpstr>Master</vt:lpstr>
      <vt:lpstr>9.0-Trade</vt:lpstr>
      <vt:lpstr>9.0-LawOfRiver</vt:lpstr>
      <vt:lpstr>9.0-Plots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2021-06-07T22:41:29Z</dcterms:modified>
</cp:coreProperties>
</file>