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9D7033EA-CD5B-4064-B587-5BC4E8B9FCF0}"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36" r:id="rId3"/>
    <sheet name="11.0-Trade" sheetId="33" r:id="rId4"/>
    <sheet name="11.0-LawOfRiver" sheetId="35" r:id="rId5"/>
    <sheet name="11.0-Plots" sheetId="19" r:id="rId6"/>
    <sheet name="MillenniumRecover-LawOfRiver" sheetId="37" r:id="rId7"/>
    <sheet name="MillenniumRecover-Trade" sheetId="39" r:id="rId8"/>
    <sheet name="Millennium-Plots" sheetId="28" r:id="rId9"/>
    <sheet name="MillenniumRecover-Delta" sheetId="40" r:id="rId10"/>
    <sheet name="LowerBasinCuts" sheetId="41" r:id="rId11"/>
    <sheet name="HydrologicScenarios" sheetId="7" r:id="rId12"/>
    <sheet name="Powell-Elevation-Area" sheetId="2" r:id="rId13"/>
    <sheet name="Mead-Elevation-Area" sheetId="10" r:id="rId14"/>
    <sheet name="11.0-LawOfRiverShort" sheetId="16"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40" l="1"/>
  <c r="C46" i="40"/>
  <c r="C46" i="37"/>
  <c r="C69" i="37"/>
  <c r="C69" i="39"/>
  <c r="C46" i="39"/>
  <c r="C69" i="35"/>
  <c r="C70" i="35" s="1"/>
  <c r="H46" i="35"/>
  <c r="I46" i="35"/>
  <c r="J46" i="35"/>
  <c r="K46" i="35"/>
  <c r="L46" i="35"/>
  <c r="C46" i="35"/>
  <c r="H46" i="36"/>
  <c r="I46" i="36"/>
  <c r="J46" i="36"/>
  <c r="K46" i="36"/>
  <c r="L46" i="36"/>
  <c r="E46" i="36"/>
  <c r="F46" i="36"/>
  <c r="G46" i="36"/>
  <c r="H46" i="33"/>
  <c r="I46" i="33"/>
  <c r="J46" i="33"/>
  <c r="K46" i="33"/>
  <c r="L46" i="33"/>
  <c r="C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L5" i="41" l="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P5" i="41" l="1"/>
  <c r="F4" i="31" l="1"/>
  <c r="K97" i="40" l="1"/>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115" i="39"/>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I110" i="39"/>
  <c r="I118" i="39"/>
  <c r="L126" i="37"/>
  <c r="L47" i="37"/>
  <c r="L118" i="37"/>
  <c r="L110" i="37"/>
  <c r="L111" i="37"/>
  <c r="L133" i="37"/>
  <c r="L107" i="37"/>
  <c r="L28" i="37"/>
  <c r="K118" i="37"/>
  <c r="K108" i="37"/>
  <c r="K53" i="37"/>
  <c r="K47" i="37"/>
  <c r="K109" i="37"/>
  <c r="K126" i="37"/>
  <c r="K110" i="37"/>
  <c r="J133" i="37"/>
  <c r="J119" i="37"/>
  <c r="J28" i="37"/>
  <c r="C39" i="37"/>
  <c r="C42" i="37" s="1"/>
  <c r="C115" i="37"/>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M73" i="36"/>
  <c r="A73" i="36"/>
  <c r="A74" i="36" s="1"/>
  <c r="A72" i="36"/>
  <c r="M66"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46" i="36" s="1"/>
  <c r="C37" i="36"/>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A30" i="36"/>
  <c r="H30" i="36" s="1"/>
  <c r="L29" i="36"/>
  <c r="K29" i="36"/>
  <c r="J29" i="36"/>
  <c r="I29" i="36"/>
  <c r="H29" i="36"/>
  <c r="C29" i="36"/>
  <c r="L28" i="36"/>
  <c r="L130" i="36" s="1"/>
  <c r="K28" i="36"/>
  <c r="J28" i="36"/>
  <c r="I28" i="36"/>
  <c r="I130" i="36" s="1"/>
  <c r="H28" i="36"/>
  <c r="D28" i="36"/>
  <c r="D47" i="36" s="1"/>
  <c r="C28" i="36"/>
  <c r="C24" i="36"/>
  <c r="B24" i="36"/>
  <c r="B34" i="36" s="1"/>
  <c r="C34" i="36" s="1"/>
  <c r="C77"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D27" i="35"/>
  <c r="C24" i="35"/>
  <c r="B24" i="35"/>
  <c r="B30" i="35" s="1"/>
  <c r="H131" i="33"/>
  <c r="I131" i="33"/>
  <c r="J131" i="33"/>
  <c r="K131" i="33"/>
  <c r="L131" i="33"/>
  <c r="H129" i="33"/>
  <c r="I129" i="33"/>
  <c r="J129" i="33"/>
  <c r="K129" i="33"/>
  <c r="L129" i="33"/>
  <c r="F58" i="33"/>
  <c r="G58" i="33"/>
  <c r="G66" i="33"/>
  <c r="F66" i="33"/>
  <c r="G74" i="33"/>
  <c r="F74" i="33"/>
  <c r="C39" i="36" l="1"/>
  <c r="B30" i="36"/>
  <c r="B29" i="36" s="1"/>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E27" i="35"/>
  <c r="I30" i="35"/>
  <c r="J32" i="35"/>
  <c r="C34"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G69" i="33"/>
  <c r="C66" i="33"/>
  <c r="D58" i="33"/>
  <c r="D66" i="33" s="1"/>
  <c r="E58" i="33"/>
  <c r="E66" i="33" s="1"/>
  <c r="C58" i="33"/>
  <c r="D65" i="33"/>
  <c r="E65" i="33"/>
  <c r="C65" i="33"/>
  <c r="D134" i="36" l="1"/>
  <c r="C52" i="36"/>
  <c r="E59" i="40"/>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47" i="35"/>
  <c r="E100" i="35"/>
  <c r="E35" i="35"/>
  <c r="E45" i="35"/>
  <c r="F27" i="35"/>
  <c r="E28"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27" i="33"/>
  <c r="D115" i="33" s="1"/>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G27"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27" i="33"/>
  <c r="E35" i="33" s="1"/>
  <c r="C62" i="37" l="1"/>
  <c r="C121" i="37" s="1"/>
  <c r="C127" i="37" s="1"/>
  <c r="G91" i="40"/>
  <c r="G99" i="40"/>
  <c r="G59" i="40"/>
  <c r="G67" i="40"/>
  <c r="G75" i="40"/>
  <c r="C127" i="40"/>
  <c r="D30" i="40"/>
  <c r="H47" i="40"/>
  <c r="H112" i="40"/>
  <c r="H99" i="40" s="1"/>
  <c r="G91" i="39"/>
  <c r="G75" i="39"/>
  <c r="G59" i="39"/>
  <c r="G67" i="39"/>
  <c r="H112" i="39"/>
  <c r="C127" i="39"/>
  <c r="D30" i="39"/>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50" i="33"/>
  <c r="C49" i="33" s="1"/>
  <c r="C48" i="33" s="1"/>
  <c r="C42" i="33"/>
  <c r="B29" i="33"/>
  <c r="L68" i="33"/>
  <c r="K68" i="33"/>
  <c r="H68" i="33"/>
  <c r="J68" i="33"/>
  <c r="I68" i="33"/>
  <c r="E53" i="33"/>
  <c r="D112" i="33"/>
  <c r="E114" i="33"/>
  <c r="E109" i="33"/>
  <c r="E115" i="33"/>
  <c r="E134" i="33" s="1"/>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27" i="33"/>
  <c r="F35" i="33" s="1"/>
  <c r="C41" i="33"/>
  <c r="C30" i="33"/>
  <c r="D30" i="37" l="1"/>
  <c r="H83" i="40"/>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G27" i="33"/>
  <c r="F133" i="33"/>
  <c r="C40" i="33"/>
  <c r="C60" i="33" s="1"/>
  <c r="D46" i="40" l="1"/>
  <c r="D77" i="40" s="1"/>
  <c r="D116" i="40" s="1"/>
  <c r="D69" i="40"/>
  <c r="D115" i="40" s="1"/>
  <c r="D134" i="40" s="1"/>
  <c r="D69" i="37"/>
  <c r="D115" i="37" s="1"/>
  <c r="D134" i="37" s="1"/>
  <c r="D46" i="37"/>
  <c r="D77" i="37" s="1"/>
  <c r="D116" i="37" s="1"/>
  <c r="D46" i="39"/>
  <c r="D77" i="39" s="1"/>
  <c r="D116" i="39" s="1"/>
  <c r="D69" i="39"/>
  <c r="D115" i="39" s="1"/>
  <c r="D134" i="39" s="1"/>
  <c r="C131" i="40"/>
  <c r="D37" i="40"/>
  <c r="D39" i="40" s="1"/>
  <c r="D45" i="40" s="1"/>
  <c r="D100" i="40" s="1"/>
  <c r="D102" i="40" s="1"/>
  <c r="D126" i="40" s="1"/>
  <c r="E35" i="40" s="1"/>
  <c r="C131" i="39"/>
  <c r="D37" i="39"/>
  <c r="D39" i="39" s="1"/>
  <c r="D37" i="37"/>
  <c r="D39" i="37" s="1"/>
  <c r="C131" i="37"/>
  <c r="C127" i="36"/>
  <c r="D30" i="36"/>
  <c r="G59" i="35"/>
  <c r="G67" i="35"/>
  <c r="G91" i="35"/>
  <c r="G75" i="35"/>
  <c r="C48" i="35"/>
  <c r="C60" i="35" s="1"/>
  <c r="C68" i="35"/>
  <c r="C122" i="35" s="1"/>
  <c r="D31"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C61" i="35" l="1"/>
  <c r="C114" i="35" s="1"/>
  <c r="D44" i="40"/>
  <c r="D52" i="40" s="1"/>
  <c r="D43" i="40"/>
  <c r="D41" i="40"/>
  <c r="D40" i="40"/>
  <c r="D42" i="40"/>
  <c r="D41" i="39"/>
  <c r="D40" i="39"/>
  <c r="D44" i="39"/>
  <c r="D52" i="39" s="1"/>
  <c r="D42" i="39"/>
  <c r="D43" i="39"/>
  <c r="D44" i="37"/>
  <c r="D52" i="37" s="1"/>
  <c r="D40" i="37"/>
  <c r="D41" i="37"/>
  <c r="D43" i="37"/>
  <c r="D42" i="37"/>
  <c r="C129" i="36"/>
  <c r="D29" i="36"/>
  <c r="C130" i="36"/>
  <c r="D38" i="36" s="1"/>
  <c r="D46" i="36" s="1"/>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C62" i="35" l="1"/>
  <c r="C121" i="35" s="1"/>
  <c r="D51" i="40"/>
  <c r="D92" i="40"/>
  <c r="D94" i="40" s="1"/>
  <c r="D125" i="40" s="1"/>
  <c r="E34" i="40" s="1"/>
  <c r="D51" i="39"/>
  <c r="D92" i="39"/>
  <c r="D94" i="39" s="1"/>
  <c r="D125" i="39" s="1"/>
  <c r="E34" i="39" s="1"/>
  <c r="D51" i="37"/>
  <c r="D92" i="37"/>
  <c r="D94" i="37" s="1"/>
  <c r="D125" i="37" s="1"/>
  <c r="E34" i="37" s="1"/>
  <c r="C131" i="36"/>
  <c r="D37" i="36"/>
  <c r="D39" i="36" s="1"/>
  <c r="G67" i="33"/>
  <c r="G75" i="33"/>
  <c r="G83" i="33"/>
  <c r="G91" i="33"/>
  <c r="C62" i="33"/>
  <c r="C121" i="33" s="1"/>
  <c r="D30" i="33" s="1"/>
  <c r="C127" i="35" l="1"/>
  <c r="D30" i="35"/>
  <c r="D50" i="40"/>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29" i="35" l="1"/>
  <c r="C130" i="35"/>
  <c r="D38" i="35" s="1"/>
  <c r="D69" i="35" s="1"/>
  <c r="D29" i="35"/>
  <c r="D49" i="40"/>
  <c r="D68" i="40" s="1"/>
  <c r="D70" i="40" s="1"/>
  <c r="D122" i="40" s="1"/>
  <c r="E31" i="40" s="1"/>
  <c r="D85" i="40"/>
  <c r="D117" i="40" s="1"/>
  <c r="D85" i="39"/>
  <c r="D117" i="39" s="1"/>
  <c r="D49" i="39"/>
  <c r="D49" i="37"/>
  <c r="D48" i="37" s="1"/>
  <c r="D60" i="37" s="1"/>
  <c r="D85" i="37"/>
  <c r="D117" i="37" s="1"/>
  <c r="D51" i="36"/>
  <c r="D92" i="36"/>
  <c r="D94" i="36" s="1"/>
  <c r="D125" i="36" s="1"/>
  <c r="E34" i="36" s="1"/>
  <c r="D46" i="35" l="1"/>
  <c r="D77" i="35" s="1"/>
  <c r="D116" i="35" s="1"/>
  <c r="D115" i="35"/>
  <c r="D134" i="35" s="1"/>
  <c r="D37" i="35"/>
  <c r="D39" i="35" s="1"/>
  <c r="C131" i="35"/>
  <c r="D48" i="40"/>
  <c r="D60" i="40" s="1"/>
  <c r="D61" i="40" s="1"/>
  <c r="D114" i="40" s="1"/>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D50" i="36"/>
  <c r="D76" i="36" s="1"/>
  <c r="D78" i="36" s="1"/>
  <c r="D123" i="36" s="1"/>
  <c r="E32" i="36" s="1"/>
  <c r="D84" i="36"/>
  <c r="D85" i="36" s="1"/>
  <c r="D43" i="35" l="1"/>
  <c r="D42" i="35"/>
  <c r="D41" i="35"/>
  <c r="D40" i="35"/>
  <c r="D44" i="35"/>
  <c r="D52" i="35" s="1"/>
  <c r="D62" i="40"/>
  <c r="D121" i="40" s="1"/>
  <c r="D61" i="39"/>
  <c r="D114" i="39" s="1"/>
  <c r="D62" i="37"/>
  <c r="D121" i="37" s="1"/>
  <c r="E30" i="37" s="1"/>
  <c r="D49" i="36"/>
  <c r="D117" i="36"/>
  <c r="D51" i="35" l="1"/>
  <c r="D92" i="35"/>
  <c r="D94" i="35" s="1"/>
  <c r="D125" i="35" s="1"/>
  <c r="E34" i="35" s="1"/>
  <c r="D127" i="40"/>
  <c r="E30" i="40"/>
  <c r="D62" i="39"/>
  <c r="D121" i="39" s="1"/>
  <c r="D127" i="39" s="1"/>
  <c r="D127" i="37"/>
  <c r="E29" i="37" s="1"/>
  <c r="D86" i="36"/>
  <c r="D124" i="36" s="1"/>
  <c r="E33" i="36" s="1"/>
  <c r="D48" i="36"/>
  <c r="D60" i="36" s="1"/>
  <c r="D62" i="36" s="1"/>
  <c r="D121" i="36" s="1"/>
  <c r="D68" i="36"/>
  <c r="D70" i="36" s="1"/>
  <c r="D122" i="36" s="1"/>
  <c r="E31" i="36" s="1"/>
  <c r="D84" i="35" l="1"/>
  <c r="D85" i="35" s="1"/>
  <c r="D117" i="35" s="1"/>
  <c r="D50" i="35"/>
  <c r="D129" i="40"/>
  <c r="E29" i="40"/>
  <c r="D130" i="40"/>
  <c r="E38" i="40" s="1"/>
  <c r="E30" i="39"/>
  <c r="D129" i="39"/>
  <c r="E29" i="39"/>
  <c r="D130" i="39"/>
  <c r="E38" i="39" s="1"/>
  <c r="D129" i="37"/>
  <c r="D130" i="37"/>
  <c r="E38" i="37" s="1"/>
  <c r="D127" i="36"/>
  <c r="E30" i="36"/>
  <c r="E46" i="40" l="1"/>
  <c r="E77" i="40" s="1"/>
  <c r="E116" i="40" s="1"/>
  <c r="E69" i="40"/>
  <c r="E115" i="40" s="1"/>
  <c r="E134" i="40" s="1"/>
  <c r="E69" i="37"/>
  <c r="E115" i="37" s="1"/>
  <c r="E134" i="37" s="1"/>
  <c r="E46" i="37"/>
  <c r="E77" i="37" s="1"/>
  <c r="E116" i="37" s="1"/>
  <c r="E46" i="39"/>
  <c r="E77" i="39" s="1"/>
  <c r="E116" i="39" s="1"/>
  <c r="E69" i="39"/>
  <c r="E115" i="39" s="1"/>
  <c r="E134" i="39" s="1"/>
  <c r="D86" i="35"/>
  <c r="D124" i="35" s="1"/>
  <c r="E33" i="35" s="1"/>
  <c r="D76" i="35"/>
  <c r="D78" i="35" s="1"/>
  <c r="D123" i="35" s="1"/>
  <c r="E32" i="35" s="1"/>
  <c r="D49" i="35"/>
  <c r="D131" i="40"/>
  <c r="E37" i="40"/>
  <c r="E39" i="40" s="1"/>
  <c r="E45" i="40" s="1"/>
  <c r="E100" i="40" s="1"/>
  <c r="D131" i="39"/>
  <c r="E37" i="39"/>
  <c r="E39" i="39" s="1"/>
  <c r="E37" i="37"/>
  <c r="E39" i="37" s="1"/>
  <c r="E40" i="37" s="1"/>
  <c r="D131" i="37"/>
  <c r="E29" i="36"/>
  <c r="D130" i="36"/>
  <c r="E38" i="36" s="1"/>
  <c r="D129" i="36"/>
  <c r="D48" i="35" l="1"/>
  <c r="D60" i="35" s="1"/>
  <c r="D61" i="35" s="1"/>
  <c r="D114" i="35" s="1"/>
  <c r="D68" i="35"/>
  <c r="D70" i="35" s="1"/>
  <c r="D122" i="35" s="1"/>
  <c r="E31" i="35" s="1"/>
  <c r="E101" i="40"/>
  <c r="E119" i="40" s="1"/>
  <c r="E43" i="40"/>
  <c r="E42" i="40"/>
  <c r="E44" i="40"/>
  <c r="E52" i="40" s="1"/>
  <c r="E40" i="40"/>
  <c r="E41" i="40"/>
  <c r="E43" i="39"/>
  <c r="E40" i="39"/>
  <c r="E41" i="39"/>
  <c r="E44" i="39"/>
  <c r="E52" i="39" s="1"/>
  <c r="E42" i="39"/>
  <c r="E43" i="37"/>
  <c r="E42" i="37"/>
  <c r="E41" i="37"/>
  <c r="E44" i="37"/>
  <c r="E52" i="37" s="1"/>
  <c r="E51" i="37" s="1"/>
  <c r="D131" i="36"/>
  <c r="E37" i="36"/>
  <c r="E39" i="36" s="1"/>
  <c r="D62" i="35" l="1"/>
  <c r="D121" i="35" s="1"/>
  <c r="E30" i="35" s="1"/>
  <c r="E102" i="40"/>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D127" i="35" l="1"/>
  <c r="D130" i="35" s="1"/>
  <c r="E38" i="35" s="1"/>
  <c r="E69" i="35" s="1"/>
  <c r="E50" i="40"/>
  <c r="E84" i="40"/>
  <c r="E50" i="39"/>
  <c r="E84" i="39"/>
  <c r="E49" i="37"/>
  <c r="E48" i="37" s="1"/>
  <c r="E60" i="37" s="1"/>
  <c r="E85" i="37"/>
  <c r="E117" i="37" s="1"/>
  <c r="E51" i="36"/>
  <c r="E92" i="36"/>
  <c r="E94" i="36" s="1"/>
  <c r="E125" i="36" s="1"/>
  <c r="F34" i="36" s="1"/>
  <c r="D38" i="16"/>
  <c r="D37" i="16" s="1"/>
  <c r="C37" i="16"/>
  <c r="C32" i="16"/>
  <c r="C33" i="16"/>
  <c r="C55" i="16" s="1"/>
  <c r="D26" i="16" s="1"/>
  <c r="C34" i="16"/>
  <c r="C47" i="16" s="1"/>
  <c r="C56" i="16" s="1"/>
  <c r="D51" i="16"/>
  <c r="E22" i="16"/>
  <c r="E29" i="35" l="1"/>
  <c r="D129" i="35"/>
  <c r="E37" i="35" s="1"/>
  <c r="E39" i="35" s="1"/>
  <c r="E46" i="35"/>
  <c r="E77" i="35" s="1"/>
  <c r="E116" i="35" s="1"/>
  <c r="E115" i="35"/>
  <c r="E134" i="35" s="1"/>
  <c r="E85" i="40"/>
  <c r="E117" i="40"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E50" i="36"/>
  <c r="E76" i="36" s="1"/>
  <c r="E78" i="36" s="1"/>
  <c r="E123" i="36" s="1"/>
  <c r="F32" i="36" s="1"/>
  <c r="E84" i="36"/>
  <c r="E85" i="36" s="1"/>
  <c r="D50" i="16"/>
  <c r="D60" i="16" s="1"/>
  <c r="E59" i="16"/>
  <c r="E23" i="16"/>
  <c r="E35" i="16"/>
  <c r="E36" i="16" s="1"/>
  <c r="F22" i="16"/>
  <c r="E51" i="16"/>
  <c r="D131" i="35" l="1"/>
  <c r="E86" i="40"/>
  <c r="E124" i="40" s="1"/>
  <c r="F33" i="40" s="1"/>
  <c r="E48" i="40"/>
  <c r="E60" i="40" s="1"/>
  <c r="E68" i="40"/>
  <c r="E70" i="40" s="1"/>
  <c r="E122" i="40" s="1"/>
  <c r="F31" i="40" s="1"/>
  <c r="E48" i="39"/>
  <c r="E60" i="39" s="1"/>
  <c r="E68" i="39"/>
  <c r="E70" i="39" s="1"/>
  <c r="E122" i="39" s="1"/>
  <c r="F31" i="39" s="1"/>
  <c r="E86" i="39"/>
  <c r="E124" i="39" s="1"/>
  <c r="F33" i="39" s="1"/>
  <c r="E62" i="37"/>
  <c r="E121" i="37" s="1"/>
  <c r="E49" i="36"/>
  <c r="E68" i="36" s="1"/>
  <c r="E70" i="36" s="1"/>
  <c r="E122" i="36" s="1"/>
  <c r="F31" i="36" s="1"/>
  <c r="E117" i="36"/>
  <c r="E44" i="35"/>
  <c r="E52" i="35" s="1"/>
  <c r="E40" i="35"/>
  <c r="E41" i="35"/>
  <c r="E42" i="35"/>
  <c r="E43" i="35"/>
  <c r="C49" i="16"/>
  <c r="C54" i="16" s="1"/>
  <c r="E38" i="16"/>
  <c r="E37" i="16" s="1"/>
  <c r="F35" i="16"/>
  <c r="G22" i="16"/>
  <c r="F51" i="16"/>
  <c r="F23" i="16"/>
  <c r="F36" i="16"/>
  <c r="F38" i="16" s="1"/>
  <c r="F59" i="16"/>
  <c r="E61" i="40" l="1"/>
  <c r="E114" i="40" s="1"/>
  <c r="E61" i="39"/>
  <c r="E114" i="39" s="1"/>
  <c r="E127" i="37"/>
  <c r="F30" i="37"/>
  <c r="E86" i="36"/>
  <c r="E124" i="36" s="1"/>
  <c r="F33" i="36" s="1"/>
  <c r="E48" i="36"/>
  <c r="E60" i="36" s="1"/>
  <c r="E62" i="36" s="1"/>
  <c r="E121" i="36" s="1"/>
  <c r="E51" i="35"/>
  <c r="E92" i="35"/>
  <c r="E94" i="35" s="1"/>
  <c r="E125" i="35" s="1"/>
  <c r="F34" i="35" s="1"/>
  <c r="D25" i="16"/>
  <c r="C57" i="16"/>
  <c r="D24" i="16" s="1"/>
  <c r="D29" i="16" s="1"/>
  <c r="F37" i="16"/>
  <c r="G51" i="16"/>
  <c r="H22" i="16"/>
  <c r="G35" i="16"/>
  <c r="G23" i="16"/>
  <c r="G36" i="16"/>
  <c r="G59" i="16"/>
  <c r="E62" i="40" l="1"/>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69" i="37" l="1"/>
  <c r="F115" i="37" s="1"/>
  <c r="F134" i="37" s="1"/>
  <c r="F46" i="37"/>
  <c r="F77" i="37" s="1"/>
  <c r="F116" i="37" s="1"/>
  <c r="E127" i="40"/>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F46" i="39" l="1"/>
  <c r="F77" i="39" s="1"/>
  <c r="F116" i="39" s="1"/>
  <c r="F69" i="39"/>
  <c r="F115" i="39" s="1"/>
  <c r="F134" i="39" s="1"/>
  <c r="E129" i="40"/>
  <c r="F29" i="40"/>
  <c r="E130" i="40"/>
  <c r="F38" i="40" s="1"/>
  <c r="E131" i="39"/>
  <c r="F37" i="39"/>
  <c r="F39" i="39" s="1"/>
  <c r="F40" i="37"/>
  <c r="F44" i="37"/>
  <c r="F52" i="37" s="1"/>
  <c r="F41" i="37"/>
  <c r="F43" i="37"/>
  <c r="F42" i="37"/>
  <c r="F37" i="36"/>
  <c r="F39" i="36"/>
  <c r="F43" i="36" s="1"/>
  <c r="E48" i="35"/>
  <c r="E60" i="35" s="1"/>
  <c r="E68" i="35"/>
  <c r="E70" i="35" s="1"/>
  <c r="E122" i="35" s="1"/>
  <c r="F31" i="35" s="1"/>
  <c r="E86" i="35"/>
  <c r="E124" i="35" s="1"/>
  <c r="F33" i="35" s="1"/>
  <c r="I38" i="16"/>
  <c r="I37" i="16" s="1"/>
  <c r="D57" i="16"/>
  <c r="E24" i="16" s="1"/>
  <c r="E25" i="16"/>
  <c r="J36" i="16"/>
  <c r="J38" i="16" s="1"/>
  <c r="J23" i="16"/>
  <c r="J35" i="16"/>
  <c r="J59" i="16"/>
  <c r="K22" i="16"/>
  <c r="J51" i="16"/>
  <c r="F46" i="40" l="1"/>
  <c r="F77" i="40" s="1"/>
  <c r="F116" i="40" s="1"/>
  <c r="F69" i="40"/>
  <c r="F115" i="40" s="1"/>
  <c r="F134" i="40" s="1"/>
  <c r="E131" i="40"/>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E61" i="35"/>
  <c r="E114" i="35" s="1"/>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69" i="35" s="1"/>
  <c r="F29" i="35"/>
  <c r="E57" i="16"/>
  <c r="F24" i="16" s="1"/>
  <c r="F25" i="16"/>
  <c r="F46" i="35" l="1"/>
  <c r="F77" i="35" s="1"/>
  <c r="F116" i="35" s="1"/>
  <c r="F115" i="35"/>
  <c r="F134" i="35" s="1"/>
  <c r="F85" i="40"/>
  <c r="F117" i="40" s="1"/>
  <c r="F49" i="40"/>
  <c r="F86" i="39"/>
  <c r="F124" i="39" s="1"/>
  <c r="G33" i="39" s="1"/>
  <c r="F68" i="39"/>
  <c r="F70" i="39" s="1"/>
  <c r="F122" i="39" s="1"/>
  <c r="G31" i="39" s="1"/>
  <c r="F61" i="39"/>
  <c r="F114" i="39" s="1"/>
  <c r="F61" i="37"/>
  <c r="F114" i="37" s="1"/>
  <c r="F127" i="36"/>
  <c r="G30" i="36"/>
  <c r="F37" i="35"/>
  <c r="F39" i="35" s="1"/>
  <c r="E131" i="35"/>
  <c r="F27" i="16"/>
  <c r="F29" i="16"/>
  <c r="F31" i="16" s="1"/>
  <c r="F30" i="16"/>
  <c r="F86" i="40" l="1"/>
  <c r="F124" i="40" s="1"/>
  <c r="G33" i="40" s="1"/>
  <c r="F48" i="40"/>
  <c r="F60" i="40" s="1"/>
  <c r="F68" i="40"/>
  <c r="F70" i="40" s="1"/>
  <c r="F122" i="40" s="1"/>
  <c r="G31" i="40" s="1"/>
  <c r="F62" i="39"/>
  <c r="F121" i="39" s="1"/>
  <c r="F127" i="39" s="1"/>
  <c r="F62" i="37"/>
  <c r="F121" i="37" s="1"/>
  <c r="F129" i="36"/>
  <c r="F130" i="36"/>
  <c r="G38" i="36" s="1"/>
  <c r="G29" i="36"/>
  <c r="F40" i="35"/>
  <c r="F41" i="35"/>
  <c r="F44" i="35"/>
  <c r="F52" i="35" s="1"/>
  <c r="F43" i="35"/>
  <c r="F42" i="35"/>
  <c r="F32" i="16"/>
  <c r="F45" i="16" s="1"/>
  <c r="F34" i="16"/>
  <c r="F47" i="16" s="1"/>
  <c r="F56" i="16" s="1"/>
  <c r="F33" i="16"/>
  <c r="F46" i="16" s="1"/>
  <c r="F55" i="16" s="1"/>
  <c r="G26" i="16" s="1"/>
  <c r="F61" i="40" l="1"/>
  <c r="F114" i="40" s="1"/>
  <c r="G30" i="39"/>
  <c r="F129" i="39"/>
  <c r="G29" i="39"/>
  <c r="F130" i="39"/>
  <c r="G38" i="39" s="1"/>
  <c r="F127" i="37"/>
  <c r="G30" i="37"/>
  <c r="F131" i="36"/>
  <c r="G37" i="36"/>
  <c r="G39" i="36" s="1"/>
  <c r="F51" i="35"/>
  <c r="F92" i="35"/>
  <c r="F94" i="35" s="1"/>
  <c r="F125" i="35" s="1"/>
  <c r="G34" i="35" s="1"/>
  <c r="G50" i="16"/>
  <c r="F49" i="16"/>
  <c r="F54" i="16" s="1"/>
  <c r="G46" i="39" l="1"/>
  <c r="G77" i="39" s="1"/>
  <c r="G116" i="39" s="1"/>
  <c r="G69" i="39"/>
  <c r="G115" i="39" s="1"/>
  <c r="G134" i="39" s="1"/>
  <c r="F62" i="40"/>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69" i="37" l="1"/>
  <c r="G115" i="37" s="1"/>
  <c r="G134" i="37" s="1"/>
  <c r="G46" i="37"/>
  <c r="G77" i="37" s="1"/>
  <c r="G116" i="37" s="1"/>
  <c r="G30" i="40"/>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G46" i="40" l="1"/>
  <c r="G77" i="40" s="1"/>
  <c r="G116" i="40" s="1"/>
  <c r="G69" i="40"/>
  <c r="G115" i="40" s="1"/>
  <c r="G134" i="40" s="1"/>
  <c r="F131" i="40"/>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F61" i="35"/>
  <c r="F114" i="35" s="1"/>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G61" i="39"/>
  <c r="G114" i="39" s="1"/>
  <c r="G86" i="37"/>
  <c r="G124" i="37" s="1"/>
  <c r="H33" i="37" s="1"/>
  <c r="G68" i="37"/>
  <c r="G70" i="37" s="1"/>
  <c r="G122" i="37" s="1"/>
  <c r="H31" i="37" s="1"/>
  <c r="G61" i="37"/>
  <c r="G114" i="37" s="1"/>
  <c r="G130" i="36"/>
  <c r="F130" i="35"/>
  <c r="G38" i="35" s="1"/>
  <c r="G69" i="35" s="1"/>
  <c r="F129" i="35"/>
  <c r="G29" i="35"/>
  <c r="H31" i="16"/>
  <c r="H34" i="16" s="1"/>
  <c r="H47" i="16" s="1"/>
  <c r="H56" i="16" s="1"/>
  <c r="G46" i="35" l="1"/>
  <c r="G77" i="35" s="1"/>
  <c r="G116" i="35" s="1"/>
  <c r="G115" i="35"/>
  <c r="G134" i="35" s="1"/>
  <c r="G86" i="40"/>
  <c r="G124" i="40" s="1"/>
  <c r="H33" i="40" s="1"/>
  <c r="G48" i="40"/>
  <c r="G60" i="40" s="1"/>
  <c r="G68" i="40"/>
  <c r="G70" i="40" s="1"/>
  <c r="G122" i="40" s="1"/>
  <c r="H31" i="40" s="1"/>
  <c r="G62" i="39"/>
  <c r="G121" i="39" s="1"/>
  <c r="G127" i="39" s="1"/>
  <c r="G62" i="37"/>
  <c r="G121" i="37" s="1"/>
  <c r="G127" i="37" s="1"/>
  <c r="F131" i="35"/>
  <c r="G37" i="35"/>
  <c r="G39" i="35" s="1"/>
  <c r="H33" i="16"/>
  <c r="H46" i="16" s="1"/>
  <c r="H55" i="16" s="1"/>
  <c r="I26" i="16" s="1"/>
  <c r="H32" i="16"/>
  <c r="H45" i="16" s="1"/>
  <c r="H54" i="16" s="1"/>
  <c r="G61" i="40" l="1"/>
  <c r="G114" i="40" s="1"/>
  <c r="H30" i="39"/>
  <c r="G129" i="39"/>
  <c r="G130" i="39"/>
  <c r="H38" i="39" s="1"/>
  <c r="H29" i="39"/>
  <c r="H29" i="37"/>
  <c r="G129" i="37"/>
  <c r="H37" i="37" s="1"/>
  <c r="H30" i="37"/>
  <c r="G130" i="37"/>
  <c r="H38" i="37" s="1"/>
  <c r="G41" i="35"/>
  <c r="G40" i="35"/>
  <c r="G44" i="35"/>
  <c r="G52" i="35" s="1"/>
  <c r="G43" i="35"/>
  <c r="G42" i="35"/>
  <c r="H57" i="16"/>
  <c r="I24" i="16" s="1"/>
  <c r="I27" i="16" s="1"/>
  <c r="I25" i="16"/>
  <c r="H69" i="37" l="1"/>
  <c r="H115" i="37" s="1"/>
  <c r="H134" i="37" s="1"/>
  <c r="H46" i="37"/>
  <c r="H77" i="37" s="1"/>
  <c r="H116" i="37" s="1"/>
  <c r="H46" i="39"/>
  <c r="H77" i="39" s="1"/>
  <c r="H116" i="39" s="1"/>
  <c r="H69" i="39"/>
  <c r="H115" i="39" s="1"/>
  <c r="H134" i="39" s="1"/>
  <c r="G62" i="40"/>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H46" i="40" l="1"/>
  <c r="H77" i="40" s="1"/>
  <c r="H116" i="40" s="1"/>
  <c r="H69" i="40"/>
  <c r="H115" i="40" s="1"/>
  <c r="H134" i="40" s="1"/>
  <c r="G131" i="40"/>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G61" i="35"/>
  <c r="G114" i="35" s="1"/>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H61" i="39"/>
  <c r="H114" i="39" s="1"/>
  <c r="H61" i="37"/>
  <c r="H114" i="37" s="1"/>
  <c r="G62" i="35"/>
  <c r="G121" i="35" s="1"/>
  <c r="G127" i="35" s="1"/>
  <c r="G129" i="35" s="1"/>
  <c r="G131" i="35" s="1"/>
  <c r="J57" i="16"/>
  <c r="K24" i="16" s="1"/>
  <c r="K27" i="16" s="1"/>
  <c r="H49" i="40" l="1"/>
  <c r="H48" i="40" s="1"/>
  <c r="H60" i="40" s="1"/>
  <c r="H85" i="40"/>
  <c r="H117" i="40" s="1"/>
  <c r="H62" i="39"/>
  <c r="H121" i="39" s="1"/>
  <c r="I30" i="39" s="1"/>
  <c r="H62" i="37"/>
  <c r="H121" i="37" s="1"/>
  <c r="H127" i="37" s="1"/>
  <c r="I29" i="37" s="1"/>
  <c r="G130" i="35"/>
  <c r="K29" i="16"/>
  <c r="K30" i="16"/>
  <c r="H86" i="40" l="1"/>
  <c r="H124" i="40" s="1"/>
  <c r="I33" i="40" s="1"/>
  <c r="H68" i="40"/>
  <c r="H70" i="40" s="1"/>
  <c r="H122" i="40" s="1"/>
  <c r="I31" i="40" s="1"/>
  <c r="H61" i="40"/>
  <c r="H114" i="40" s="1"/>
  <c r="H127" i="39"/>
  <c r="I29" i="39" s="1"/>
  <c r="I30" i="37"/>
  <c r="H129" i="37"/>
  <c r="H130" i="37"/>
  <c r="I38" i="37" s="1"/>
  <c r="K31" i="16"/>
  <c r="K32" i="16" s="1"/>
  <c r="K45" i="16" s="1"/>
  <c r="K54" i="16" s="1"/>
  <c r="L25" i="16" s="1"/>
  <c r="I69" i="37" l="1"/>
  <c r="I115" i="37" s="1"/>
  <c r="I134" i="37" s="1"/>
  <c r="I46" i="37"/>
  <c r="I77" i="37" s="1"/>
  <c r="I116" i="37" s="1"/>
  <c r="H62" i="40"/>
  <c r="H121" i="40" s="1"/>
  <c r="H130" i="39"/>
  <c r="I38" i="39" s="1"/>
  <c r="H129" i="39"/>
  <c r="H131" i="39" s="1"/>
  <c r="H131" i="37"/>
  <c r="I37" i="37"/>
  <c r="I39" i="37" s="1"/>
  <c r="I42" i="37" s="1"/>
  <c r="K33" i="16"/>
  <c r="K46" i="16" s="1"/>
  <c r="K55" i="16" s="1"/>
  <c r="L26" i="16" s="1"/>
  <c r="K34" i="16"/>
  <c r="K47" i="16" s="1"/>
  <c r="K56" i="16" s="1"/>
  <c r="I46" i="39" l="1"/>
  <c r="I77" i="39" s="1"/>
  <c r="I116" i="39" s="1"/>
  <c r="I69" i="39"/>
  <c r="I115" i="39" s="1"/>
  <c r="I134" i="39" s="1"/>
  <c r="I37" i="39"/>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46" i="40" l="1"/>
  <c r="I77" i="40" s="1"/>
  <c r="I116" i="40" s="1"/>
  <c r="I69" i="40"/>
  <c r="I115" i="40" s="1"/>
  <c r="I134" i="40" s="1"/>
  <c r="I37" i="40"/>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L33" i="16"/>
  <c r="L46" i="16" s="1"/>
  <c r="L55" i="16" s="1"/>
  <c r="L34" i="16"/>
  <c r="L47" i="16" s="1"/>
  <c r="L56" i="16" s="1"/>
  <c r="I40" i="40" l="1"/>
  <c r="I44" i="40"/>
  <c r="I52" i="40" s="1"/>
  <c r="I41" i="40"/>
  <c r="I43" i="40"/>
  <c r="I42" i="40"/>
  <c r="I49" i="39"/>
  <c r="I85" i="39"/>
  <c r="I117" i="39" s="1"/>
  <c r="I61" i="37"/>
  <c r="I114"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J69" i="37" l="1"/>
  <c r="J115" i="37" s="1"/>
  <c r="J134" i="37" s="1"/>
  <c r="J46" i="37"/>
  <c r="J77" i="37" s="1"/>
  <c r="J116" i="37" s="1"/>
  <c r="I86" i="40"/>
  <c r="I124" i="40" s="1"/>
  <c r="J33" i="40" s="1"/>
  <c r="I48" i="40"/>
  <c r="I60" i="40" s="1"/>
  <c r="I68" i="40"/>
  <c r="I70" i="40" s="1"/>
  <c r="I122" i="40" s="1"/>
  <c r="J31" i="40" s="1"/>
  <c r="I127" i="39"/>
  <c r="I129" i="39" s="1"/>
  <c r="I131" i="37"/>
  <c r="J37" i="37"/>
  <c r="V8" i="7"/>
  <c r="W8" i="7"/>
  <c r="I61" i="40" l="1"/>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46" i="39" l="1"/>
  <c r="J77" i="39" s="1"/>
  <c r="J116" i="39" s="1"/>
  <c r="J69" i="39"/>
  <c r="J115" i="39" s="1"/>
  <c r="J134" i="39" s="1"/>
  <c r="I62" i="40"/>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J46" i="40" l="1"/>
  <c r="J77" i="40" s="1"/>
  <c r="J116" i="40" s="1"/>
  <c r="J69" i="40"/>
  <c r="J115" i="40" s="1"/>
  <c r="J134" i="40" s="1"/>
  <c r="I131" i="40"/>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J61" i="37"/>
  <c r="J114" i="37" s="1"/>
  <c r="J50" i="40" l="1"/>
  <c r="J76" i="40" s="1"/>
  <c r="J78" i="40" s="1"/>
  <c r="J123" i="40" s="1"/>
  <c r="K32" i="40" s="1"/>
  <c r="J84" i="40"/>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30" i="39"/>
  <c r="J61" i="40"/>
  <c r="J114" i="40" s="1"/>
  <c r="J130" i="39"/>
  <c r="K38" i="39" s="1"/>
  <c r="J129" i="39"/>
  <c r="K29" i="39"/>
  <c r="K29" i="37"/>
  <c r="J130" i="37"/>
  <c r="K38" i="37" s="1"/>
  <c r="J129" i="37"/>
  <c r="K69" i="37" l="1"/>
  <c r="K115" i="37" s="1"/>
  <c r="K134" i="37" s="1"/>
  <c r="K46" i="37"/>
  <c r="K77" i="37" s="1"/>
  <c r="K116" i="37" s="1"/>
  <c r="K46" i="39"/>
  <c r="K77" i="39" s="1"/>
  <c r="K116" i="39" s="1"/>
  <c r="K69" i="39"/>
  <c r="K115" i="39" s="1"/>
  <c r="K134" i="39" s="1"/>
  <c r="J62" i="40"/>
  <c r="J121" i="40" s="1"/>
  <c r="K30"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46" i="40" l="1"/>
  <c r="K77" i="40" s="1"/>
  <c r="K116" i="40" s="1"/>
  <c r="K69" i="40"/>
  <c r="K115" i="40" s="1"/>
  <c r="K134" i="40" s="1"/>
  <c r="K39" i="40"/>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K86" i="39"/>
  <c r="K124" i="39" s="1"/>
  <c r="L33" i="39" s="1"/>
  <c r="K61" i="39"/>
  <c r="K114" i="39" s="1"/>
  <c r="K86" i="37"/>
  <c r="K124" i="37" s="1"/>
  <c r="L33" i="37" s="1"/>
  <c r="K48" i="37"/>
  <c r="K60" i="37" s="1"/>
  <c r="K68" i="37"/>
  <c r="K70" i="37" s="1"/>
  <c r="K122" i="37" s="1"/>
  <c r="L31" i="37" s="1"/>
  <c r="K49" i="40" l="1"/>
  <c r="K85" i="40"/>
  <c r="K117" i="40" s="1"/>
  <c r="K62" i="39"/>
  <c r="K121" i="39" s="1"/>
  <c r="K127" i="39" s="1"/>
  <c r="K61" i="37"/>
  <c r="K114" i="37" s="1"/>
  <c r="K86" i="40" l="1"/>
  <c r="K124" i="40" s="1"/>
  <c r="L33" i="40" s="1"/>
  <c r="L30" i="39"/>
  <c r="K48" i="40"/>
  <c r="K60" i="40" s="1"/>
  <c r="K68" i="40"/>
  <c r="K70" i="40" s="1"/>
  <c r="K122" i="40" s="1"/>
  <c r="L31" i="40" s="1"/>
  <c r="K129" i="39"/>
  <c r="L29" i="39"/>
  <c r="K130" i="39"/>
  <c r="L38" i="39" s="1"/>
  <c r="K62" i="37"/>
  <c r="K121" i="37" s="1"/>
  <c r="L30" i="37" s="1"/>
  <c r="C91" i="33"/>
  <c r="L46" i="39" l="1"/>
  <c r="L77" i="39" s="1"/>
  <c r="L116" i="39" s="1"/>
  <c r="L69" i="39"/>
  <c r="L115" i="39" s="1"/>
  <c r="L134" i="39" s="1"/>
  <c r="K61" i="40"/>
  <c r="K114"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D46" i="33" s="1"/>
  <c r="C129" i="33"/>
  <c r="D29" i="33"/>
  <c r="L69" i="37" l="1"/>
  <c r="L115" i="37" s="1"/>
  <c r="L134" i="37" s="1"/>
  <c r="L46" i="37"/>
  <c r="L77" i="37" s="1"/>
  <c r="L116" i="37" s="1"/>
  <c r="K127" i="40"/>
  <c r="L29" i="40" s="1"/>
  <c r="L51" i="39"/>
  <c r="L92" i="39"/>
  <c r="L94" i="39" s="1"/>
  <c r="L125" i="39" s="1"/>
  <c r="L39" i="37"/>
  <c r="L43" i="37" s="1"/>
  <c r="C131" i="33"/>
  <c r="D37" i="33"/>
  <c r="K129" i="40" l="1"/>
  <c r="L37" i="40" s="1"/>
  <c r="K130" i="40"/>
  <c r="L38" i="40" s="1"/>
  <c r="L42" i="37"/>
  <c r="L41" i="37"/>
  <c r="L40" i="37"/>
  <c r="L44" i="37"/>
  <c r="L52" i="37" s="1"/>
  <c r="L51" i="37" s="1"/>
  <c r="L50" i="39"/>
  <c r="L84" i="39"/>
  <c r="D39" i="33"/>
  <c r="L46" i="40" l="1"/>
  <c r="L77" i="40" s="1"/>
  <c r="L116" i="40" s="1"/>
  <c r="L69" i="40"/>
  <c r="L115" i="40" s="1"/>
  <c r="L134" i="40" s="1"/>
  <c r="L39" i="40"/>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D62" i="33" l="1"/>
  <c r="D121" i="33" s="1"/>
  <c r="E30" i="33" s="1"/>
  <c r="D127" i="33" l="1"/>
  <c r="E29" i="33" l="1"/>
  <c r="D129" i="33"/>
  <c r="D130" i="33"/>
  <c r="E38" i="33" s="1"/>
  <c r="E46"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E127" i="33" l="1"/>
  <c r="F29" i="33" l="1"/>
  <c r="E129" i="33"/>
  <c r="E130" i="33"/>
  <c r="F38" i="33" s="1"/>
  <c r="F46"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F127" i="33" l="1"/>
  <c r="G29" i="33" l="1"/>
  <c r="F129" i="33"/>
  <c r="F130" i="33"/>
  <c r="G38" i="33" s="1"/>
  <c r="G46"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<sst xmlns="http://schemas.openxmlformats.org/spreadsheetml/2006/main" count="874" uniqueCount="293">
  <si>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</si>
  <si>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</si>
  <si>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</si>
  <si>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</si>
  <si>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</si>
  <si>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</si>
  <si>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</si>
  <si>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</si>
  <si>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</si>
  <si>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</si>
  <si>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</si>
  <si>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</si>
  <si>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</si>
  <si>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</si>
  <si>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</si>
  <si>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</si>
  <si>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</si>
  <si>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</si>
  <si>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</si>
  <si>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</si>
  <si>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</si>
  <si>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</si>
  <si>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</si>
  <si>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</si>
  <si>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</si>
  <si>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</si>
  <si>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</si>
  <si>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</si>
  <si>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</si>
  <si>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</si>
  <si>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</si>
  <si>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</si>
  <si>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</si>
  <si>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</si>
  <si>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</si>
  <si>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</si>
  <si>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</si>
  <si>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</si>
  <si>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</si>
  <si>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</si>
  <si>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</si>
  <si>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</si>
  <si>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</si>
  <si>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</si>
  <si>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</si>
  <si>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</si>
  <si>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</si>
  <si>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</si>
  <si>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</si>
  <si>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</si>
  <si>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</si>
  <si>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</si>
  <si>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</si>
  <si>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</si>
  <si>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</si>
  <si>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</si>
  <si>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</si>
  <si>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</si>
  <si>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</si>
  <si>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</si>
  <si>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</si>
  <si>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</si>
  <si>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</si>
  <si>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</si>
  <si>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</si>
  <si>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</si>
  <si>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</si>
  <si>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</si>
  <si>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</si>
  <si>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</si>
  <si>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</si>
  <si>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</si>
  <si>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</si>
  <si>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</si>
  <si>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</si>
  <si>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</si>
  <si>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</si>
  <si>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</si>
  <si>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</si>
  <si>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</si>
  <si>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</si>
  <si>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</si>
  <si>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</si>
  <si>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</si>
  <si>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</si>
  <si>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</si>
  <si>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</si>
  <si>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</si>
  <si>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</si>
  <si>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</si>
  <si>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</si>
  <si>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</si>
  <si>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</si>
  <si>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</si>
  <si>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</si>
  <si>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</si>
  <si>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</si>
  <si>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</si>
  <si>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</si>
  <si>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</si>
  <si>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</si>
  <si>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</si>
  <si>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</si>
  <si>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</si>
  <si>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</si>
  <si>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</si>
  <si>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</si>
  <si>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</si>
  <si>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</si>
  <si>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</si>
  <si>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</si>
  <si>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</si>
  <si>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</si>
  <si>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</si>
  <si>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</si>
  <si>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</si>
  <si>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</si>
  <si>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</si>
  <si>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</si>
  <si>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</si>
  <si>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</si>
  <si>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</si>
  <si>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</si>
  <si>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</si>
  <si>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</si>
  <si>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</si>
  <si>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</si>
  <si>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</si>
  <si>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</si>
  <si>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</si>
  <si>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</si>
  <si>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</si>
  <si>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</si>
  <si>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</si>
  <si>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</si>
  <si>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</si>
  <si>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</si>
  <si>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</si>
  <si>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</si>
  <si>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</si>
  <si>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</si>
  <si>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</si>
  <si>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</si>
  <si>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</si>
  <si>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</si>
  <si>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</si>
  <si>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</si>
  <si>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A completed role play with Lee Ferry natural flow of 11.0 maf every year for 5 years and all political decisions follow the existing Law of the River operations (DCP, Equalization, Curtailment)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</si>
  <si>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</si>
  <si>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</si>
  <si>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</si>
  <si>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</si>
  <si>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</si>
  <si>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</si>
  <si>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</si>
  <si>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</si>
  <si>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</si>
  <si>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</si>
  <si>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</si>
  <si>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</si>
  <si>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</si>
  <si>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</si>
  <si>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</si>
  <si>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</si>
  <si>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</si>
  <si>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Millennium-Plots</t>
  </si>
  <si>
    <t>Shared, Reserve</t>
  </si>
  <si>
    <t>Versions</t>
  </si>
  <si>
    <t>Date Implimented</t>
  </si>
  <si>
    <t>Changes</t>
  </si>
  <si>
    <t>Suggested By</t>
  </si>
  <si>
    <t>Implemented By</t>
  </si>
  <si>
    <t>Date Suggested</t>
  </si>
  <si>
    <t>Jennifer Pitt</t>
  </si>
  <si>
    <t>Add version control worksheet. List versions</t>
  </si>
  <si>
    <t>David Tarboton, Homa Salahebadi</t>
  </si>
  <si>
    <t>Chris Harris</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</si>
  <si>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</si>
  <si>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</si>
  <si>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</si>
  <si>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</si>
  <si>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</si>
  <si>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</si>
  <si>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</si>
  <si>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</si>
  <si>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</si>
  <si>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</si>
  <si>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</si>
  <si>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</si>
  <si>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</si>
  <si>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</si>
  <si>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</si>
  <si>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</si>
  <si>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</si>
  <si>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</si>
  <si>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</si>
  <si>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</si>
  <si>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</si>
  <si>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</si>
  <si>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</si>
  <si>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</si>
  <si>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</si>
  <si>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</si>
  <si>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</si>
  <si>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</si>
  <si>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</si>
  <si>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</si>
  <si>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</si>
  <si>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</si>
  <si>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</si>
  <si>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</si>
  <si>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</si>
  <si>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</si>
  <si>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</si>
  <si>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</si>
  <si>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</si>
  <si>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</si>
  <si>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</si>
  <si>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</si>
  <si>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</si>
  <si>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</si>
  <si>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</si>
  <si>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On the new worksheet, name each role (party) and assign to a player (Rows 4-11). There can be up to 6 player. Leave a cell in Column A empty to exclude the party.</t>
  </si>
  <si>
    <t>Choose a Hydrologic Scenario in Row 18. A facilitator may or may not reveal the hydrologic scenario to the players. See HydrologicScenarios worksheet for some potential hydrologies.</t>
  </si>
  <si>
    <t>Enter reservoir evaporation rates, storating storages, and protect elevations for Lake Powell and Lake Mead in Rows 21-23.</t>
  </si>
  <si>
    <t>Split the starting storage among users (Rows 30 to 35) and split future combined natural flow among users (Rows 48 to 53). Use Cells B48 to 52 for fomulas. Splits of future combined natural flow must consider variable flow.</t>
  </si>
  <si>
    <t xml:space="preserve">Player Dashboards (Rows 55 to 102). Each player may sell or purchase water from other users with compensation. The net of all sales and purchases must equal 0 (e.g., Row 59). Each player enters an account withdraw within their available water independent of other players (e.g., Rows 61, 69, 77, ...). </t>
  </si>
  <si>
    <t>In Year 1, the Facilitator enters the natural inflow to Lake Powell in Cell C27 and Grand Canyon tributary inflow in Cell C28.</t>
  </si>
  <si>
    <t>Observe all sales and purchases, account withdrawals, end-of-year balances, and combined storage  in Rows 105 to 127).</t>
  </si>
  <si>
    <t>Players decide the percentage of combined storage to leave in Lake Powell (Row 128).</t>
  </si>
  <si>
    <t>The tool calculates the physical storage in Lake Powell and Lake Mead and Powll release to achieve the storages (Rows 129 to 131).</t>
  </si>
  <si>
    <t>Continue to Year 2 in Column D. Facilitator enters next natural inflow to Lake Powell in Cell D27 and Grand Canyon tributary flow in Cell D28.</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</si>
  <si>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</si>
  <si>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</si>
  <si>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</si>
  <si>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</si>
  <si>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</si>
  <si>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</si>
  <si>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</si>
  <si>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</si>
  <si>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</si>
  <si>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</si>
  <si>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</si>
  <si>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</si>
  <si>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</si>
  <si>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</si>
  <si>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</si>
  <si>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</si>
  <si>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</si>
  <si>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</si>
  <si>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</si>
  <si>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11.0-Trade and 11.0-LawOfRiver operations. Also a plot of combined storage.</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</si>
  <si>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</si>
  <si>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</si>
  <si>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</si>
  <si>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</si>
  <si>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</si>
  <si>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</si>
  <si>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</si>
  <si>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</si>
  <si>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</si>
  <si>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This workbook presents an idea to build on existing Colorado River operations with a numerical implementation. The idea is pilot flex water accounting to encourage more water conservation in a combined Lake Powell-Lake Mead system. Key features are:</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</si>
  <si>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</si>
  <si>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</si>
  <si>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</si>
  <si>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</si>
  <si>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</si>
  <si>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</si>
  <si>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</si>
  <si>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r>
      <rPr>
        <b/>
        <sz val="11"/>
        <color theme="1"/>
        <rFont val="Calibri"/>
        <family val="2"/>
        <scheme val="minor"/>
      </rPr>
      <t>Can flex accounting encourage more water conservation in the Colorado River basin?</t>
    </r>
    <r>
      <rPr>
        <sz val="11"/>
        <color theme="1"/>
        <rFont val="Calibri"/>
        <family val="2"/>
        <scheme val="minor"/>
      </rPr>
      <t xml:space="preserve"> Follow the directions below to download and try out solo or with others.</t>
    </r>
  </si>
  <si>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</si>
  <si>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</si>
  <si>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</si>
  <si>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</si>
  <si>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</si>
  <si>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</si>
  <si>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</si>
  <si>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</si>
  <si>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</si>
  <si>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</si>
  <si>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</si>
  <si>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</si>
  <si>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</si>
  <si>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</si>
  <si>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</si>
  <si>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</si>
  <si>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</si>
  <si>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Amy Haas</t>
  </si>
  <si>
    <t>3.3.8</t>
  </si>
  <si>
    <t>Redo Lower Basin cutbacks for Interim Guidelines, DCP, Minutes 319 and 323 as separate worksheet</t>
  </si>
  <si>
    <t>LowerBasinCuts</t>
  </si>
  <si>
    <t>Lookup table of Lower Basin and Mexico mandatory cuts versus Lake Mead elevation.</t>
  </si>
  <si>
    <t>Mexico Water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</si>
</sst>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2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3" fillId="2" borderId="16" xfId="2" applyBorder="1" applyAlignment="1">
      <alignment horizontal="left"/>
    </xf>
    <xf numFmtId="0" fontId="3" fillId="2" borderId="0" xfId="2" applyBorder="1" applyAlignment="1">
      <alignment horizontal="left"/>
    </xf>
    <xf numFmtId="0" fontId="6" fillId="0" borderId="0" xfId="0" applyFont="1" applyAlignment="1">
      <alignment horizontal="center"/>
    </xf>
    <xf numFmtId="0" fontId="5" fillId="5" borderId="9" xfId="6" applyBorder="1" applyAlignment="1"/>
    <xf numFmtId="0" fontId="1" fillId="9" borderId="7" xfId="0" applyFont="1" applyFill="1" applyBorder="1" applyAlignment="1">
      <alignment horizontal="center"/>
    </xf>
    <xf numFmtId="0" fontId="3" fillId="2" borderId="1" xfId="2" applyAlignment="1">
      <alignment horizontal="center"/>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'11.0-Trade'!$C$114:$G$114</c:f>
              <c:numCache>
                <c:formatCode>0.0</c:formatCode>
                <c:ptCount val="5"/>
                <c:pt idx="0">
                  <c:v>3.7</c:v>
                </c:pt>
                <c:pt idx="1">
                  <c:v>3.3</c:v>
                </c:pt>
                <c:pt idx="2">
                  <c:v>3</c:v>
                </c:pt>
                <c:pt idx="3">
                  <c:v>2.8</c:v>
                </c:pt>
                <c:pt idx="4">
                  <c:v>2.7</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'11.0-LawOfRiver'!$C$114:$G$114</c:f>
              <c:numCache>
                <c:formatCode>0.0</c:formatCode>
                <c:ptCount val="5"/>
                <c:pt idx="0">
                  <c:v>4.2</c:v>
                </c:pt>
                <c:pt idx="1">
                  <c:v>4.2</c:v>
                </c:pt>
                <c:pt idx="2">
                  <c:v>3.6870358615244161</c:v>
                </c:pt>
                <c:pt idx="3">
                  <c:v>2.4850477962271711</c:v>
                </c:pt>
                <c:pt idx="4">
                  <c:v>2.4824317929602273</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1605249628050469"/>
          <c:h val="0.238073934520502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'11.0-Trade'!$C$30:$G$30</c:f>
              <c:numCache>
                <c:formatCode>0.0</c:formatCode>
                <c:ptCount val="5"/>
                <c:pt idx="0">
                  <c:v>5.0734237499999999</c:v>
                </c:pt>
                <c:pt idx="1">
                  <c:v>3.1233582945981313</c:v>
                </c:pt>
                <c:pt idx="2">
                  <c:v>1.7535247218794074</c:v>
                </c:pt>
                <c:pt idx="3">
                  <c:v>0.76080738325617014</c:v>
                </c:pt>
                <c:pt idx="4">
                  <c:v>0.51217643000515878</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'11.0-LawOfRiver'!$C$30:$G$30</c:f>
              <c:numCache>
                <c:formatCode>0.0</c:formatCode>
                <c:ptCount val="5"/>
                <c:pt idx="0">
                  <c:v>5.0734237499999999</c:v>
                </c:pt>
                <c:pt idx="1">
                  <c:v>3.1233582945981313</c:v>
                </c:pt>
                <c:pt idx="2">
                  <c:v>1.2672910663844705</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'11.0-Trade'!$C$26:$G$26</c:f>
              <c:strCache>
                <c:ptCount val="5"/>
                <c:pt idx="0">
                  <c:v>Year 1</c:v>
                </c:pt>
                <c:pt idx="1">
                  <c:v>Year 2</c:v>
                </c:pt>
                <c:pt idx="2">
                  <c:v>Year 3</c:v>
                </c:pt>
                <c:pt idx="3">
                  <c:v>Year 4</c:v>
                </c:pt>
                <c:pt idx="4">
                  <c:v>Year 5</c:v>
                </c:pt>
              </c:strCache>
            </c:strRef>
          </c:cat>
          <c:val>
            <c:numRef>
              <c:f>'11.0-Trade'!$C$115:$G$115</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'11.0-Trade'!$C$26:$G$26</c:f>
              <c:strCache>
                <c:ptCount val="5"/>
                <c:pt idx="0">
                  <c:v>Year 1</c:v>
                </c:pt>
                <c:pt idx="1">
                  <c:v>Year 2</c:v>
                </c:pt>
                <c:pt idx="2">
                  <c:v>Year 3</c:v>
                </c:pt>
                <c:pt idx="3">
                  <c:v>Year 4</c:v>
                </c:pt>
                <c:pt idx="4">
                  <c:v>Year 5</c:v>
                </c:pt>
              </c:strCache>
            </c:strRef>
          </c:cat>
          <c:val>
            <c:numRef>
              <c:f>'11.0-LawOfRiver'!$C$115:$G$115</c:f>
              <c:numCache>
                <c:formatCode>0.0</c:formatCode>
                <c:ptCount val="5"/>
                <c:pt idx="0">
                  <c:v>7.2590000000000003</c:v>
                </c:pt>
                <c:pt idx="1">
                  <c:v>6.8870000000000005</c:v>
                </c:pt>
                <c:pt idx="2">
                  <c:v>6.8870000000000005</c:v>
                </c:pt>
                <c:pt idx="3">
                  <c:v>6.7789999999999999</c:v>
                </c:pt>
                <c:pt idx="4">
                  <c:v>6.7789999999999999</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'11.0-LawOfRiver'!$C$31:$G$31</c:f>
              <c:numCache>
                <c:formatCode>0.0</c:formatCode>
                <c:ptCount val="5"/>
                <c:pt idx="0">
                  <c:v>4.2614069999999993</c:v>
                </c:pt>
                <c:pt idx="1">
                  <c:v>4.0083315344091641</c:v>
                </c:pt>
                <c:pt idx="2">
                  <c:v>3.6204249224669756</c:v>
                </c:pt>
                <c:pt idx="3">
                  <c:v>3.2278685356553556</c:v>
                </c:pt>
                <c:pt idx="4">
                  <c:v>2.954139942371242</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'11.0-Trade'!$C$31:$G$31</c:f>
              <c:numCache>
                <c:formatCode>0.0</c:formatCode>
                <c:ptCount val="5"/>
                <c:pt idx="0">
                  <c:v>4.2614069999999993</c:v>
                </c:pt>
                <c:pt idx="1">
                  <c:v>4.3506684655908359</c:v>
                </c:pt>
                <c:pt idx="2">
                  <c:v>4.3194391437688413</c:v>
                </c:pt>
                <c:pt idx="3">
                  <c:v>4.2946548649282992</c:v>
                </c:pt>
                <c:pt idx="4">
                  <c:v>3.9603601731242524</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'11.0-Trade'!$C$29:$G$29</c:f>
              <c:numCache>
                <c:formatCode>0.0</c:formatCode>
                <c:ptCount val="5"/>
                <c:pt idx="0">
                  <c:v>21.1</c:v>
                </c:pt>
                <c:pt idx="1">
                  <c:v>19.419925837338837</c:v>
                </c:pt>
                <c:pt idx="2">
                  <c:v>18.148451044337662</c:v>
                </c:pt>
                <c:pt idx="3">
                  <c:v>17.214355043838836</c:v>
                </c:pt>
                <c:pt idx="4">
                  <c:v>16.509935277339437</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'11.0-LawOfRiver'!$C$29:$G$29</c:f>
              <c:numCache>
                <c:formatCode>0.0</c:formatCode>
                <c:ptCount val="5"/>
                <c:pt idx="0">
                  <c:v>21.1</c:v>
                </c:pt>
                <c:pt idx="1">
                  <c:v>18.888432055485019</c:v>
                </c:pt>
                <c:pt idx="2">
                  <c:v>16.636069046150514</c:v>
                </c:pt>
                <c:pt idx="3">
                  <c:v>14.96785176869334</c:v>
                </c:pt>
                <c:pt idx="4">
                  <c:v>14.685834969032836</c:v>
                </c:pt>
              </c:numCache>
            </c:numRef>
          </c:val>
          <c:smooth val="0"/>
          <c:extLst>
            <c:ext xmlns:c16="http://schemas.microsoft.com/office/drawing/2014/chart" uri="{C3380CC4-5D6E-409C-BE32-E72D297353CC}">
              <c16:uniqueId val="{00000001-146F-4E67-AE68-DB79AAE4A897}"/>
            </c:ext>
          </c:extLst>
        </c:ser>
        <c:ser>
          <c:idx val="2"/>
          <c:order val="2"/>
          <c:tx>
            <c:strRef>
              <c:f>'11.0-Trade'!$A$10</c:f>
              <c:strCache>
                <c:ptCount val="1"/>
                <c:pt idx="0">
                  <c:v>Shared, Reserve</c:v>
                </c:pt>
              </c:strCache>
            </c:strRef>
          </c:tx>
          <c:spPr>
            <a:ln w="28575" cap="rnd">
              <a:solidFill>
                <a:schemeClr val="tx1"/>
              </a:solidFill>
              <a:prstDash val="lgDash"/>
              <a:round/>
            </a:ln>
            <a:effectLst/>
          </c:spPr>
          <c:marker>
            <c:symbol val="none"/>
          </c:marker>
          <c:val>
            <c:numRef>
              <c:f>'11.0-Trade'!$C$125:$G$125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285456229735992"/>
          <c:y val="0.61896751918204751"/>
          <c:w val="0.26802084298286244"/>
          <c:h val="0.2169399735992906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603250</xdr:colOff>
      <xdr:row>7</xdr:row>
      <xdr:rowOff>19050</xdr:rowOff>
    </xdr:from>
    <xdr:to>
      <xdr:col>32</xdr:col>
      <xdr:colOff>374650</xdr:colOff>
      <xdr:row>25</xdr:row>
      <xdr:rowOff>26988</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8"/>
  <sheetViews>
    <sheetView tabSelected="1" zoomScale="150" zoomScaleNormal="150" workbookViewId="0">
      <selection activeCell="A2" sqref="A2"/>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234</v>
      </c>
      <c r="B1" s="1"/>
      <c r="C1" s="2"/>
      <c r="D1"/>
    </row>
    <row r="2" spans="1:12" x14ac:dyDescent="0.35">
      <c r="A2" s="1"/>
      <c r="B2" s="1"/>
      <c r="C2" s="2"/>
      <c r="D2"/>
    </row>
    <row r="3" spans="1:12" x14ac:dyDescent="0.35">
      <c r="A3" s="1" t="s">
        <v>270</v>
      </c>
      <c r="B3" s="1"/>
      <c r="C3" s="2"/>
      <c r="D3"/>
    </row>
    <row r="4" spans="1:12" s="32" customFormat="1" ht="32.5" customHeight="1" x14ac:dyDescent="0.35">
      <c r="A4" s="106" t="s">
        <v>261</v>
      </c>
      <c r="B4" s="106"/>
      <c r="C4" s="106"/>
      <c r="D4" s="106"/>
      <c r="E4" s="106"/>
      <c r="F4" s="106"/>
      <c r="G4" s="106"/>
      <c r="H4" s="106"/>
      <c r="I4" s="106"/>
      <c r="J4" s="106"/>
      <c r="K4" s="106"/>
      <c r="L4" s="106"/>
    </row>
    <row r="5" spans="1:12" s="32" customFormat="1" ht="32.5" customHeight="1" x14ac:dyDescent="0.35">
      <c r="A5" s="106" t="s">
        <v>262</v>
      </c>
      <c r="B5" s="106"/>
      <c r="C5" s="106"/>
      <c r="D5" s="106"/>
      <c r="E5" s="106"/>
      <c r="F5" s="106"/>
      <c r="G5" s="106"/>
      <c r="H5" s="106"/>
      <c r="I5" s="106"/>
      <c r="J5" s="106"/>
      <c r="K5" s="106"/>
      <c r="L5" s="106"/>
    </row>
    <row r="6" spans="1:12" s="32" customFormat="1" ht="32.5" customHeight="1" x14ac:dyDescent="0.35">
      <c r="A6" s="106" t="s">
        <v>264</v>
      </c>
      <c r="B6" s="106"/>
      <c r="C6" s="106"/>
      <c r="D6" s="106"/>
      <c r="E6" s="106"/>
      <c r="F6" s="106"/>
      <c r="G6" s="106"/>
      <c r="H6" s="106"/>
      <c r="I6" s="106"/>
      <c r="J6" s="106"/>
      <c r="K6" s="106"/>
      <c r="L6" s="106"/>
    </row>
    <row r="7" spans="1:12" s="32" customFormat="1" ht="16.5" customHeight="1" x14ac:dyDescent="0.35">
      <c r="A7" s="106" t="s">
        <v>265</v>
      </c>
      <c r="B7" s="106"/>
      <c r="C7" s="106"/>
      <c r="D7" s="106"/>
      <c r="E7" s="106"/>
      <c r="F7" s="106"/>
      <c r="G7" s="106"/>
      <c r="H7" s="106"/>
      <c r="I7" s="106"/>
      <c r="J7" s="106"/>
      <c r="K7" s="106"/>
      <c r="L7" s="106"/>
    </row>
    <row r="8" spans="1:12" s="32" customFormat="1" ht="15" customHeight="1" x14ac:dyDescent="0.35">
      <c r="A8" s="106" t="s">
        <v>271</v>
      </c>
      <c r="B8" s="106"/>
      <c r="C8" s="106"/>
      <c r="D8" s="106"/>
      <c r="E8" s="106"/>
      <c r="F8" s="106"/>
      <c r="G8" s="106"/>
      <c r="H8" s="106"/>
      <c r="I8" s="106"/>
      <c r="J8" s="106"/>
      <c r="K8" s="106"/>
      <c r="L8" s="106"/>
    </row>
    <row r="9" spans="1:12" s="32" customFormat="1" ht="42.5" customHeight="1" x14ac:dyDescent="0.35">
      <c r="A9" s="106" t="s">
        <v>266</v>
      </c>
      <c r="B9" s="106"/>
      <c r="C9" s="106"/>
      <c r="D9" s="106"/>
      <c r="E9" s="106"/>
      <c r="F9" s="106"/>
      <c r="G9" s="106"/>
      <c r="H9" s="106"/>
      <c r="I9" s="106"/>
      <c r="J9" s="106"/>
      <c r="K9" s="106"/>
      <c r="L9" s="106"/>
    </row>
    <row r="10" spans="1:12" ht="69" customHeight="1" x14ac:dyDescent="0.35">
      <c r="A10" s="106" t="s">
        <v>267</v>
      </c>
      <c r="B10" s="106"/>
      <c r="C10" s="106"/>
      <c r="D10" s="106"/>
      <c r="E10" s="106"/>
      <c r="F10" s="106"/>
      <c r="G10" s="106"/>
      <c r="H10" s="106"/>
      <c r="I10" s="106"/>
      <c r="J10" s="106"/>
      <c r="K10" s="106"/>
      <c r="L10" s="106"/>
    </row>
    <row r="11" spans="1:12" ht="50.5" customHeight="1" x14ac:dyDescent="0.35">
      <c r="A11" s="106" t="s">
        <v>218</v>
      </c>
      <c r="B11" s="106"/>
      <c r="C11" s="106"/>
      <c r="D11" s="106"/>
      <c r="E11" s="106"/>
      <c r="F11" s="106"/>
      <c r="G11" s="106"/>
      <c r="H11" s="106"/>
      <c r="I11" s="106"/>
      <c r="J11" s="106"/>
      <c r="K11" s="106"/>
      <c r="L11" s="106"/>
    </row>
    <row r="12" spans="1:12" ht="48.5" customHeight="1" x14ac:dyDescent="0.35">
      <c r="A12" s="106" t="s">
        <v>219</v>
      </c>
      <c r="B12" s="106"/>
      <c r="C12" s="106"/>
      <c r="D12" s="106"/>
      <c r="E12" s="106"/>
      <c r="F12" s="106"/>
      <c r="G12" s="106"/>
      <c r="H12" s="106"/>
      <c r="I12" s="106"/>
      <c r="J12" s="106"/>
      <c r="K12" s="106"/>
      <c r="L12" s="106"/>
    </row>
    <row r="13" spans="1:12" ht="33.5" customHeight="1" x14ac:dyDescent="0.35">
      <c r="A13" s="106" t="s">
        <v>269</v>
      </c>
      <c r="B13" s="106"/>
      <c r="C13" s="106"/>
      <c r="D13" s="106"/>
      <c r="E13" s="106"/>
      <c r="F13" s="106"/>
      <c r="G13" s="106"/>
      <c r="H13" s="106"/>
      <c r="I13" s="106"/>
      <c r="J13" s="106"/>
      <c r="K13" s="106"/>
      <c r="L13" s="106"/>
    </row>
    <row r="14" spans="1:12" x14ac:dyDescent="0.35">
      <c r="B14" s="15"/>
      <c r="C14" s="15"/>
      <c r="D14" s="15"/>
      <c r="E14" s="15"/>
      <c r="F14" s="15"/>
      <c r="G14" s="15"/>
      <c r="H14" s="15"/>
      <c r="I14" s="15"/>
      <c r="J14" s="15"/>
      <c r="K14" s="15"/>
      <c r="L14" s="15"/>
    </row>
    <row r="15" spans="1:12" ht="16.5" customHeight="1" x14ac:dyDescent="0.35">
      <c r="A15" s="108" t="s">
        <v>220</v>
      </c>
      <c r="B15" s="109"/>
      <c r="C15" s="109"/>
      <c r="D15" s="109"/>
      <c r="E15" s="109"/>
      <c r="F15" s="109"/>
      <c r="G15" s="109"/>
      <c r="H15" s="109"/>
      <c r="I15" s="109"/>
      <c r="J15" s="109"/>
      <c r="K15" s="109"/>
      <c r="L15" s="110"/>
    </row>
    <row r="16" spans="1:12" ht="16.5" customHeight="1" x14ac:dyDescent="0.35">
      <c r="A16" s="28">
        <v>1</v>
      </c>
      <c r="B16" s="104" t="s">
        <v>146</v>
      </c>
      <c r="C16" s="104"/>
      <c r="D16" s="104"/>
      <c r="E16" s="104"/>
      <c r="F16" s="104"/>
      <c r="G16" s="104"/>
      <c r="H16" s="104"/>
      <c r="I16" s="104"/>
      <c r="J16" s="104"/>
      <c r="K16" s="104"/>
      <c r="L16" s="105"/>
    </row>
    <row r="17" spans="1:12" ht="16.5" customHeight="1" x14ac:dyDescent="0.35">
      <c r="A17" s="28">
        <v>2</v>
      </c>
      <c r="B17" s="88" t="s">
        <v>221</v>
      </c>
      <c r="C17" s="88"/>
      <c r="D17" s="88"/>
      <c r="E17" s="88"/>
      <c r="F17" s="88"/>
      <c r="G17" s="88"/>
      <c r="H17" s="88"/>
      <c r="I17" s="88"/>
      <c r="J17" s="88"/>
      <c r="K17" s="88"/>
      <c r="L17" s="89"/>
    </row>
    <row r="18" spans="1:12" ht="31" customHeight="1" x14ac:dyDescent="0.35">
      <c r="A18" s="28">
        <v>3</v>
      </c>
      <c r="B18" s="104" t="s">
        <v>92</v>
      </c>
      <c r="C18" s="104"/>
      <c r="D18" s="104"/>
      <c r="E18" s="104"/>
      <c r="F18" s="104"/>
      <c r="G18" s="104"/>
      <c r="H18" s="104"/>
      <c r="I18" s="104"/>
      <c r="J18" s="104"/>
      <c r="K18" s="104"/>
      <c r="L18" s="105"/>
    </row>
    <row r="19" spans="1:12" ht="32.5" customHeight="1" x14ac:dyDescent="0.35">
      <c r="A19" s="28">
        <v>4</v>
      </c>
      <c r="B19" s="104" t="s">
        <v>222</v>
      </c>
      <c r="C19" s="104"/>
      <c r="D19" s="104"/>
      <c r="E19" s="104"/>
      <c r="F19" s="104"/>
      <c r="G19" s="104"/>
      <c r="H19" s="104"/>
      <c r="I19" s="104"/>
      <c r="J19" s="104"/>
      <c r="K19" s="104"/>
      <c r="L19" s="105"/>
    </row>
    <row r="20" spans="1:12" ht="16.5" customHeight="1" x14ac:dyDescent="0.35">
      <c r="A20" s="28">
        <v>5</v>
      </c>
      <c r="B20" s="104" t="s">
        <v>223</v>
      </c>
      <c r="C20" s="104"/>
      <c r="D20" s="104"/>
      <c r="E20" s="104"/>
      <c r="F20" s="104"/>
      <c r="G20" s="104"/>
      <c r="H20" s="104"/>
      <c r="I20" s="104"/>
      <c r="J20" s="104"/>
      <c r="K20" s="104"/>
      <c r="L20" s="105"/>
    </row>
    <row r="21" spans="1:12" ht="16.5" customHeight="1" x14ac:dyDescent="0.35">
      <c r="A21" s="28">
        <v>6</v>
      </c>
      <c r="B21" s="104" t="s">
        <v>224</v>
      </c>
      <c r="C21" s="104"/>
      <c r="D21" s="104"/>
      <c r="E21" s="104"/>
      <c r="F21" s="104"/>
      <c r="G21" s="104"/>
      <c r="H21" s="104"/>
      <c r="I21" s="104"/>
      <c r="J21" s="104"/>
      <c r="K21" s="104"/>
      <c r="L21" s="105"/>
    </row>
    <row r="22" spans="1:12" ht="32" customHeight="1" x14ac:dyDescent="0.35">
      <c r="A22" s="28">
        <v>7</v>
      </c>
      <c r="B22" s="104" t="s">
        <v>227</v>
      </c>
      <c r="C22" s="104"/>
      <c r="D22" s="104"/>
      <c r="E22" s="104"/>
      <c r="F22" s="104"/>
      <c r="G22" s="104"/>
      <c r="H22" s="104"/>
      <c r="I22" s="104"/>
      <c r="J22" s="104"/>
      <c r="K22" s="104"/>
      <c r="L22" s="105"/>
    </row>
    <row r="23" spans="1:12" ht="45" customHeight="1" x14ac:dyDescent="0.35">
      <c r="A23" s="28">
        <v>8</v>
      </c>
      <c r="B23" s="104" t="s">
        <v>225</v>
      </c>
      <c r="C23" s="104"/>
      <c r="D23" s="104"/>
      <c r="E23" s="104"/>
      <c r="F23" s="104"/>
      <c r="G23" s="104"/>
      <c r="H23" s="104"/>
      <c r="I23" s="104"/>
      <c r="J23" s="104"/>
      <c r="K23" s="104"/>
      <c r="L23" s="105"/>
    </row>
    <row r="24" spans="1:12" ht="16.5" customHeight="1" x14ac:dyDescent="0.35">
      <c r="A24" s="28">
        <v>10</v>
      </c>
      <c r="B24" s="104" t="s">
        <v>226</v>
      </c>
      <c r="C24" s="104"/>
      <c r="D24" s="104"/>
      <c r="E24" s="104"/>
      <c r="F24" s="104"/>
      <c r="G24" s="104"/>
      <c r="H24" s="104"/>
      <c r="I24" s="104"/>
      <c r="J24" s="104"/>
      <c r="K24" s="104"/>
      <c r="L24" s="105"/>
    </row>
    <row r="25" spans="1:12" ht="16.5" customHeight="1" x14ac:dyDescent="0.35">
      <c r="A25" s="28">
        <v>11</v>
      </c>
      <c r="B25" s="104" t="s">
        <v>228</v>
      </c>
      <c r="C25" s="104"/>
      <c r="D25" s="104"/>
      <c r="E25" s="104"/>
      <c r="F25" s="104"/>
      <c r="G25" s="104"/>
      <c r="H25" s="104"/>
      <c r="I25" s="104"/>
      <c r="J25" s="104"/>
      <c r="K25" s="104"/>
      <c r="L25" s="105"/>
    </row>
    <row r="26" spans="1:12" ht="16.5" customHeight="1" x14ac:dyDescent="0.35">
      <c r="A26" s="28">
        <v>12</v>
      </c>
      <c r="B26" s="104" t="s">
        <v>229</v>
      </c>
      <c r="C26" s="104"/>
      <c r="D26" s="104"/>
      <c r="E26" s="104"/>
      <c r="F26" s="104"/>
      <c r="G26" s="104"/>
      <c r="H26" s="104"/>
      <c r="I26" s="104"/>
      <c r="J26" s="104"/>
      <c r="K26" s="104"/>
      <c r="L26" s="105"/>
    </row>
    <row r="27" spans="1:12" ht="32" customHeight="1" x14ac:dyDescent="0.35">
      <c r="A27" s="28">
        <v>13</v>
      </c>
      <c r="B27" s="104" t="s">
        <v>230</v>
      </c>
      <c r="C27" s="104"/>
      <c r="D27" s="104"/>
      <c r="E27" s="104"/>
      <c r="F27" s="104"/>
      <c r="G27" s="104"/>
      <c r="H27" s="104"/>
      <c r="I27" s="104"/>
      <c r="J27" s="104"/>
      <c r="K27" s="104"/>
      <c r="L27" s="105"/>
    </row>
    <row r="28" spans="1:12" ht="16.5" customHeight="1" x14ac:dyDescent="0.35">
      <c r="A28" s="28">
        <v>14</v>
      </c>
      <c r="B28" s="104" t="s">
        <v>231</v>
      </c>
      <c r="C28" s="104"/>
      <c r="D28" s="104"/>
      <c r="E28" s="104"/>
      <c r="F28" s="104"/>
      <c r="G28" s="104"/>
      <c r="H28" s="104"/>
      <c r="I28" s="104"/>
      <c r="J28" s="104"/>
      <c r="K28" s="104"/>
      <c r="L28" s="105"/>
    </row>
    <row r="29" spans="1:12" ht="16.5" customHeight="1" x14ac:dyDescent="0.35">
      <c r="A29" s="28">
        <v>15</v>
      </c>
      <c r="B29" s="111" t="s">
        <v>232</v>
      </c>
      <c r="C29" s="111"/>
      <c r="D29" s="111"/>
      <c r="E29" s="111"/>
      <c r="F29" s="111"/>
      <c r="G29" s="111"/>
      <c r="H29" s="111"/>
      <c r="I29" s="111"/>
      <c r="J29" s="111"/>
      <c r="K29" s="111"/>
      <c r="L29" s="112"/>
    </row>
    <row r="30" spans="1:12" ht="32" customHeight="1" x14ac:dyDescent="0.35">
      <c r="A30" s="28">
        <v>16</v>
      </c>
      <c r="B30" s="104" t="s">
        <v>233</v>
      </c>
      <c r="C30" s="104"/>
      <c r="D30" s="104"/>
      <c r="E30" s="104"/>
      <c r="F30" s="104"/>
      <c r="G30" s="104"/>
      <c r="H30" s="104"/>
      <c r="I30" s="104"/>
      <c r="J30" s="104"/>
      <c r="K30" s="104"/>
      <c r="L30" s="105"/>
    </row>
    <row r="31" spans="1:12" ht="16.5" customHeight="1" x14ac:dyDescent="0.35">
      <c r="A31" s="90">
        <v>17</v>
      </c>
      <c r="B31" s="113" t="s">
        <v>236</v>
      </c>
      <c r="C31" s="113"/>
      <c r="D31" s="113"/>
      <c r="E31" s="113"/>
      <c r="F31" s="113"/>
      <c r="G31" s="113"/>
      <c r="H31" s="113"/>
      <c r="I31" s="113"/>
      <c r="J31" s="113"/>
      <c r="K31" s="113"/>
      <c r="L31" s="114"/>
    </row>
    <row r="32" spans="1:12" x14ac:dyDescent="0.35">
      <c r="B32" s="26"/>
      <c r="C32" s="26"/>
      <c r="D32" s="26"/>
      <c r="E32" s="26"/>
      <c r="F32" s="26"/>
      <c r="G32" s="26"/>
      <c r="H32" s="26"/>
      <c r="I32" s="26"/>
      <c r="J32" s="26"/>
      <c r="K32" s="26"/>
      <c r="L32" s="26"/>
    </row>
    <row r="33" spans="1:3" x14ac:dyDescent="0.35">
      <c r="A33" s="1" t="s">
        <v>93</v>
      </c>
    </row>
    <row r="34" spans="1:3" x14ac:dyDescent="0.35">
      <c r="B34" s="2" t="s">
        <v>94</v>
      </c>
      <c r="C34" t="s">
        <v>163</v>
      </c>
    </row>
    <row r="35" spans="1:3" x14ac:dyDescent="0.35">
      <c r="B35" s="2" t="s">
        <v>167</v>
      </c>
      <c r="C35" t="s">
        <v>217</v>
      </c>
    </row>
    <row r="36" spans="1:3" x14ac:dyDescent="0.35">
      <c r="B36" s="2" t="s">
        <v>141</v>
      </c>
      <c r="C36" t="s">
        <v>164</v>
      </c>
    </row>
    <row r="37" spans="1:3" x14ac:dyDescent="0.35">
      <c r="B37" s="2" t="s">
        <v>142</v>
      </c>
      <c r="C37" t="s">
        <v>147</v>
      </c>
    </row>
    <row r="38" spans="1:3" x14ac:dyDescent="0.35">
      <c r="B38" s="2" t="s">
        <v>144</v>
      </c>
      <c r="C38" t="s">
        <v>251</v>
      </c>
    </row>
    <row r="39" spans="1:3" x14ac:dyDescent="0.35">
      <c r="B39" s="2" t="s">
        <v>248</v>
      </c>
      <c r="C39" t="s">
        <v>250</v>
      </c>
    </row>
    <row r="40" spans="1:3" x14ac:dyDescent="0.35">
      <c r="B40" s="2" t="s">
        <v>249</v>
      </c>
      <c r="C40" t="s">
        <v>148</v>
      </c>
    </row>
    <row r="41" spans="1:3" x14ac:dyDescent="0.35">
      <c r="B41" s="2" t="s">
        <v>165</v>
      </c>
      <c r="C41" t="s">
        <v>252</v>
      </c>
    </row>
    <row r="42" spans="1:3" x14ac:dyDescent="0.35">
      <c r="B42" s="2" t="s">
        <v>253</v>
      </c>
      <c r="C42" t="s">
        <v>254</v>
      </c>
    </row>
    <row r="43" spans="1:3" x14ac:dyDescent="0.35">
      <c r="B43" s="2" t="s">
        <v>290</v>
      </c>
      <c r="C43" t="s">
        <v>291</v>
      </c>
    </row>
    <row r="44" spans="1:3" x14ac:dyDescent="0.35">
      <c r="B44" s="2" t="s">
        <v>95</v>
      </c>
      <c r="C44" t="s">
        <v>96</v>
      </c>
    </row>
    <row r="45" spans="1:3" x14ac:dyDescent="0.35">
      <c r="B45" s="2" t="s">
        <v>97</v>
      </c>
      <c r="C45" t="s">
        <v>98</v>
      </c>
    </row>
    <row r="46" spans="1:3" x14ac:dyDescent="0.35">
      <c r="B46" s="2" t="s">
        <v>149</v>
      </c>
      <c r="C46" t="s">
        <v>150</v>
      </c>
    </row>
    <row r="48" spans="1:3" x14ac:dyDescent="0.35">
      <c r="A48" s="1" t="s">
        <v>238</v>
      </c>
    </row>
    <row r="49" spans="1:12" x14ac:dyDescent="0.35">
      <c r="A49" t="s">
        <v>239</v>
      </c>
    </row>
    <row r="50" spans="1:12" x14ac:dyDescent="0.35">
      <c r="A50" t="s">
        <v>240</v>
      </c>
    </row>
    <row r="51" spans="1:12" x14ac:dyDescent="0.35">
      <c r="A51" s="94" t="s">
        <v>241</v>
      </c>
    </row>
    <row r="52" spans="1:12" x14ac:dyDescent="0.35">
      <c r="A52" s="94" t="s">
        <v>243</v>
      </c>
    </row>
    <row r="53" spans="1:12" x14ac:dyDescent="0.35">
      <c r="A53" s="94"/>
    </row>
    <row r="54" spans="1:12" x14ac:dyDescent="0.35">
      <c r="A54" s="1" t="s">
        <v>242</v>
      </c>
    </row>
    <row r="55" spans="1:12" x14ac:dyDescent="0.35">
      <c r="A55" t="s">
        <v>268</v>
      </c>
    </row>
    <row r="57" spans="1:12" ht="16" customHeight="1" x14ac:dyDescent="0.35">
      <c r="A57" s="1" t="s">
        <v>49</v>
      </c>
    </row>
    <row r="58" spans="1:12" x14ac:dyDescent="0.35">
      <c r="A58" s="107" t="s">
        <v>263</v>
      </c>
      <c r="B58" s="107"/>
      <c r="C58" s="107"/>
      <c r="D58" s="107"/>
      <c r="E58" s="107"/>
      <c r="F58" s="107"/>
      <c r="G58" s="107"/>
      <c r="H58" s="107"/>
      <c r="I58" s="107"/>
      <c r="J58" s="107"/>
      <c r="K58" s="107"/>
      <c r="L58" s="107"/>
    </row>
  </sheetData>
  <mergeCells count="27">
    <mergeCell ref="A5:L5"/>
    <mergeCell ref="A6:L6"/>
    <mergeCell ref="A7:L7"/>
    <mergeCell ref="A9:L9"/>
    <mergeCell ref="A8:L8"/>
    <mergeCell ref="A4:L4"/>
    <mergeCell ref="A10:L10"/>
    <mergeCell ref="A13:L13"/>
    <mergeCell ref="A12:L12"/>
    <mergeCell ref="A58:L58"/>
    <mergeCell ref="A15:L15"/>
    <mergeCell ref="B20:L20"/>
    <mergeCell ref="B16:L16"/>
    <mergeCell ref="B18:L18"/>
    <mergeCell ref="B24:L24"/>
    <mergeCell ref="B25:L25"/>
    <mergeCell ref="B28:L28"/>
    <mergeCell ref="B29:L29"/>
    <mergeCell ref="B31:L31"/>
    <mergeCell ref="A11:L11"/>
    <mergeCell ref="B30:L30"/>
    <mergeCell ref="B27:L27"/>
    <mergeCell ref="B19:L19"/>
    <mergeCell ref="B21:L21"/>
    <mergeCell ref="B22:L22"/>
    <mergeCell ref="B23:L23"/>
    <mergeCell ref="B26:L26"/>
  </mergeCells>
  <hyperlinks>
    <hyperlink ref="A51" r:id="rId1" xr:uid="{6B934EC2-E381-41EE-938C-08FAF5E51BBE}"/>
    <hyperlink ref="A52"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36"/>
  <sheetViews>
    <sheetView topLeftCell="A47"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157</v>
      </c>
      <c r="B3" s="117"/>
      <c r="C3" s="117"/>
      <c r="D3" s="117"/>
      <c r="E3" s="117"/>
      <c r="F3" s="117"/>
      <c r="G3" s="117"/>
      <c r="H3" s="92"/>
      <c r="I3" s="92"/>
      <c r="J3" s="92"/>
      <c r="K3" s="92"/>
    </row>
    <row r="4" spans="1:11" x14ac:dyDescent="0.35">
      <c r="A4" s="59" t="s">
        <v>38</v>
      </c>
      <c r="B4" s="59" t="s">
        <v>42</v>
      </c>
      <c r="C4" s="118" t="s">
        <v>43</v>
      </c>
      <c r="D4" s="119"/>
      <c r="E4" s="119"/>
      <c r="F4" s="119"/>
      <c r="G4" s="120"/>
    </row>
    <row r="5" spans="1:11" x14ac:dyDescent="0.35">
      <c r="A5" s="93" t="s">
        <v>51</v>
      </c>
      <c r="B5" s="93"/>
      <c r="C5" s="121"/>
      <c r="D5" s="121"/>
      <c r="E5" s="121"/>
      <c r="F5" s="121"/>
      <c r="G5" s="121"/>
    </row>
    <row r="6" spans="1:11" x14ac:dyDescent="0.35">
      <c r="A6" s="91" t="s">
        <v>39</v>
      </c>
      <c r="B6" s="91" t="s">
        <v>161</v>
      </c>
      <c r="C6" s="125" t="s">
        <v>160</v>
      </c>
      <c r="D6" s="125"/>
      <c r="E6" s="125"/>
      <c r="F6" s="125"/>
      <c r="G6" s="125"/>
    </row>
    <row r="7" spans="1:11" x14ac:dyDescent="0.35">
      <c r="A7" s="91" t="s">
        <v>40</v>
      </c>
      <c r="B7" s="91" t="s">
        <v>161</v>
      </c>
      <c r="C7" s="125" t="s">
        <v>158</v>
      </c>
      <c r="D7" s="125"/>
      <c r="E7" s="125"/>
      <c r="F7" s="125"/>
      <c r="G7" s="125"/>
    </row>
    <row r="8" spans="1:11" x14ac:dyDescent="0.35">
      <c r="A8" s="91" t="s">
        <v>41</v>
      </c>
      <c r="B8" s="91" t="s">
        <v>161</v>
      </c>
      <c r="C8" s="125" t="s">
        <v>160</v>
      </c>
      <c r="D8" s="125"/>
      <c r="E8" s="125"/>
      <c r="F8" s="125"/>
      <c r="G8" s="125"/>
    </row>
    <row r="9" spans="1:11" x14ac:dyDescent="0.35">
      <c r="A9" s="91" t="s">
        <v>153</v>
      </c>
      <c r="B9" s="91" t="s">
        <v>161</v>
      </c>
      <c r="C9" s="125" t="s">
        <v>159</v>
      </c>
      <c r="D9" s="125"/>
      <c r="E9" s="125"/>
      <c r="F9" s="125"/>
      <c r="G9" s="125"/>
    </row>
    <row r="10" spans="1:11" x14ac:dyDescent="0.35">
      <c r="A10" s="91" t="s">
        <v>166</v>
      </c>
      <c r="B10" s="91" t="s">
        <v>161</v>
      </c>
      <c r="C10" s="116" t="s">
        <v>195</v>
      </c>
      <c r="D10" s="116"/>
      <c r="E10" s="116"/>
      <c r="F10" s="116"/>
      <c r="G10" s="116"/>
    </row>
    <row r="11" spans="1:11" x14ac:dyDescent="0.35">
      <c r="A11" s="91" t="s">
        <v>154</v>
      </c>
      <c r="B11" s="91" t="s">
        <v>161</v>
      </c>
      <c r="C11" s="116" t="s">
        <v>247</v>
      </c>
      <c r="D11" s="116"/>
      <c r="E11" s="116"/>
      <c r="F11" s="116"/>
      <c r="G11" s="116"/>
    </row>
    <row r="12" spans="1:11" x14ac:dyDescent="0.35">
      <c r="A12" s="16"/>
      <c r="B12" s="2"/>
      <c r="C12"/>
    </row>
    <row r="13" spans="1:11" x14ac:dyDescent="0.35">
      <c r="A13" s="19" t="s">
        <v>45</v>
      </c>
      <c r="B13" s="2"/>
      <c r="C13"/>
    </row>
    <row r="14" spans="1:11" x14ac:dyDescent="0.35">
      <c r="A14" s="20" t="s">
        <v>215</v>
      </c>
    </row>
    <row r="15" spans="1:11" x14ac:dyDescent="0.35">
      <c r="A15" s="22" t="s">
        <v>196</v>
      </c>
      <c r="B15" s="19"/>
    </row>
    <row r="16" spans="1:11" x14ac:dyDescent="0.35">
      <c r="A16" s="21" t="s">
        <v>46</v>
      </c>
    </row>
    <row r="18" spans="1:14" x14ac:dyDescent="0.35">
      <c r="A18" s="1" t="s">
        <v>53</v>
      </c>
      <c r="D18" s="122" t="s">
        <v>244</v>
      </c>
      <c r="E18" s="123"/>
      <c r="F18" s="123"/>
      <c r="G18" s="123"/>
      <c r="H18" s="123"/>
      <c r="I18" s="123"/>
      <c r="J18" s="123"/>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203</v>
      </c>
      <c r="B23" s="70">
        <v>3525</v>
      </c>
      <c r="C23" s="70">
        <v>1020</v>
      </c>
      <c r="D23" s="11"/>
    </row>
    <row r="24" spans="1:14" x14ac:dyDescent="0.35">
      <c r="A24" t="s">
        <v>186</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183</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188</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185</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184</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187</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213</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292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197</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152</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199</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198</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192</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183</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183</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183</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183</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183</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183</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194</v>
      </c>
      <c r="B104" s="83"/>
      <c r="C104" s="83"/>
      <c r="D104" s="83"/>
      <c r="E104" s="83"/>
      <c r="F104" s="83"/>
      <c r="G104" s="83"/>
      <c r="H104" s="83"/>
      <c r="I104" s="83"/>
      <c r="J104" s="83"/>
      <c r="K104" s="83"/>
      <c r="L104" s="83"/>
      <c r="M104" s="83"/>
      <c r="N104" s="83"/>
    </row>
    <row r="105" spans="1:14" x14ac:dyDescent="0.35">
      <c r="A105" s="1" t="s">
        <v>155</v>
      </c>
      <c r="C105"/>
      <c r="M105" t="s">
        <v>193</v>
      </c>
      <c r="N105" t="s">
        <v>156</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214</v>
      </c>
      <c r="B128" s="1"/>
      <c r="C128" s="87">
        <v>0.5</v>
      </c>
      <c r="D128" s="87">
        <v>0.5</v>
      </c>
      <c r="E128" s="87">
        <v>0.5</v>
      </c>
      <c r="F128" s="87">
        <v>0.5</v>
      </c>
      <c r="G128" s="87">
        <v>0.5</v>
      </c>
      <c r="H128" s="87">
        <v>0.5</v>
      </c>
      <c r="I128" s="87">
        <v>0.5</v>
      </c>
      <c r="J128" s="87">
        <v>0.5</v>
      </c>
      <c r="K128" s="87">
        <v>0.5</v>
      </c>
      <c r="L128" s="87">
        <v>0.5</v>
      </c>
    </row>
    <row r="129" spans="1:14" x14ac:dyDescent="0.35">
      <c r="A129" s="1" t="s">
        <v>210</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211</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1" t="s">
        <v>145</v>
      </c>
      <c r="B131" s="1"/>
      <c r="C131" s="14">
        <f ca="1">IF(C$27&lt;&gt;"",-C129+C37+C27-C61-VLOOKUP(C37*1000000,'Powell-Elevation-Area'!$B$5:$D$689,3)*$B$21/1000000,"")</f>
        <v>8.7912186266660832</v>
      </c>
      <c r="D131" s="14">
        <f ca="1">IF(D$27&lt;&gt;"",-D129+D37+D27-D61-VLOOKUP(D37*1000000,'Powell-Elevation-Area'!$B$5:$D$689,3)*$B$21/1000000,"")</f>
        <v>8.3556252311669539</v>
      </c>
      <c r="E131" s="14">
        <f ca="1">IF(E$27&lt;&gt;"",-E129+E37+E27-E61-VLOOKUP(E37*1000000,'Powell-Elevation-Area'!$B$5:$D$689,3)*$B$21/1000000,"")</f>
        <v>8.1830474876951129</v>
      </c>
      <c r="F131" s="14">
        <f ca="1">IF(F$27&lt;&gt;"",-F129+F37+F27-F61-VLOOKUP(F37*1000000,'Powell-Elevation-Area'!$B$5:$D$689,3)*$B$21/1000000,"")</f>
        <v>8.1540389846666788</v>
      </c>
      <c r="G131" s="14">
        <f ca="1">IF(G$27&lt;&gt;"",-G129+G37+G27-G61-VLOOKUP(G37*1000000,'Powell-Elevation-Area'!$B$5:$D$689,3)*$B$21/1000000,"")</f>
        <v>8.1562403419166678</v>
      </c>
      <c r="H131" s="14">
        <f ca="1">IF(H$27&lt;&gt;"",-H129+H37+H27-H61-VLOOKUP(H37*1000000,'Powell-Elevation-Area'!$B$5:$D$689,3)*$B$21/1000000,"")</f>
        <v>8.1867176426396036</v>
      </c>
      <c r="I131" s="14">
        <f ca="1">IF(I$27&lt;&gt;"",-I129+I37+I27-I61-VLOOKUP(I37*1000000,'Powell-Elevation-Area'!$B$5:$D$689,3)*$B$21/1000000,"")</f>
        <v>9.0922858128666686</v>
      </c>
      <c r="J131" s="14">
        <f ca="1">IF(J$27&lt;&gt;"",-J129+J37+J27-J61-VLOOKUP(J37*1000000,'Powell-Elevation-Area'!$B$5:$D$689,3)*$B$21/1000000,"")</f>
        <v>9.1565621204169645</v>
      </c>
      <c r="K131" s="14">
        <f ca="1">IF(K$27&lt;&gt;"",-K129+K37+K27-K61-VLOOKUP(K37*1000000,'Powell-Elevation-Area'!$B$5:$D$689,3)*$B$21/1000000,"")</f>
        <v>9.194280465166667</v>
      </c>
      <c r="L131" s="14">
        <f ca="1">IF(L$27&lt;&gt;"",-L129+L37+L27-L61-VLOOKUP(L37*1000000,'Powell-Elevation-Area'!$B$5:$D$689,3)*$B$21/1000000,"")</f>
        <v>9.1519598286666817</v>
      </c>
      <c r="N131" t="s">
        <v>212</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f t="shared" si="57"/>
        <v>0.2</v>
      </c>
      <c r="I133" s="12">
        <f t="shared" si="57"/>
        <v>0.2</v>
      </c>
      <c r="J133" s="12">
        <f t="shared" si="57"/>
        <v>0.2</v>
      </c>
      <c r="K133" s="12">
        <f t="shared" si="57"/>
        <v>0.2</v>
      </c>
      <c r="L133" s="12">
        <f t="shared" si="57"/>
        <v>0.2</v>
      </c>
    </row>
    <row r="134" spans="1:14" x14ac:dyDescent="0.35">
      <c r="A134" t="s">
        <v>126</v>
      </c>
      <c r="C134" s="14">
        <f t="shared" ref="C134:L134" ca="1" si="58">IF(C$27&lt;&gt;"",C115+C133,"")</f>
        <v>7.4590000000000005</v>
      </c>
      <c r="D134" s="14">
        <f t="shared" ca="1" si="58"/>
        <v>7.4590000000000005</v>
      </c>
      <c r="E134" s="14">
        <f t="shared" ca="1" si="58"/>
        <v>7.0870000000000006</v>
      </c>
      <c r="F134" s="14">
        <f t="shared" ca="1" si="58"/>
        <v>7.0870000000000006</v>
      </c>
      <c r="G134" s="14">
        <f t="shared" ca="1" si="58"/>
        <v>7.0870000000000006</v>
      </c>
      <c r="H134" s="14">
        <f t="shared" ca="1" si="58"/>
        <v>7.0870000000000006</v>
      </c>
      <c r="I134" s="14">
        <f t="shared" ca="1" si="58"/>
        <v>6.9790000000000001</v>
      </c>
      <c r="J134" s="14">
        <f t="shared" ca="1" si="58"/>
        <v>7.0870000000000006</v>
      </c>
      <c r="K134" s="14">
        <f t="shared" ca="1" si="58"/>
        <v>7.0870000000000006</v>
      </c>
      <c r="L134" s="14">
        <f t="shared" ca="1" si="58"/>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272</v>
      </c>
    </row>
    <row r="3" spans="1:16" s="1" customFormat="1" x14ac:dyDescent="0.35">
      <c r="D3" s="126" t="s">
        <v>273</v>
      </c>
      <c r="E3" s="126"/>
      <c r="F3" s="126" t="s">
        <v>274</v>
      </c>
      <c r="G3" s="126"/>
      <c r="H3" s="126"/>
      <c r="I3" s="126" t="s">
        <v>275</v>
      </c>
      <c r="J3" s="126"/>
      <c r="K3" s="126"/>
      <c r="M3" s="126" t="s">
        <v>41</v>
      </c>
      <c r="N3" s="126"/>
      <c r="O3" s="126"/>
    </row>
    <row r="4" spans="1:16" s="96" customFormat="1" ht="42.5" customHeight="1" x14ac:dyDescent="0.35">
      <c r="A4" s="95" t="s">
        <v>128</v>
      </c>
      <c r="B4" s="95" t="s">
        <v>129</v>
      </c>
      <c r="C4" s="95" t="s">
        <v>284</v>
      </c>
      <c r="D4" s="95" t="s">
        <v>276</v>
      </c>
      <c r="E4" s="95" t="s">
        <v>277</v>
      </c>
      <c r="F4" s="95" t="s">
        <v>276</v>
      </c>
      <c r="G4" s="95" t="s">
        <v>277</v>
      </c>
      <c r="H4" s="95" t="s">
        <v>278</v>
      </c>
      <c r="I4" s="95" t="s">
        <v>276</v>
      </c>
      <c r="J4" s="95" t="s">
        <v>277</v>
      </c>
      <c r="K4" s="95" t="s">
        <v>278</v>
      </c>
      <c r="L4" s="95" t="s">
        <v>282</v>
      </c>
      <c r="M4" s="95" t="s">
        <v>280</v>
      </c>
      <c r="N4" s="95" t="s">
        <v>281</v>
      </c>
      <c r="O4" s="95" t="s">
        <v>279</v>
      </c>
      <c r="P4" s="95"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98">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98">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98">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98">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98">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98">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98">
        <f t="shared" si="4"/>
        <v>0.08</v>
      </c>
      <c r="P11" s="98">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98">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9">
        <v>0</v>
      </c>
      <c r="O13" s="2">
        <f t="shared" si="4"/>
        <v>0</v>
      </c>
      <c r="P13" s="51">
        <f t="shared" si="5"/>
        <v>0</v>
      </c>
    </row>
    <row r="14" spans="1:16" x14ac:dyDescent="0.35">
      <c r="B14" s="103"/>
    </row>
    <row r="15" spans="1:16" x14ac:dyDescent="0.35">
      <c r="B15" s="101"/>
      <c r="C15" s="102"/>
    </row>
    <row r="16" spans="1:16" x14ac:dyDescent="0.35">
      <c r="A16" t="s">
        <v>283</v>
      </c>
    </row>
    <row r="17" spans="1:16" x14ac:dyDescent="0.35">
      <c r="A17" s="97">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98">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98">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98">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98">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98">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98">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98">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98">
        <f t="shared" si="12"/>
        <v>1.375</v>
      </c>
    </row>
    <row r="26" spans="1:16" x14ac:dyDescent="0.35">
      <c r="A26" s="38">
        <v>955</v>
      </c>
    </row>
    <row r="29" spans="1:16" x14ac:dyDescent="0.35">
      <c r="A29" s="39"/>
      <c r="I29" s="9"/>
      <c r="L29" s="30"/>
      <c r="O29" s="2"/>
      <c r="P29" s="98"/>
    </row>
    <row r="30" spans="1:16" x14ac:dyDescent="0.35">
      <c r="A30" s="39"/>
      <c r="I30" s="9"/>
      <c r="L30" s="30"/>
      <c r="O30" s="2"/>
      <c r="P30" s="98"/>
    </row>
    <row r="31" spans="1:16" x14ac:dyDescent="0.35">
      <c r="A31" s="39"/>
      <c r="I31" s="9"/>
      <c r="L31" s="30"/>
      <c r="O31" s="2"/>
      <c r="P31" s="98"/>
    </row>
    <row r="32" spans="1:16" x14ac:dyDescent="0.35">
      <c r="A32" s="39"/>
      <c r="I32" s="9"/>
      <c r="L32" s="30"/>
      <c r="O32" s="2"/>
      <c r="P32" s="98"/>
    </row>
    <row r="33" spans="1:16" x14ac:dyDescent="0.35">
      <c r="A33" s="39"/>
      <c r="I33" s="9"/>
      <c r="L33" s="30"/>
      <c r="O33" s="2"/>
      <c r="P33" s="98"/>
    </row>
    <row r="34" spans="1:16" x14ac:dyDescent="0.35">
      <c r="A34" s="39"/>
      <c r="I34" s="9"/>
      <c r="L34" s="30"/>
      <c r="O34" s="2"/>
      <c r="P34" s="98"/>
    </row>
    <row r="35" spans="1:16" x14ac:dyDescent="0.35">
      <c r="A35" s="39"/>
      <c r="I35" s="9"/>
      <c r="L35" s="30"/>
      <c r="O35" s="2"/>
      <c r="P35" s="98"/>
    </row>
    <row r="36" spans="1:16" x14ac:dyDescent="0.35">
      <c r="A36" s="39"/>
      <c r="I36" s="9"/>
      <c r="L36" s="30"/>
      <c r="O36" s="2"/>
      <c r="P36" s="98"/>
    </row>
  </sheetData>
  <sortState ref="A29:P36">
    <sortCondition ref="A29:A36"/>
  </sortState>
  <mergeCells count="4">
    <mergeCell ref="D3:E3"/>
    <mergeCell ref="F3:H3"/>
    <mergeCell ref="I3:K3"/>
    <mergeCell ref="M3:O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27"/>
      <c r="D5" s="127"/>
      <c r="E5" s="127"/>
      <c r="F5" s="127"/>
      <c r="G5" s="127"/>
      <c r="H5" s="127"/>
    </row>
    <row r="6" spans="1:11" x14ac:dyDescent="0.35">
      <c r="A6" s="16" t="s">
        <v>39</v>
      </c>
      <c r="B6" s="47"/>
      <c r="C6" s="127"/>
      <c r="D6" s="127"/>
      <c r="E6" s="127"/>
      <c r="F6" s="127"/>
      <c r="G6" s="127"/>
      <c r="H6" s="127"/>
    </row>
    <row r="7" spans="1:11" x14ac:dyDescent="0.35">
      <c r="A7" s="16" t="s">
        <v>40</v>
      </c>
      <c r="B7" s="47"/>
      <c r="C7" s="127"/>
      <c r="D7" s="127"/>
      <c r="E7" s="127"/>
      <c r="F7" s="127"/>
      <c r="G7" s="127"/>
      <c r="H7" s="127"/>
    </row>
    <row r="8" spans="1:11" x14ac:dyDescent="0.35">
      <c r="A8" s="16" t="s">
        <v>41</v>
      </c>
      <c r="B8" s="47"/>
      <c r="C8" s="127"/>
      <c r="D8" s="127"/>
      <c r="E8" s="127"/>
      <c r="F8" s="127"/>
      <c r="G8" s="127"/>
      <c r="H8" s="127"/>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H16"/>
  <sheetViews>
    <sheetView zoomScale="150" zoomScaleNormal="150" workbookViewId="0">
      <selection activeCell="D2" sqref="D2"/>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customWidth="1"/>
  </cols>
  <sheetData>
    <row r="1" spans="1:8" s="62" customFormat="1" ht="30.5" customHeight="1" x14ac:dyDescent="0.35">
      <c r="A1" s="63" t="s">
        <v>189</v>
      </c>
      <c r="B1" s="63" t="s">
        <v>168</v>
      </c>
      <c r="C1" s="64" t="s">
        <v>169</v>
      </c>
      <c r="D1" s="63" t="s">
        <v>171</v>
      </c>
      <c r="E1" s="63" t="s">
        <v>170</v>
      </c>
      <c r="F1" s="63" t="s">
        <v>172</v>
      </c>
      <c r="H1" s="62" t="s">
        <v>259</v>
      </c>
    </row>
    <row r="2" spans="1:8" ht="58" x14ac:dyDescent="0.35">
      <c r="A2" s="66" t="s">
        <v>288</v>
      </c>
      <c r="B2" s="67">
        <v>44389</v>
      </c>
      <c r="C2" s="65" t="s">
        <v>289</v>
      </c>
      <c r="D2" s="68" t="s">
        <v>161</v>
      </c>
      <c r="E2" s="68" t="s">
        <v>161</v>
      </c>
      <c r="F2" s="67">
        <v>44389</v>
      </c>
      <c r="H2" t="s">
        <v>260</v>
      </c>
    </row>
    <row r="3" spans="1:8" ht="29" x14ac:dyDescent="0.35">
      <c r="A3" s="66" t="s">
        <v>285</v>
      </c>
      <c r="B3" s="67">
        <v>44389</v>
      </c>
      <c r="C3" s="65" t="s">
        <v>286</v>
      </c>
      <c r="D3" s="68" t="s">
        <v>161</v>
      </c>
      <c r="E3" s="68" t="s">
        <v>287</v>
      </c>
      <c r="F3" s="67">
        <v>44385</v>
      </c>
    </row>
    <row r="4" spans="1:8" ht="58" x14ac:dyDescent="0.35">
      <c r="A4" s="66" t="s">
        <v>255</v>
      </c>
      <c r="B4" s="67">
        <v>44385</v>
      </c>
      <c r="C4" s="65" t="s">
        <v>256</v>
      </c>
      <c r="D4" s="68" t="s">
        <v>161</v>
      </c>
      <c r="E4" s="68" t="s">
        <v>161</v>
      </c>
      <c r="F4" s="67">
        <f>B4</f>
        <v>44385</v>
      </c>
    </row>
    <row r="5" spans="1:8" ht="29" x14ac:dyDescent="0.35">
      <c r="A5" s="66" t="s">
        <v>235</v>
      </c>
      <c r="B5" s="67">
        <v>44384</v>
      </c>
      <c r="C5" s="65" t="s">
        <v>257</v>
      </c>
      <c r="D5" s="68" t="s">
        <v>161</v>
      </c>
      <c r="E5" s="68" t="s">
        <v>161</v>
      </c>
      <c r="F5" s="67">
        <v>44384</v>
      </c>
    </row>
    <row r="6" spans="1:8" ht="43.5" x14ac:dyDescent="0.35">
      <c r="A6" s="66" t="s">
        <v>216</v>
      </c>
      <c r="B6" s="67">
        <v>44384</v>
      </c>
      <c r="C6" s="65" t="s">
        <v>258</v>
      </c>
      <c r="D6" s="68" t="s">
        <v>161</v>
      </c>
      <c r="E6" s="68" t="s">
        <v>161</v>
      </c>
      <c r="F6" s="67">
        <v>44384</v>
      </c>
    </row>
    <row r="7" spans="1:8" ht="43.5" x14ac:dyDescent="0.35">
      <c r="A7" s="66" t="s">
        <v>204</v>
      </c>
      <c r="B7" s="67">
        <v>44378</v>
      </c>
      <c r="C7" s="65" t="s">
        <v>205</v>
      </c>
      <c r="D7" s="68" t="s">
        <v>161</v>
      </c>
      <c r="E7" s="68" t="s">
        <v>161</v>
      </c>
      <c r="F7" s="67">
        <v>44378</v>
      </c>
    </row>
    <row r="8" spans="1:8" x14ac:dyDescent="0.35">
      <c r="A8" s="66" t="s">
        <v>202</v>
      </c>
      <c r="B8" s="67">
        <v>44377</v>
      </c>
      <c r="C8" s="65" t="s">
        <v>206</v>
      </c>
      <c r="D8" s="68" t="s">
        <v>161</v>
      </c>
      <c r="E8" s="68" t="s">
        <v>161</v>
      </c>
      <c r="F8" s="67">
        <v>44377</v>
      </c>
    </row>
    <row r="9" spans="1:8" ht="72.5" x14ac:dyDescent="0.35">
      <c r="A9" s="66" t="s">
        <v>200</v>
      </c>
      <c r="B9" s="67">
        <v>44377</v>
      </c>
      <c r="C9" s="65" t="s">
        <v>201</v>
      </c>
      <c r="D9" s="68" t="s">
        <v>161</v>
      </c>
      <c r="E9" s="68" t="s">
        <v>173</v>
      </c>
      <c r="F9" s="67">
        <v>44372</v>
      </c>
    </row>
    <row r="10" spans="1:8" ht="43.5" x14ac:dyDescent="0.35">
      <c r="A10" s="66">
        <v>3.3</v>
      </c>
      <c r="B10" s="67">
        <v>44377</v>
      </c>
      <c r="C10" s="65" t="s">
        <v>191</v>
      </c>
      <c r="D10" s="68" t="s">
        <v>161</v>
      </c>
      <c r="E10" s="68" t="s">
        <v>173</v>
      </c>
      <c r="F10" s="67">
        <v>44372</v>
      </c>
    </row>
    <row r="11" spans="1:8" ht="29" x14ac:dyDescent="0.35">
      <c r="A11" s="66" t="s">
        <v>190</v>
      </c>
      <c r="B11" s="67">
        <v>44377</v>
      </c>
      <c r="C11" s="65" t="s">
        <v>174</v>
      </c>
      <c r="D11" s="68" t="s">
        <v>161</v>
      </c>
      <c r="E11" s="68" t="s">
        <v>161</v>
      </c>
      <c r="F11" s="67">
        <v>44377</v>
      </c>
    </row>
    <row r="12" spans="1:8" ht="116" x14ac:dyDescent="0.35">
      <c r="A12" s="66">
        <v>3.2</v>
      </c>
      <c r="B12" s="67">
        <v>44367</v>
      </c>
      <c r="C12" s="65" t="s">
        <v>182</v>
      </c>
      <c r="D12" s="68" t="s">
        <v>161</v>
      </c>
      <c r="E12" s="68" t="s">
        <v>161</v>
      </c>
      <c r="F12" s="67">
        <v>44367</v>
      </c>
    </row>
    <row r="13" spans="1:8" ht="29" x14ac:dyDescent="0.35">
      <c r="A13" s="66">
        <v>3.1</v>
      </c>
      <c r="B13" s="67">
        <v>44331</v>
      </c>
      <c r="C13" s="65" t="s">
        <v>181</v>
      </c>
      <c r="D13" s="68" t="s">
        <v>161</v>
      </c>
      <c r="E13" s="68" t="s">
        <v>161</v>
      </c>
      <c r="F13" s="67">
        <v>44331</v>
      </c>
    </row>
    <row r="14" spans="1:8" ht="72.5" x14ac:dyDescent="0.35">
      <c r="A14" s="66">
        <v>3</v>
      </c>
      <c r="B14" s="67">
        <v>44319</v>
      </c>
      <c r="C14" s="65" t="s">
        <v>180</v>
      </c>
      <c r="D14" s="68" t="s">
        <v>161</v>
      </c>
      <c r="E14" s="68" t="s">
        <v>175</v>
      </c>
      <c r="F14" s="67">
        <v>44315</v>
      </c>
    </row>
    <row r="15" spans="1:8" ht="29" x14ac:dyDescent="0.35">
      <c r="A15" s="66">
        <v>2</v>
      </c>
      <c r="B15" s="67">
        <v>44307</v>
      </c>
      <c r="C15" s="65" t="s">
        <v>177</v>
      </c>
      <c r="D15" s="68" t="s">
        <v>161</v>
      </c>
      <c r="E15" s="68" t="s">
        <v>176</v>
      </c>
      <c r="F15" s="67">
        <v>44294</v>
      </c>
    </row>
    <row r="16" spans="1:8" ht="29" x14ac:dyDescent="0.35">
      <c r="A16" s="71">
        <v>1</v>
      </c>
      <c r="B16" s="67">
        <v>44291</v>
      </c>
      <c r="C16" s="65" t="s">
        <v>179</v>
      </c>
      <c r="D16" s="68" t="s">
        <v>161</v>
      </c>
      <c r="E16" s="68" t="s">
        <v>178</v>
      </c>
      <c r="F16"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N136"/>
  <sheetViews>
    <sheetView topLeftCell="A29"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157</v>
      </c>
      <c r="B3" s="117"/>
      <c r="C3" s="117"/>
      <c r="D3" s="117"/>
      <c r="E3" s="117"/>
      <c r="F3" s="117"/>
      <c r="G3" s="117"/>
      <c r="H3" s="85"/>
      <c r="I3" s="85"/>
      <c r="J3" s="85"/>
      <c r="K3" s="85"/>
    </row>
    <row r="4" spans="1:11" x14ac:dyDescent="0.35">
      <c r="A4" s="59" t="s">
        <v>38</v>
      </c>
      <c r="B4" s="59" t="s">
        <v>42</v>
      </c>
      <c r="C4" s="118" t="s">
        <v>43</v>
      </c>
      <c r="D4" s="119"/>
      <c r="E4" s="119"/>
      <c r="F4" s="119"/>
      <c r="G4" s="120"/>
    </row>
    <row r="5" spans="1:11" x14ac:dyDescent="0.35">
      <c r="A5" s="86" t="s">
        <v>51</v>
      </c>
      <c r="B5" s="86"/>
      <c r="C5" s="121"/>
      <c r="D5" s="121"/>
      <c r="E5" s="121"/>
      <c r="F5" s="121"/>
      <c r="G5" s="121"/>
    </row>
    <row r="6" spans="1:11" x14ac:dyDescent="0.35">
      <c r="A6" s="84" t="s">
        <v>39</v>
      </c>
      <c r="B6" s="84"/>
      <c r="C6" s="115"/>
      <c r="D6" s="115"/>
      <c r="E6" s="115"/>
      <c r="F6" s="115"/>
      <c r="G6" s="115"/>
    </row>
    <row r="7" spans="1:11" x14ac:dyDescent="0.35">
      <c r="A7" s="84" t="s">
        <v>40</v>
      </c>
      <c r="B7" s="84"/>
      <c r="C7" s="115"/>
      <c r="D7" s="115"/>
      <c r="E7" s="115"/>
      <c r="F7" s="115"/>
      <c r="G7" s="115"/>
    </row>
    <row r="8" spans="1:11" x14ac:dyDescent="0.35">
      <c r="A8" s="84" t="s">
        <v>41</v>
      </c>
      <c r="B8" s="84"/>
      <c r="C8" s="115"/>
      <c r="D8" s="115"/>
      <c r="E8" s="115"/>
      <c r="F8" s="115"/>
      <c r="G8" s="115"/>
    </row>
    <row r="9" spans="1:11" x14ac:dyDescent="0.35">
      <c r="A9" s="84" t="s">
        <v>153</v>
      </c>
      <c r="B9" s="84"/>
      <c r="C9" s="115"/>
      <c r="D9" s="115"/>
      <c r="E9" s="115"/>
      <c r="F9" s="115"/>
      <c r="G9" s="115"/>
    </row>
    <row r="10" spans="1:11" x14ac:dyDescent="0.35">
      <c r="A10" s="84" t="s">
        <v>166</v>
      </c>
      <c r="B10" s="84"/>
      <c r="C10" s="116"/>
      <c r="D10" s="116"/>
      <c r="E10" s="116"/>
      <c r="F10" s="116"/>
      <c r="G10" s="116"/>
    </row>
    <row r="11" spans="1:11" x14ac:dyDescent="0.35">
      <c r="A11" s="84"/>
      <c r="B11" s="84"/>
      <c r="C11" s="116"/>
      <c r="D11" s="116"/>
      <c r="E11" s="116"/>
      <c r="F11" s="116"/>
      <c r="G11" s="116"/>
    </row>
    <row r="12" spans="1:11" x14ac:dyDescent="0.35">
      <c r="A12" s="16"/>
      <c r="B12" s="2"/>
      <c r="C12"/>
    </row>
    <row r="13" spans="1:11" x14ac:dyDescent="0.35">
      <c r="A13" s="19" t="s">
        <v>45</v>
      </c>
      <c r="B13" s="2"/>
      <c r="C13"/>
    </row>
    <row r="14" spans="1:11" x14ac:dyDescent="0.35">
      <c r="A14" s="20" t="s">
        <v>215</v>
      </c>
    </row>
    <row r="15" spans="1:11" x14ac:dyDescent="0.35">
      <c r="A15" s="22" t="s">
        <v>196</v>
      </c>
      <c r="B15" s="19"/>
    </row>
    <row r="16" spans="1:11" x14ac:dyDescent="0.35">
      <c r="A16" s="21" t="s">
        <v>46</v>
      </c>
    </row>
    <row r="18" spans="1:14" x14ac:dyDescent="0.35">
      <c r="A18" s="1" t="s">
        <v>53</v>
      </c>
      <c r="D18" s="20" t="s">
        <v>162</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203</v>
      </c>
      <c r="B23" s="70">
        <v>3525</v>
      </c>
      <c r="C23" s="70">
        <v>1020</v>
      </c>
      <c r="D23" s="11"/>
    </row>
    <row r="24" spans="1:14" x14ac:dyDescent="0.35">
      <c r="A24" t="s">
        <v>186</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183</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188</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185</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184</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187</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213</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292</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197</v>
      </c>
      <c r="B47" s="1"/>
      <c r="C47" s="52" t="str">
        <f>IF(C27="","",SUM(C27:C28))</f>
        <v/>
      </c>
      <c r="D47" s="52" t="str">
        <f t="shared" ref="D47:L47" si="15">IF(D27="","",SUM(D27:D28))</f>
        <v/>
      </c>
      <c r="E47" s="52" t="str">
        <f t="shared" si="15"/>
        <v/>
      </c>
      <c r="F47" s="52" t="str">
        <f t="shared" si="15"/>
        <v/>
      </c>
      <c r="G47" s="52" t="str">
        <f t="shared" si="15"/>
        <v/>
      </c>
      <c r="H47" s="52" t="str">
        <f t="shared" si="15"/>
        <v/>
      </c>
      <c r="I47" s="52" t="str">
        <f t="shared" si="15"/>
        <v/>
      </c>
      <c r="J47" s="52" t="str">
        <f t="shared" si="15"/>
        <v/>
      </c>
      <c r="K47" s="52" t="str">
        <f t="shared" si="15"/>
        <v/>
      </c>
      <c r="L47" s="52" t="str">
        <f t="shared" si="15"/>
        <v/>
      </c>
      <c r="M47" s="46"/>
      <c r="N47" s="46"/>
    </row>
    <row r="48" spans="1:14" x14ac:dyDescent="0.35">
      <c r="A48" t="str">
        <f>IF(A6="","","    To "&amp;A6)</f>
        <v xml:space="preserve">    To Upper Basin</v>
      </c>
      <c r="B48" s="24" t="s">
        <v>152</v>
      </c>
      <c r="C48" s="14" t="str">
        <f>IF(OR(C$27="",$A48=""),"",IF(C$47&gt;SUM(C49:C53),C$47-SUM(C49:C53),0))</f>
        <v/>
      </c>
      <c r="D48" s="14" t="str">
        <f t="shared" ref="D48:L48" si="16">IF(OR(D$27="",$A48=""),"",IF(D$47&gt;SUM(D49:D53),D$47-SUM(D49:D53),0))</f>
        <v/>
      </c>
      <c r="E48" s="14" t="str">
        <f t="shared" si="16"/>
        <v/>
      </c>
      <c r="F48" s="14" t="str">
        <f t="shared" si="16"/>
        <v/>
      </c>
      <c r="G48" s="14" t="str">
        <f t="shared" si="16"/>
        <v/>
      </c>
      <c r="H48" s="14" t="str">
        <f t="shared" si="16"/>
        <v/>
      </c>
      <c r="I48" s="14" t="str">
        <f t="shared" si="16"/>
        <v/>
      </c>
      <c r="J48" s="14" t="str">
        <f t="shared" si="16"/>
        <v/>
      </c>
      <c r="K48" s="14" t="str">
        <f t="shared" si="16"/>
        <v/>
      </c>
      <c r="L48" s="14" t="str">
        <f t="shared" si="16"/>
        <v/>
      </c>
      <c r="M48" s="29"/>
      <c r="N48" s="29"/>
    </row>
    <row r="49" spans="1:14" x14ac:dyDescent="0.35">
      <c r="A49" t="str">
        <f t="shared" ref="A49:A53" si="17">IF(A7="","","    To "&amp;A7)</f>
        <v xml:space="preserve">    To Lower Basin</v>
      </c>
      <c r="B49" s="44">
        <f>7.5</f>
        <v>7.5</v>
      </c>
      <c r="C49" s="14" t="str">
        <f>IF(OR(C$27="",$A49=""),"",C28-C52/2-C51-C50/2+MIN($B49,C27-C50/2-C52/2))</f>
        <v/>
      </c>
      <c r="D49" s="14" t="str">
        <f t="shared" ref="D49:G49" si="18">IF(OR(D$27="",$A49=""),"",D28-D52/2-D51-D50/2+MIN($B49,D27-D50/2-D52/2))</f>
        <v/>
      </c>
      <c r="E49" s="14" t="str">
        <f t="shared" si="18"/>
        <v/>
      </c>
      <c r="F49" s="14" t="str">
        <f t="shared" si="18"/>
        <v/>
      </c>
      <c r="G49" s="14" t="str">
        <f t="shared" si="18"/>
        <v/>
      </c>
      <c r="H49" s="14" t="str">
        <f>IF(OR(H$27="",$A49=""),"",H28-H52/2-H51-H50/2+MIN($B49,H27-H50/2-H52/2))</f>
        <v/>
      </c>
      <c r="I49" s="14" t="str">
        <f t="shared" ref="I49:L49" si="19">IF(OR(I$27="",$A49=""),"",I28-I52/2-I51-I50/2+MIN($B49,I27-I50/2-I52/2))</f>
        <v/>
      </c>
      <c r="J49" s="14" t="str">
        <f t="shared" si="19"/>
        <v/>
      </c>
      <c r="K49" s="14" t="str">
        <f t="shared" si="19"/>
        <v/>
      </c>
      <c r="L49" s="14" t="str">
        <f t="shared" si="19"/>
        <v/>
      </c>
      <c r="M49" s="29"/>
      <c r="N49" s="29"/>
    </row>
    <row r="50" spans="1:14" x14ac:dyDescent="0.35">
      <c r="A50" t="str">
        <f t="shared" si="17"/>
        <v xml:space="preserve">    To Mexico</v>
      </c>
      <c r="B50" s="44" t="s">
        <v>199</v>
      </c>
      <c r="C50" s="14" t="str">
        <f>IF(OR(C$27="",$A50=""),"",IF(C$47&gt;SUM(C51:C52,C46),C46,C$47-SUM(C51:C52)))</f>
        <v/>
      </c>
      <c r="D50" s="14" t="str">
        <f t="shared" ref="D50:L50" si="20">IF(OR(D$27="",$A50=""),"",IF(D$47&gt;SUM(D51:D52,D46),D46,D$47-SUM(D51:D52)))</f>
        <v/>
      </c>
      <c r="E50" s="14" t="str">
        <f t="shared" si="20"/>
        <v/>
      </c>
      <c r="F50" s="14" t="str">
        <f t="shared" si="20"/>
        <v/>
      </c>
      <c r="G50" s="14" t="str">
        <f t="shared" si="20"/>
        <v/>
      </c>
      <c r="H50" s="14" t="str">
        <f t="shared" si="20"/>
        <v/>
      </c>
      <c r="I50" s="14" t="str">
        <f t="shared" si="20"/>
        <v/>
      </c>
      <c r="J50" s="14" t="str">
        <f t="shared" si="20"/>
        <v/>
      </c>
      <c r="K50" s="14" t="str">
        <f t="shared" si="20"/>
        <v/>
      </c>
      <c r="L50" s="14" t="str">
        <f t="shared" si="20"/>
        <v/>
      </c>
      <c r="M50" s="29"/>
      <c r="N50" s="29"/>
    </row>
    <row r="51" spans="1:14" x14ac:dyDescent="0.35">
      <c r="A51" t="str">
        <f t="shared" si="17"/>
        <v xml:space="preserve">    To Mohave &amp; Havasu Evap &amp; ET</v>
      </c>
      <c r="B51" s="44">
        <v>0.6</v>
      </c>
      <c r="C51" s="14" t="str">
        <f>IF(OR(C$27="",$A51=""),"",IF(C$47&gt;C52+$B$51,$B51,C$47-C52))</f>
        <v/>
      </c>
      <c r="D51" s="14" t="str">
        <f t="shared" ref="D51:L51" si="21">IF(OR(D$27="",$A51=""),"",IF(D$47&gt;D52+$B$51,$B51,D$47-D52))</f>
        <v/>
      </c>
      <c r="E51" s="14" t="str">
        <f t="shared" si="21"/>
        <v/>
      </c>
      <c r="F51" s="14" t="str">
        <f t="shared" si="21"/>
        <v/>
      </c>
      <c r="G51" s="14" t="str">
        <f t="shared" si="21"/>
        <v/>
      </c>
      <c r="H51" s="14" t="str">
        <f t="shared" si="21"/>
        <v/>
      </c>
      <c r="I51" s="14" t="str">
        <f t="shared" si="21"/>
        <v/>
      </c>
      <c r="J51" s="14" t="str">
        <f t="shared" si="21"/>
        <v/>
      </c>
      <c r="K51" s="14" t="str">
        <f t="shared" si="21"/>
        <v/>
      </c>
      <c r="L51" s="14" t="str">
        <f t="shared" si="21"/>
        <v/>
      </c>
      <c r="M51" s="29"/>
      <c r="N51" s="29"/>
    </row>
    <row r="52" spans="1:14" x14ac:dyDescent="0.35">
      <c r="A52" t="str">
        <f t="shared" si="17"/>
        <v xml:space="preserve">    To Shared, Reserve</v>
      </c>
      <c r="B52" s="44" t="s">
        <v>198</v>
      </c>
      <c r="C52" s="14" t="str">
        <f>IF(OR(C$27="",$A52=""),"",IF(C$47&gt;C44,C44,C$47))</f>
        <v/>
      </c>
      <c r="D52" s="14" t="str">
        <f t="shared" ref="D52:L52" si="22">IF(OR(D$27="",$A52=""),"",IF(D$47&gt;D44,D44,D$47))</f>
        <v/>
      </c>
      <c r="E52" s="14" t="str">
        <f t="shared" si="22"/>
        <v/>
      </c>
      <c r="F52" s="14" t="str">
        <f t="shared" si="22"/>
        <v/>
      </c>
      <c r="G52" s="14" t="str">
        <f t="shared" si="22"/>
        <v/>
      </c>
      <c r="H52" s="14" t="str">
        <f t="shared" si="22"/>
        <v/>
      </c>
      <c r="I52" s="14" t="str">
        <f t="shared" si="22"/>
        <v/>
      </c>
      <c r="J52" s="14" t="str">
        <f t="shared" si="22"/>
        <v/>
      </c>
      <c r="K52" s="14" t="str">
        <f t="shared" si="22"/>
        <v/>
      </c>
      <c r="L52" s="14" t="str">
        <f t="shared" si="22"/>
        <v/>
      </c>
      <c r="M52" s="29"/>
      <c r="N52" s="29"/>
    </row>
    <row r="53" spans="1:14" x14ac:dyDescent="0.35">
      <c r="A53" t="str">
        <f t="shared" si="17"/>
        <v/>
      </c>
      <c r="B53" s="44"/>
      <c r="C53" s="57" t="str">
        <f t="shared" ref="C53:L53" si="23">IF(OR(C$27="",$A53=""),"",IF(C$27&gt;$B53,$B53,C$27))</f>
        <v/>
      </c>
      <c r="D53" s="57" t="str">
        <f t="shared" si="23"/>
        <v/>
      </c>
      <c r="E53" s="57" t="str">
        <f t="shared" si="23"/>
        <v/>
      </c>
      <c r="F53" s="57" t="str">
        <f t="shared" si="23"/>
        <v/>
      </c>
      <c r="G53" s="57" t="str">
        <f t="shared" si="23"/>
        <v/>
      </c>
      <c r="H53" s="57" t="str">
        <f t="shared" si="23"/>
        <v/>
      </c>
      <c r="I53" s="57" t="str">
        <f t="shared" si="23"/>
        <v/>
      </c>
      <c r="J53" s="57" t="str">
        <f t="shared" si="23"/>
        <v/>
      </c>
      <c r="K53" s="57" t="str">
        <f t="shared" si="23"/>
        <v/>
      </c>
      <c r="L53" s="57" t="str">
        <f t="shared" si="23"/>
        <v/>
      </c>
      <c r="M53" s="29"/>
      <c r="N53" s="29"/>
    </row>
    <row r="54" spans="1:14" x14ac:dyDescent="0.35">
      <c r="C54"/>
    </row>
    <row r="55" spans="1:14" x14ac:dyDescent="0.35">
      <c r="A55" s="82" t="s">
        <v>192</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183</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4">IF(OR(C$27="",$A59=""),"",C$112)</f>
        <v/>
      </c>
      <c r="D59" s="78" t="str">
        <f t="shared" si="24"/>
        <v/>
      </c>
      <c r="E59" s="78" t="str">
        <f t="shared" si="24"/>
        <v/>
      </c>
      <c r="F59" s="78" t="str">
        <f t="shared" si="24"/>
        <v/>
      </c>
      <c r="G59" s="78" t="str">
        <f t="shared" si="24"/>
        <v/>
      </c>
      <c r="H59" s="78" t="str">
        <f t="shared" si="24"/>
        <v/>
      </c>
      <c r="I59" s="78" t="str">
        <f t="shared" si="24"/>
        <v/>
      </c>
      <c r="J59" s="78" t="str">
        <f t="shared" si="24"/>
        <v/>
      </c>
      <c r="K59" s="78" t="str">
        <f t="shared" si="24"/>
        <v/>
      </c>
      <c r="L59" s="78" t="str">
        <f t="shared" si="24"/>
        <v/>
      </c>
      <c r="M59" t="str">
        <f t="shared" si="24"/>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5">IF(OR(D$27="",$A60=""),"",D30+D48-D40-D57)</f>
        <v/>
      </c>
      <c r="E60" s="14" t="str">
        <f t="shared" si="25"/>
        <v/>
      </c>
      <c r="F60" s="14" t="str">
        <f t="shared" si="25"/>
        <v/>
      </c>
      <c r="G60" s="14" t="str">
        <f t="shared" si="25"/>
        <v/>
      </c>
      <c r="H60" s="14" t="str">
        <f t="shared" si="25"/>
        <v/>
      </c>
      <c r="I60" s="14" t="str">
        <f t="shared" si="25"/>
        <v/>
      </c>
      <c r="J60" s="14" t="str">
        <f t="shared" si="25"/>
        <v/>
      </c>
      <c r="K60" s="14" t="str">
        <f t="shared" si="25"/>
        <v/>
      </c>
      <c r="L60" s="14" t="str">
        <f t="shared" si="25"/>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6">IF(OR(D$27="",$A62=""),"",D60-D61)</f>
        <v/>
      </c>
      <c r="E62" s="77" t="str">
        <f t="shared" si="26"/>
        <v/>
      </c>
      <c r="F62" s="77" t="str">
        <f t="shared" si="26"/>
        <v/>
      </c>
      <c r="G62" s="77" t="str">
        <f t="shared" si="26"/>
        <v/>
      </c>
      <c r="H62" s="77" t="str">
        <f t="shared" si="26"/>
        <v/>
      </c>
      <c r="I62" s="77" t="str">
        <f t="shared" si="26"/>
        <v/>
      </c>
      <c r="J62" s="77" t="str">
        <f t="shared" si="26"/>
        <v/>
      </c>
      <c r="K62" s="77" t="str">
        <f t="shared" si="26"/>
        <v/>
      </c>
      <c r="L62" s="77" t="str">
        <f t="shared" si="26"/>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183</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7">IF(A66="","",N58)</f>
        <v>Add if multiple transactions, e.g.: $350*0.5 + $450*0.25</v>
      </c>
    </row>
    <row r="67" spans="1:14" x14ac:dyDescent="0.35">
      <c r="A67" s="32" t="str">
        <f>IF(A66="","","   Volume all players (should be zero)")</f>
        <v xml:space="preserve">   Volume all players (should be zero)</v>
      </c>
      <c r="C67" s="78" t="str">
        <f t="shared" ref="C67:M67" si="28">IF(OR(C$27="",$A67=""),"",C$112)</f>
        <v/>
      </c>
      <c r="D67" s="78" t="str">
        <f t="shared" si="28"/>
        <v/>
      </c>
      <c r="E67" s="78" t="str">
        <f t="shared" si="28"/>
        <v/>
      </c>
      <c r="F67" s="78" t="str">
        <f t="shared" si="28"/>
        <v/>
      </c>
      <c r="G67" s="78" t="str">
        <f t="shared" si="28"/>
        <v/>
      </c>
      <c r="H67" s="78" t="str">
        <f t="shared" si="28"/>
        <v/>
      </c>
      <c r="I67" s="78" t="str">
        <f t="shared" si="28"/>
        <v/>
      </c>
      <c r="J67" s="78" t="str">
        <f t="shared" si="28"/>
        <v/>
      </c>
      <c r="K67" s="78" t="str">
        <f t="shared" si="28"/>
        <v/>
      </c>
      <c r="L67" s="78" t="str">
        <f t="shared" si="28"/>
        <v/>
      </c>
      <c r="M67" t="str">
        <f t="shared" si="28"/>
        <v/>
      </c>
      <c r="N67" t="str">
        <f t="shared" si="27"/>
        <v>If non-zero, players need to change amount(s)</v>
      </c>
    </row>
    <row r="68" spans="1:14" x14ac:dyDescent="0.35">
      <c r="A68" s="1" t="str">
        <f>IF(A66="","","   Available Water [maf]")</f>
        <v xml:space="preserve">   Available Water [maf]</v>
      </c>
      <c r="C68" s="14" t="str">
        <f t="shared" ref="C68:L68" si="29">IF(OR(C$27="",$A68=""),"",C31+C49-C41-C65)</f>
        <v/>
      </c>
      <c r="D68" s="14" t="str">
        <f t="shared" si="29"/>
        <v/>
      </c>
      <c r="E68" s="14" t="str">
        <f t="shared" si="29"/>
        <v/>
      </c>
      <c r="F68" s="14" t="str">
        <f t="shared" si="29"/>
        <v/>
      </c>
      <c r="G68" s="14" t="str">
        <f t="shared" si="29"/>
        <v/>
      </c>
      <c r="H68" s="14" t="str">
        <f t="shared" si="29"/>
        <v/>
      </c>
      <c r="I68" s="14" t="str">
        <f t="shared" si="29"/>
        <v/>
      </c>
      <c r="J68" s="14" t="str">
        <f t="shared" si="29"/>
        <v/>
      </c>
      <c r="K68" s="14" t="str">
        <f t="shared" si="29"/>
        <v/>
      </c>
      <c r="L68" s="14" t="str">
        <f t="shared" si="29"/>
        <v/>
      </c>
      <c r="N68" t="str">
        <f t="shared" si="27"/>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7"/>
        <v>Must be less than Available water</v>
      </c>
    </row>
    <row r="70" spans="1:14" x14ac:dyDescent="0.35">
      <c r="A70" s="32" t="str">
        <f>IF(A69="","","   End of Year Balance [maf]")</f>
        <v xml:space="preserve">   End of Year Balance [maf]</v>
      </c>
      <c r="C70" s="77" t="str">
        <f>IF(OR(C$27="",$A70=""),"",C68-C69)</f>
        <v/>
      </c>
      <c r="D70" s="77" t="str">
        <f t="shared" ref="D70:L70" si="30">IF(OR(D$27="",$A70=""),"",D68-D69)</f>
        <v/>
      </c>
      <c r="E70" s="77" t="str">
        <f t="shared" si="30"/>
        <v/>
      </c>
      <c r="F70" s="77" t="str">
        <f t="shared" si="30"/>
        <v/>
      </c>
      <c r="G70" s="77" t="str">
        <f t="shared" si="30"/>
        <v/>
      </c>
      <c r="H70" s="77" t="str">
        <f t="shared" si="30"/>
        <v/>
      </c>
      <c r="I70" s="77" t="str">
        <f t="shared" si="30"/>
        <v/>
      </c>
      <c r="J70" s="77" t="str">
        <f t="shared" si="30"/>
        <v/>
      </c>
      <c r="K70" s="77" t="str">
        <f t="shared" si="30"/>
        <v/>
      </c>
      <c r="L70" s="77" t="str">
        <f t="shared" si="30"/>
        <v/>
      </c>
      <c r="N70" t="str">
        <f t="shared" si="27"/>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183</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1">IF(A74="","",N66)</f>
        <v>Add if multiple transactions, e.g.: $350*0.5 + $450*0.25</v>
      </c>
    </row>
    <row r="75" spans="1:14" x14ac:dyDescent="0.35">
      <c r="A75" s="32" t="str">
        <f>IF(A74="","","   Volume all players (should be zero)")</f>
        <v xml:space="preserve">   Volume all players (should be zero)</v>
      </c>
      <c r="C75" s="78" t="str">
        <f t="shared" ref="C75:M75" si="32">IF(OR(C$27="",$A75=""),"",C$112)</f>
        <v/>
      </c>
      <c r="D75" s="78" t="str">
        <f t="shared" si="32"/>
        <v/>
      </c>
      <c r="E75" s="78" t="str">
        <f t="shared" si="32"/>
        <v/>
      </c>
      <c r="F75" s="78" t="str">
        <f t="shared" si="32"/>
        <v/>
      </c>
      <c r="G75" s="78" t="str">
        <f t="shared" si="32"/>
        <v/>
      </c>
      <c r="H75" s="78" t="str">
        <f t="shared" si="32"/>
        <v/>
      </c>
      <c r="I75" s="78" t="str">
        <f t="shared" si="32"/>
        <v/>
      </c>
      <c r="J75" s="78" t="str">
        <f t="shared" si="32"/>
        <v/>
      </c>
      <c r="K75" s="78" t="str">
        <f t="shared" si="32"/>
        <v/>
      </c>
      <c r="L75" s="78" t="str">
        <f t="shared" si="32"/>
        <v/>
      </c>
      <c r="M75" t="str">
        <f t="shared" si="32"/>
        <v/>
      </c>
      <c r="N75" t="str">
        <f t="shared" si="31"/>
        <v>If non-zero, players need to change amount(s)</v>
      </c>
    </row>
    <row r="76" spans="1:14" x14ac:dyDescent="0.35">
      <c r="A76" s="1" t="str">
        <f>IF(A74="","","   Available Water [maf]")</f>
        <v xml:space="preserve">   Available Water [maf]</v>
      </c>
      <c r="C76" s="14" t="str">
        <f t="shared" ref="C76:L76" si="33">IF(OR(C$27="",$A76=""),"",C32+C50-C42-C73)</f>
        <v/>
      </c>
      <c r="D76" s="14" t="str">
        <f t="shared" si="33"/>
        <v/>
      </c>
      <c r="E76" s="14" t="str">
        <f t="shared" si="33"/>
        <v/>
      </c>
      <c r="F76" s="14" t="str">
        <f>IF(OR(F$27="",$A76=""),"",F32+F50-F42-F73)</f>
        <v/>
      </c>
      <c r="G76" s="14" t="str">
        <f t="shared" si="33"/>
        <v/>
      </c>
      <c r="H76" s="14" t="str">
        <f t="shared" si="33"/>
        <v/>
      </c>
      <c r="I76" s="14" t="str">
        <f t="shared" si="33"/>
        <v/>
      </c>
      <c r="J76" s="14" t="str">
        <f t="shared" si="33"/>
        <v/>
      </c>
      <c r="K76" s="14" t="str">
        <f t="shared" si="33"/>
        <v/>
      </c>
      <c r="L76" s="14" t="str">
        <f t="shared" si="33"/>
        <v/>
      </c>
      <c r="N76" t="str">
        <f t="shared" si="31"/>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31"/>
        <v>Must be less than Available water</v>
      </c>
    </row>
    <row r="78" spans="1:14" x14ac:dyDescent="0.35">
      <c r="A78" s="32" t="str">
        <f>IF(A77="","","   End of Year Balance [maf]")</f>
        <v xml:space="preserve">   End of Year Balance [maf]</v>
      </c>
      <c r="C78" s="77" t="str">
        <f>IF(OR(C$27="",$A78=""),"",C76-C77)</f>
        <v/>
      </c>
      <c r="D78" s="77" t="str">
        <f t="shared" ref="D78:L78" si="34">IF(OR(D$27="",$A78=""),"",D76-D77)</f>
        <v/>
      </c>
      <c r="E78" s="77" t="str">
        <f t="shared" si="34"/>
        <v/>
      </c>
      <c r="F78" s="77" t="str">
        <f t="shared" si="34"/>
        <v/>
      </c>
      <c r="G78" s="77" t="str">
        <f t="shared" si="34"/>
        <v/>
      </c>
      <c r="H78" s="77" t="str">
        <f t="shared" si="34"/>
        <v/>
      </c>
      <c r="I78" s="77" t="str">
        <f t="shared" si="34"/>
        <v/>
      </c>
      <c r="J78" s="77" t="str">
        <f t="shared" si="34"/>
        <v/>
      </c>
      <c r="K78" s="77" t="str">
        <f t="shared" si="34"/>
        <v/>
      </c>
      <c r="L78" s="77" t="str">
        <f t="shared" si="34"/>
        <v/>
      </c>
      <c r="N78" t="str">
        <f t="shared" si="31"/>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183</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5">IF(A82="","",N74)</f>
        <v>Add if multiple transactions, e.g.: $350*0.5 + $450*0.25</v>
      </c>
    </row>
    <row r="83" spans="1:14" x14ac:dyDescent="0.35">
      <c r="A83" s="32" t="str">
        <f>IF(A82="","","   Volume all players (should be zero)")</f>
        <v xml:space="preserve">   Volume all players (should be zero)</v>
      </c>
      <c r="C83" s="78" t="str">
        <f t="shared" ref="C83:M83" si="36">IF(OR(C$27="",$A83=""),"",C$112)</f>
        <v/>
      </c>
      <c r="D83" s="78" t="str">
        <f t="shared" si="36"/>
        <v/>
      </c>
      <c r="E83" s="78" t="str">
        <f t="shared" si="36"/>
        <v/>
      </c>
      <c r="F83" s="78" t="str">
        <f t="shared" si="36"/>
        <v/>
      </c>
      <c r="G83" s="78" t="str">
        <f t="shared" si="36"/>
        <v/>
      </c>
      <c r="H83" s="78" t="str">
        <f t="shared" si="36"/>
        <v/>
      </c>
      <c r="I83" s="78" t="str">
        <f t="shared" si="36"/>
        <v/>
      </c>
      <c r="J83" s="78" t="str">
        <f t="shared" si="36"/>
        <v/>
      </c>
      <c r="K83" s="78" t="str">
        <f t="shared" si="36"/>
        <v/>
      </c>
      <c r="L83" s="78" t="str">
        <f t="shared" si="36"/>
        <v/>
      </c>
      <c r="M83" t="str">
        <f t="shared" si="36"/>
        <v/>
      </c>
      <c r="N83" t="str">
        <f t="shared" si="35"/>
        <v>If non-zero, players need to change amount(s)</v>
      </c>
    </row>
    <row r="84" spans="1:14" x14ac:dyDescent="0.35">
      <c r="A84" s="1" t="str">
        <f>IF(A82="","","   Available Water [maf]")</f>
        <v xml:space="preserve">   Available Water [maf]</v>
      </c>
      <c r="C84" s="14" t="str">
        <f t="shared" ref="C84:L84" si="37">IF(OR(C$27="",$A84=""),"",C33+C51-C43-C81)</f>
        <v/>
      </c>
      <c r="D84" s="14" t="str">
        <f t="shared" si="37"/>
        <v/>
      </c>
      <c r="E84" s="14" t="str">
        <f t="shared" si="37"/>
        <v/>
      </c>
      <c r="F84" s="14" t="str">
        <f t="shared" si="37"/>
        <v/>
      </c>
      <c r="G84" s="14" t="str">
        <f t="shared" si="37"/>
        <v/>
      </c>
      <c r="H84" s="14" t="str">
        <f t="shared" si="37"/>
        <v/>
      </c>
      <c r="I84" s="14" t="str">
        <f t="shared" si="37"/>
        <v/>
      </c>
      <c r="J84" s="14" t="str">
        <f t="shared" si="37"/>
        <v/>
      </c>
      <c r="K84" s="14" t="str">
        <f t="shared" si="37"/>
        <v/>
      </c>
      <c r="L84" s="14" t="str">
        <f t="shared" si="37"/>
        <v/>
      </c>
      <c r="N84" t="str">
        <f t="shared" si="35"/>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38">IF(D27="","",D84)</f>
        <v/>
      </c>
      <c r="E85" s="43" t="str">
        <f t="shared" si="38"/>
        <v/>
      </c>
      <c r="F85" s="43" t="str">
        <f t="shared" si="38"/>
        <v/>
      </c>
      <c r="G85" s="43" t="str">
        <f t="shared" si="38"/>
        <v/>
      </c>
      <c r="H85" s="43" t="str">
        <f t="shared" ref="H85" si="39">IF(H27="","",H84)</f>
        <v/>
      </c>
      <c r="I85" s="43" t="str">
        <f t="shared" ref="I85" si="40">IF(I27="","",I84)</f>
        <v/>
      </c>
      <c r="J85" s="43" t="str">
        <f t="shared" ref="J85" si="41">IF(J27="","",J84)</f>
        <v/>
      </c>
      <c r="K85" s="43" t="str">
        <f t="shared" ref="K85" si="42">IF(K27="","",K84)</f>
        <v/>
      </c>
      <c r="L85" s="43" t="str">
        <f t="shared" ref="L85" si="43">IF(L27="","",L84)</f>
        <v/>
      </c>
      <c r="N85" t="str">
        <f t="shared" si="35"/>
        <v>Must be less than Available water</v>
      </c>
    </row>
    <row r="86" spans="1:14" x14ac:dyDescent="0.35">
      <c r="A86" s="32" t="str">
        <f>IF(A85="","","   End of Year Balance [maf]")</f>
        <v xml:space="preserve">   End of Year Balance [maf]</v>
      </c>
      <c r="C86" s="77" t="str">
        <f>IF(OR(C$27="",$A86=""),"",C84-C85)</f>
        <v/>
      </c>
      <c r="D86" s="77" t="str">
        <f t="shared" ref="D86:L86" si="44">IF(OR(D$27="",$A86=""),"",D84-D85)</f>
        <v/>
      </c>
      <c r="E86" s="77" t="str">
        <f t="shared" si="44"/>
        <v/>
      </c>
      <c r="F86" s="77" t="str">
        <f t="shared" si="44"/>
        <v/>
      </c>
      <c r="G86" s="77" t="str">
        <f t="shared" si="44"/>
        <v/>
      </c>
      <c r="H86" s="77" t="str">
        <f t="shared" si="44"/>
        <v/>
      </c>
      <c r="I86" s="77" t="str">
        <f t="shared" si="44"/>
        <v/>
      </c>
      <c r="J86" s="77" t="str">
        <f t="shared" si="44"/>
        <v/>
      </c>
      <c r="K86" s="77" t="str">
        <f t="shared" si="44"/>
        <v/>
      </c>
      <c r="L86" s="77" t="str">
        <f t="shared" si="44"/>
        <v/>
      </c>
      <c r="N86" t="str">
        <f t="shared" si="35"/>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183</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5">IF(A90="","",N82)</f>
        <v>Add if multiple transactions, e.g.: $350*0.5 + $450*0.25</v>
      </c>
    </row>
    <row r="91" spans="1:14" x14ac:dyDescent="0.35">
      <c r="A91" s="32" t="str">
        <f>IF(A90="","","   Volume all players (should be zero)")</f>
        <v xml:space="preserve">   Volume all players (should be zero)</v>
      </c>
      <c r="C91" s="78" t="str">
        <f t="shared" ref="C91:M91" si="46">IF(OR(C$27="",$A91=""),"",C$112)</f>
        <v/>
      </c>
      <c r="D91" s="78" t="str">
        <f t="shared" si="46"/>
        <v/>
      </c>
      <c r="E91" s="78" t="str">
        <f t="shared" si="46"/>
        <v/>
      </c>
      <c r="F91" s="78" t="str">
        <f t="shared" si="46"/>
        <v/>
      </c>
      <c r="G91" s="78" t="str">
        <f t="shared" si="46"/>
        <v/>
      </c>
      <c r="H91" s="78" t="str">
        <f t="shared" si="46"/>
        <v/>
      </c>
      <c r="I91" s="78" t="str">
        <f t="shared" si="46"/>
        <v/>
      </c>
      <c r="J91" s="78" t="str">
        <f t="shared" si="46"/>
        <v/>
      </c>
      <c r="K91" s="78" t="str">
        <f t="shared" si="46"/>
        <v/>
      </c>
      <c r="L91" s="78" t="str">
        <f t="shared" si="46"/>
        <v/>
      </c>
      <c r="M91" t="str">
        <f t="shared" si="46"/>
        <v/>
      </c>
      <c r="N91" t="str">
        <f t="shared" si="45"/>
        <v>If non-zero, players need to change amount(s)</v>
      </c>
    </row>
    <row r="92" spans="1:14" x14ac:dyDescent="0.35">
      <c r="A92" s="1" t="str">
        <f>IF(A90="","","   Available Water [maf]")</f>
        <v xml:space="preserve">   Available Water [maf]</v>
      </c>
      <c r="C92" s="14" t="str">
        <f t="shared" ref="C92:L92" si="47">IF(OR(C$27="",$A92=""),"",C34+C52-C44-C89)</f>
        <v/>
      </c>
      <c r="D92" s="14" t="str">
        <f t="shared" si="47"/>
        <v/>
      </c>
      <c r="E92" s="14" t="str">
        <f t="shared" si="47"/>
        <v/>
      </c>
      <c r="F92" s="14" t="str">
        <f t="shared" si="47"/>
        <v/>
      </c>
      <c r="G92" s="14" t="str">
        <f t="shared" si="47"/>
        <v/>
      </c>
      <c r="H92" s="14" t="str">
        <f t="shared" si="47"/>
        <v/>
      </c>
      <c r="I92" s="14" t="str">
        <f t="shared" si="47"/>
        <v/>
      </c>
      <c r="J92" s="14" t="str">
        <f t="shared" si="47"/>
        <v/>
      </c>
      <c r="K92" s="14" t="str">
        <f t="shared" si="47"/>
        <v/>
      </c>
      <c r="L92" s="14" t="str">
        <f t="shared" si="47"/>
        <v/>
      </c>
      <c r="N92" t="str">
        <f t="shared" si="4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5"/>
        <v>Must be less than Available water</v>
      </c>
    </row>
    <row r="94" spans="1:14" x14ac:dyDescent="0.35">
      <c r="A94" s="32" t="str">
        <f>IF(A93="","","   End of Year Balance [maf]")</f>
        <v xml:space="preserve">   End of Year Balance [maf]</v>
      </c>
      <c r="C94" s="77" t="str">
        <f>IF(OR(C$27="",$A94=""),"",C92-C93)</f>
        <v/>
      </c>
      <c r="D94" s="77" t="str">
        <f t="shared" ref="D94:L94" si="48">IF(OR(D$27="",$A94=""),"",D92-D93)</f>
        <v/>
      </c>
      <c r="E94" s="77" t="str">
        <f t="shared" si="48"/>
        <v/>
      </c>
      <c r="F94" s="77" t="str">
        <f t="shared" si="48"/>
        <v/>
      </c>
      <c r="G94" s="77" t="str">
        <f t="shared" si="48"/>
        <v/>
      </c>
      <c r="H94" s="77" t="str">
        <f t="shared" si="48"/>
        <v/>
      </c>
      <c r="I94" s="77" t="str">
        <f t="shared" si="48"/>
        <v/>
      </c>
      <c r="J94" s="77" t="str">
        <f t="shared" si="48"/>
        <v/>
      </c>
      <c r="K94" s="77" t="str">
        <f t="shared" si="48"/>
        <v/>
      </c>
      <c r="L94" s="77" t="str">
        <f t="shared" si="48"/>
        <v/>
      </c>
      <c r="N94" t="str">
        <f t="shared" si="4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183</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9">IF(A98="","",N90)</f>
        <v/>
      </c>
    </row>
    <row r="99" spans="1:14" x14ac:dyDescent="0.35">
      <c r="A99" s="32" t="str">
        <f>IF(A98="","","   Volume all players (should be zero)")</f>
        <v/>
      </c>
      <c r="C99" s="78" t="str">
        <f t="shared" ref="C99:M99" si="50">IF(OR(C$27="",$A99=""),"",C$112)</f>
        <v/>
      </c>
      <c r="D99" s="78" t="str">
        <f t="shared" si="50"/>
        <v/>
      </c>
      <c r="E99" s="78" t="str">
        <f t="shared" si="50"/>
        <v/>
      </c>
      <c r="F99" s="78" t="str">
        <f t="shared" si="50"/>
        <v/>
      </c>
      <c r="G99" s="78" t="str">
        <f t="shared" si="50"/>
        <v/>
      </c>
      <c r="H99" s="78" t="str">
        <f t="shared" si="50"/>
        <v/>
      </c>
      <c r="I99" s="78" t="str">
        <f t="shared" si="50"/>
        <v/>
      </c>
      <c r="J99" s="78" t="str">
        <f t="shared" si="50"/>
        <v/>
      </c>
      <c r="K99" s="78" t="str">
        <f t="shared" si="50"/>
        <v/>
      </c>
      <c r="L99" s="78" t="str">
        <f t="shared" si="50"/>
        <v/>
      </c>
      <c r="M99" t="str">
        <f t="shared" si="50"/>
        <v/>
      </c>
      <c r="N99" t="str">
        <f t="shared" si="49"/>
        <v/>
      </c>
    </row>
    <row r="100" spans="1:14" x14ac:dyDescent="0.35">
      <c r="A100" s="1" t="str">
        <f>IF(A98="","","   Available Water [maf]")</f>
        <v/>
      </c>
      <c r="C100" s="14" t="str">
        <f t="shared" ref="C100:L100" si="51">IF(OR(C$27="",$A100=""),"",C35+C53-C45-C97)</f>
        <v/>
      </c>
      <c r="D100" s="14" t="str">
        <f t="shared" si="51"/>
        <v/>
      </c>
      <c r="E100" s="14" t="str">
        <f t="shared" si="51"/>
        <v/>
      </c>
      <c r="F100" s="14" t="str">
        <f t="shared" si="51"/>
        <v/>
      </c>
      <c r="G100" s="14" t="str">
        <f t="shared" si="51"/>
        <v/>
      </c>
      <c r="H100" s="14" t="str">
        <f t="shared" si="51"/>
        <v/>
      </c>
      <c r="I100" s="14" t="str">
        <f t="shared" si="51"/>
        <v/>
      </c>
      <c r="J100" s="14" t="str">
        <f t="shared" si="51"/>
        <v/>
      </c>
      <c r="K100" s="14" t="str">
        <f t="shared" si="51"/>
        <v/>
      </c>
      <c r="L100" s="14" t="str">
        <f t="shared" si="51"/>
        <v/>
      </c>
      <c r="N100" t="str">
        <f t="shared" si="49"/>
        <v/>
      </c>
    </row>
    <row r="101" spans="1:14" x14ac:dyDescent="0.35">
      <c r="A101" s="1" t="str">
        <f>IF(A100="","","   Account Withdraw [maf]")</f>
        <v/>
      </c>
      <c r="C101" s="43"/>
      <c r="D101" s="43"/>
      <c r="E101" s="43"/>
      <c r="F101" s="43"/>
      <c r="G101" s="43"/>
      <c r="H101" s="43"/>
      <c r="I101" s="43"/>
      <c r="J101" s="43"/>
      <c r="K101" s="43"/>
      <c r="L101" s="43"/>
      <c r="N101" t="str">
        <f t="shared" si="49"/>
        <v/>
      </c>
    </row>
    <row r="102" spans="1:14" x14ac:dyDescent="0.35">
      <c r="A102" s="32" t="str">
        <f>IF(A101="","","   End of Year Balance [maf]")</f>
        <v/>
      </c>
      <c r="C102" s="77" t="str">
        <f>IF(OR(C$27="",$A102=""),"",C100-C101)</f>
        <v/>
      </c>
      <c r="D102" s="77" t="str">
        <f t="shared" ref="D102:L102" si="52">IF(OR(D$27="",$A102=""),"",D100-D101)</f>
        <v/>
      </c>
      <c r="E102" s="77" t="str">
        <f t="shared" si="52"/>
        <v/>
      </c>
      <c r="F102" s="77" t="str">
        <f t="shared" si="52"/>
        <v/>
      </c>
      <c r="G102" s="77" t="str">
        <f t="shared" si="52"/>
        <v/>
      </c>
      <c r="H102" s="77" t="str">
        <f t="shared" si="52"/>
        <v/>
      </c>
      <c r="I102" s="77" t="str">
        <f t="shared" si="52"/>
        <v/>
      </c>
      <c r="J102" s="77" t="str">
        <f t="shared" si="52"/>
        <v/>
      </c>
      <c r="K102" s="77" t="str">
        <f t="shared" si="52"/>
        <v/>
      </c>
      <c r="L102" s="77" t="str">
        <f t="shared" si="52"/>
        <v/>
      </c>
      <c r="N102" t="str">
        <f t="shared" si="49"/>
        <v/>
      </c>
    </row>
    <row r="103" spans="1:14" x14ac:dyDescent="0.35">
      <c r="C103"/>
    </row>
    <row r="104" spans="1:14" x14ac:dyDescent="0.35">
      <c r="A104" s="82" t="s">
        <v>194</v>
      </c>
      <c r="B104" s="83"/>
      <c r="C104" s="83"/>
      <c r="D104" s="83"/>
      <c r="E104" s="83"/>
      <c r="F104" s="83"/>
      <c r="G104" s="83"/>
      <c r="H104" s="83"/>
      <c r="I104" s="83"/>
      <c r="J104" s="83"/>
      <c r="K104" s="83"/>
      <c r="L104" s="83"/>
      <c r="M104" s="83"/>
      <c r="N104" s="83"/>
    </row>
    <row r="105" spans="1:14" x14ac:dyDescent="0.35">
      <c r="A105" s="1" t="s">
        <v>155</v>
      </c>
      <c r="C105"/>
      <c r="M105" t="s">
        <v>193</v>
      </c>
      <c r="N105" t="s">
        <v>156</v>
      </c>
    </row>
    <row r="106" spans="1:14" x14ac:dyDescent="0.35">
      <c r="A106" t="str">
        <f t="shared" ref="A106:A111" si="53">IF(A6="","","    "&amp;A6)</f>
        <v xml:space="preserve">    Upper Basin</v>
      </c>
      <c r="B106" s="1"/>
      <c r="C106" s="78" t="str">
        <f t="shared" ref="C106:L111" ca="1" si="54">IF(OR(C$27="",$A106=""),"",OFFSET(C$57,8*(ROW(B106)-ROW(B$106)),0))</f>
        <v/>
      </c>
      <c r="D106" s="78" t="str">
        <f t="shared" ca="1" si="54"/>
        <v/>
      </c>
      <c r="E106" s="78" t="str">
        <f t="shared" ca="1" si="54"/>
        <v/>
      </c>
      <c r="F106" s="78" t="str">
        <f t="shared" ca="1" si="54"/>
        <v/>
      </c>
      <c r="G106" s="78" t="str">
        <f t="shared" ca="1" si="54"/>
        <v/>
      </c>
      <c r="H106" s="78" t="str">
        <f t="shared" ca="1" si="54"/>
        <v/>
      </c>
      <c r="I106" s="78" t="str">
        <f t="shared" ca="1" si="54"/>
        <v/>
      </c>
      <c r="J106" s="78" t="str">
        <f t="shared" ca="1" si="54"/>
        <v/>
      </c>
      <c r="K106" s="78" t="str">
        <f t="shared" ca="1" si="54"/>
        <v/>
      </c>
      <c r="L106" s="78" t="str">
        <f t="shared" ca="1" si="54"/>
        <v/>
      </c>
      <c r="M106" s="78">
        <f ca="1">IF(OR($A106=""),"",SUM(C106:L106))</f>
        <v>0</v>
      </c>
      <c r="N106" s="75">
        <f>IF(OR($A106=""),"",M58)</f>
        <v>0</v>
      </c>
    </row>
    <row r="107" spans="1:14" x14ac:dyDescent="0.35">
      <c r="A107" t="str">
        <f t="shared" si="53"/>
        <v xml:space="preserve">    Lower Basin</v>
      </c>
      <c r="B107" s="1"/>
      <c r="C107" s="78" t="str">
        <f t="shared" ca="1" si="54"/>
        <v/>
      </c>
      <c r="D107" s="78" t="str">
        <f t="shared" ca="1" si="54"/>
        <v/>
      </c>
      <c r="E107" s="78" t="str">
        <f t="shared" ca="1" si="54"/>
        <v/>
      </c>
      <c r="F107" s="78" t="str">
        <f t="shared" ca="1" si="54"/>
        <v/>
      </c>
      <c r="G107" s="78" t="str">
        <f t="shared" ca="1" si="54"/>
        <v/>
      </c>
      <c r="H107" s="78" t="str">
        <f t="shared" ca="1" si="54"/>
        <v/>
      </c>
      <c r="I107" s="78" t="str">
        <f t="shared" ca="1" si="54"/>
        <v/>
      </c>
      <c r="J107" s="78" t="str">
        <f t="shared" ca="1" si="54"/>
        <v/>
      </c>
      <c r="K107" s="78" t="str">
        <f t="shared" ca="1" si="54"/>
        <v/>
      </c>
      <c r="L107" s="78" t="str">
        <f t="shared" ca="1" si="54"/>
        <v/>
      </c>
      <c r="M107" s="78">
        <f t="shared" ref="M107:M111" ca="1" si="55">IF(OR($A107=""),"",SUM(C107:L107))</f>
        <v>0</v>
      </c>
      <c r="N107" s="75">
        <f>IF(OR($A107=""),"",M66)</f>
        <v>0</v>
      </c>
    </row>
    <row r="108" spans="1:14" x14ac:dyDescent="0.35">
      <c r="A108" t="str">
        <f t="shared" si="53"/>
        <v xml:space="preserve">    Mexico</v>
      </c>
      <c r="B108" s="1"/>
      <c r="C108" s="78" t="str">
        <f t="shared" ca="1" si="54"/>
        <v/>
      </c>
      <c r="D108" s="78" t="str">
        <f t="shared" ca="1" si="54"/>
        <v/>
      </c>
      <c r="E108" s="78" t="str">
        <f t="shared" ca="1" si="54"/>
        <v/>
      </c>
      <c r="F108" s="78" t="str">
        <f t="shared" ca="1" si="54"/>
        <v/>
      </c>
      <c r="G108" s="78" t="str">
        <f t="shared" ca="1" si="54"/>
        <v/>
      </c>
      <c r="H108" s="78" t="str">
        <f t="shared" ca="1" si="54"/>
        <v/>
      </c>
      <c r="I108" s="78" t="str">
        <f t="shared" ca="1" si="54"/>
        <v/>
      </c>
      <c r="J108" s="78" t="str">
        <f t="shared" ca="1" si="54"/>
        <v/>
      </c>
      <c r="K108" s="78" t="str">
        <f t="shared" ca="1" si="54"/>
        <v/>
      </c>
      <c r="L108" s="78" t="str">
        <f t="shared" ca="1" si="54"/>
        <v/>
      </c>
      <c r="M108" s="78">
        <f t="shared" ca="1" si="55"/>
        <v>0</v>
      </c>
      <c r="N108" s="75">
        <f>IF(OR($A108=""),"",M74)</f>
        <v>0</v>
      </c>
    </row>
    <row r="109" spans="1:14" x14ac:dyDescent="0.35">
      <c r="A109" t="str">
        <f t="shared" si="53"/>
        <v xml:space="preserve">    Mohave &amp; Havasu Evap &amp; ET</v>
      </c>
      <c r="B109" s="1"/>
      <c r="C109" s="78" t="str">
        <f t="shared" ca="1" si="54"/>
        <v/>
      </c>
      <c r="D109" s="78" t="str">
        <f t="shared" ca="1" si="54"/>
        <v/>
      </c>
      <c r="E109" s="78" t="str">
        <f t="shared" ca="1" si="54"/>
        <v/>
      </c>
      <c r="F109" s="78" t="str">
        <f t="shared" ca="1" si="54"/>
        <v/>
      </c>
      <c r="G109" s="78" t="str">
        <f t="shared" ca="1" si="54"/>
        <v/>
      </c>
      <c r="H109" s="78" t="str">
        <f t="shared" ca="1" si="54"/>
        <v/>
      </c>
      <c r="I109" s="78" t="str">
        <f t="shared" ca="1" si="54"/>
        <v/>
      </c>
      <c r="J109" s="78" t="str">
        <f t="shared" ca="1" si="54"/>
        <v/>
      </c>
      <c r="K109" s="78" t="str">
        <f t="shared" ca="1" si="54"/>
        <v/>
      </c>
      <c r="L109" s="78" t="str">
        <f t="shared" ca="1" si="54"/>
        <v/>
      </c>
      <c r="M109" s="78">
        <f t="shared" ca="1" si="55"/>
        <v>0</v>
      </c>
      <c r="N109" s="75">
        <f>IF(OR($A109=""),"",M82)</f>
        <v>0</v>
      </c>
    </row>
    <row r="110" spans="1:14" x14ac:dyDescent="0.35">
      <c r="A110" t="str">
        <f t="shared" si="53"/>
        <v xml:space="preserve">    Shared, Reserve</v>
      </c>
      <c r="B110" s="1"/>
      <c r="C110" s="78" t="str">
        <f t="shared" ca="1" si="54"/>
        <v/>
      </c>
      <c r="D110" s="78" t="str">
        <f t="shared" ca="1" si="54"/>
        <v/>
      </c>
      <c r="E110" s="78" t="str">
        <f t="shared" ca="1" si="54"/>
        <v/>
      </c>
      <c r="F110" s="78" t="str">
        <f t="shared" ca="1" si="54"/>
        <v/>
      </c>
      <c r="G110" s="78" t="str">
        <f t="shared" ca="1" si="54"/>
        <v/>
      </c>
      <c r="H110" s="78" t="str">
        <f t="shared" ca="1" si="54"/>
        <v/>
      </c>
      <c r="I110" s="78" t="str">
        <f t="shared" ca="1" si="54"/>
        <v/>
      </c>
      <c r="J110" s="78" t="str">
        <f t="shared" ca="1" si="54"/>
        <v/>
      </c>
      <c r="K110" s="78" t="str">
        <f t="shared" ca="1" si="54"/>
        <v/>
      </c>
      <c r="L110" s="78" t="str">
        <f t="shared" ca="1" si="54"/>
        <v/>
      </c>
      <c r="M110" s="78">
        <f t="shared" ca="1" si="55"/>
        <v>0</v>
      </c>
      <c r="N110" s="75">
        <f>IF(OR($A110=""),"",M90)</f>
        <v>0</v>
      </c>
    </row>
    <row r="111" spans="1:14" x14ac:dyDescent="0.35">
      <c r="A111" t="str">
        <f t="shared" si="53"/>
        <v/>
      </c>
      <c r="B111" s="1"/>
      <c r="C111" s="78" t="str">
        <f t="shared" ca="1" si="54"/>
        <v/>
      </c>
      <c r="D111" s="78" t="str">
        <f t="shared" ca="1" si="54"/>
        <v/>
      </c>
      <c r="E111" s="78" t="str">
        <f t="shared" ca="1" si="54"/>
        <v/>
      </c>
      <c r="F111" s="78" t="str">
        <f t="shared" ca="1" si="54"/>
        <v/>
      </c>
      <c r="G111" s="78" t="str">
        <f t="shared" ca="1" si="54"/>
        <v/>
      </c>
      <c r="H111" s="78" t="str">
        <f t="shared" ca="1" si="54"/>
        <v/>
      </c>
      <c r="I111" s="78" t="str">
        <f t="shared" ca="1" si="54"/>
        <v/>
      </c>
      <c r="J111" s="78" t="str">
        <f t="shared" ca="1" si="54"/>
        <v/>
      </c>
      <c r="K111" s="78" t="str">
        <f t="shared" ca="1" si="54"/>
        <v/>
      </c>
      <c r="L111" s="78" t="str">
        <f t="shared" ca="1" si="54"/>
        <v/>
      </c>
      <c r="M111" s="78" t="str">
        <f t="shared" si="55"/>
        <v/>
      </c>
      <c r="N111" s="75" t="str">
        <f>IF(OR($A111=""),"",M98)</f>
        <v/>
      </c>
    </row>
    <row r="112" spans="1:14" x14ac:dyDescent="0.35">
      <c r="A112" t="s">
        <v>151</v>
      </c>
      <c r="B112" s="1"/>
      <c r="C112" s="52" t="str">
        <f>IF(C$27&lt;&gt;"",SUM(C106:C111),"")</f>
        <v/>
      </c>
      <c r="D112" s="52" t="str">
        <f t="shared" ref="D112:L112" si="56">IF(D$27&lt;&gt;"",SUM(D106:D111),"")</f>
        <v/>
      </c>
      <c r="E112" s="52" t="str">
        <f t="shared" si="56"/>
        <v/>
      </c>
      <c r="F112" s="52" t="str">
        <f t="shared" si="56"/>
        <v/>
      </c>
      <c r="G112" s="52" t="str">
        <f t="shared" si="56"/>
        <v/>
      </c>
      <c r="H112" s="52" t="str">
        <f t="shared" si="56"/>
        <v/>
      </c>
      <c r="I112" s="52" t="str">
        <f t="shared" si="56"/>
        <v/>
      </c>
      <c r="J112" s="52" t="str">
        <f t="shared" si="56"/>
        <v/>
      </c>
      <c r="K112" s="52" t="str">
        <f t="shared" si="56"/>
        <v/>
      </c>
      <c r="L112" s="52" t="str">
        <f t="shared" si="5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57">IF(OR(C$27="",$A114=""),"",OFFSET(C$61,8*(ROW(B114)-ROW(B$114)),0))</f>
        <v/>
      </c>
      <c r="D114" s="78" t="str">
        <f t="shared" ca="1" si="57"/>
        <v/>
      </c>
      <c r="E114" s="78" t="str">
        <f t="shared" ca="1" si="57"/>
        <v/>
      </c>
      <c r="F114" s="78" t="str">
        <f t="shared" ca="1" si="57"/>
        <v/>
      </c>
      <c r="G114" s="78" t="str">
        <f t="shared" ca="1" si="57"/>
        <v/>
      </c>
      <c r="H114" s="78" t="str">
        <f t="shared" ca="1" si="57"/>
        <v/>
      </c>
      <c r="I114" s="78" t="str">
        <f t="shared" ca="1" si="57"/>
        <v/>
      </c>
      <c r="J114" s="78" t="str">
        <f t="shared" ca="1" si="57"/>
        <v/>
      </c>
      <c r="K114" s="78" t="str">
        <f t="shared" ca="1" si="57"/>
        <v/>
      </c>
      <c r="L114" s="78" t="str">
        <f t="shared" ca="1" si="57"/>
        <v/>
      </c>
    </row>
    <row r="115" spans="1:12" x14ac:dyDescent="0.35">
      <c r="A115" t="str">
        <f>IF(A7="","","    "&amp;A7&amp;" - Release from Mead")</f>
        <v xml:space="preserve">    Lower Basin - Release from Mead</v>
      </c>
      <c r="C115" s="78" t="str">
        <f t="shared" ca="1" si="57"/>
        <v/>
      </c>
      <c r="D115" s="78" t="str">
        <f t="shared" ca="1" si="57"/>
        <v/>
      </c>
      <c r="E115" s="78" t="str">
        <f t="shared" ca="1" si="57"/>
        <v/>
      </c>
      <c r="F115" s="78" t="str">
        <f t="shared" ca="1" si="57"/>
        <v/>
      </c>
      <c r="G115" s="78" t="str">
        <f t="shared" ca="1" si="57"/>
        <v/>
      </c>
      <c r="H115" s="78" t="str">
        <f t="shared" ca="1" si="57"/>
        <v/>
      </c>
      <c r="I115" s="78" t="str">
        <f t="shared" ca="1" si="57"/>
        <v/>
      </c>
      <c r="J115" s="78" t="str">
        <f t="shared" ca="1" si="57"/>
        <v/>
      </c>
      <c r="K115" s="78" t="str">
        <f t="shared" ca="1" si="57"/>
        <v/>
      </c>
      <c r="L115" s="78" t="str">
        <f t="shared" ca="1" si="57"/>
        <v/>
      </c>
    </row>
    <row r="116" spans="1:12" x14ac:dyDescent="0.35">
      <c r="A116" t="str">
        <f>IF(A8="","","    "&amp;A8&amp;" - Release from Mead")</f>
        <v xml:space="preserve">    Mexico - Release from Mead</v>
      </c>
      <c r="C116" s="78" t="str">
        <f t="shared" ca="1" si="57"/>
        <v/>
      </c>
      <c r="D116" s="78" t="str">
        <f t="shared" ca="1" si="57"/>
        <v/>
      </c>
      <c r="E116" s="78" t="str">
        <f t="shared" ca="1" si="57"/>
        <v/>
      </c>
      <c r="F116" s="78" t="str">
        <f t="shared" ca="1" si="57"/>
        <v/>
      </c>
      <c r="G116" s="78" t="str">
        <f t="shared" ca="1" si="57"/>
        <v/>
      </c>
      <c r="H116" s="78" t="str">
        <f t="shared" ca="1" si="57"/>
        <v/>
      </c>
      <c r="I116" s="78" t="str">
        <f t="shared" ca="1" si="57"/>
        <v/>
      </c>
      <c r="J116" s="78" t="str">
        <f t="shared" ca="1" si="57"/>
        <v/>
      </c>
      <c r="K116" s="78" t="str">
        <f t="shared" ca="1" si="57"/>
        <v/>
      </c>
      <c r="L116" s="78" t="str">
        <f t="shared" ca="1" si="57"/>
        <v/>
      </c>
    </row>
    <row r="117" spans="1:12" x14ac:dyDescent="0.35">
      <c r="A117" t="str">
        <f>IF(A9="","","    "&amp;A9&amp;" - Release from Mead")</f>
        <v xml:space="preserve">    Mohave &amp; Havasu Evap &amp; ET - Release from Mead</v>
      </c>
      <c r="C117" s="78" t="str">
        <f t="shared" ca="1" si="57"/>
        <v/>
      </c>
      <c r="D117" s="78" t="str">
        <f t="shared" ca="1" si="57"/>
        <v/>
      </c>
      <c r="E117" s="78" t="str">
        <f t="shared" ca="1" si="57"/>
        <v/>
      </c>
      <c r="F117" s="78" t="str">
        <f t="shared" ca="1" si="57"/>
        <v/>
      </c>
      <c r="G117" s="78" t="str">
        <f t="shared" ca="1" si="57"/>
        <v/>
      </c>
      <c r="H117" s="78" t="str">
        <f t="shared" ca="1" si="57"/>
        <v/>
      </c>
      <c r="I117" s="78" t="str">
        <f t="shared" ca="1" si="57"/>
        <v/>
      </c>
      <c r="J117" s="78" t="str">
        <f t="shared" ca="1" si="57"/>
        <v/>
      </c>
      <c r="K117" s="78" t="str">
        <f t="shared" ca="1" si="57"/>
        <v/>
      </c>
      <c r="L117" s="78" t="str">
        <f t="shared" ca="1" si="57"/>
        <v/>
      </c>
    </row>
    <row r="118" spans="1:12" x14ac:dyDescent="0.35">
      <c r="A118" t="str">
        <f>IF(A10="","","    "&amp;A10&amp;" - Release from Mead")</f>
        <v xml:space="preserve">    Shared, Reserve - Release from Mead</v>
      </c>
      <c r="C118" s="78" t="str">
        <f t="shared" ca="1" si="57"/>
        <v/>
      </c>
      <c r="D118" s="78" t="str">
        <f t="shared" ca="1" si="57"/>
        <v/>
      </c>
      <c r="E118" s="78" t="str">
        <f t="shared" ca="1" si="57"/>
        <v/>
      </c>
      <c r="F118" s="78" t="str">
        <f t="shared" ca="1" si="57"/>
        <v/>
      </c>
      <c r="G118" s="78" t="str">
        <f t="shared" ca="1" si="57"/>
        <v/>
      </c>
      <c r="H118" s="78" t="str">
        <f t="shared" ca="1" si="57"/>
        <v/>
      </c>
      <c r="I118" s="78" t="str">
        <f t="shared" ca="1" si="57"/>
        <v/>
      </c>
      <c r="J118" s="78" t="str">
        <f t="shared" ca="1" si="57"/>
        <v/>
      </c>
      <c r="K118" s="78" t="str">
        <f t="shared" ca="1" si="57"/>
        <v/>
      </c>
      <c r="L118" s="78" t="str">
        <f t="shared" ca="1" si="57"/>
        <v/>
      </c>
    </row>
    <row r="119" spans="1:12" x14ac:dyDescent="0.35">
      <c r="A119" t="str">
        <f>IF(A11="","","    "&amp;A11&amp;" - Release from Mead")</f>
        <v/>
      </c>
      <c r="C119" s="78" t="str">
        <f t="shared" ca="1" si="57"/>
        <v/>
      </c>
      <c r="D119" s="78" t="str">
        <f t="shared" ca="1" si="57"/>
        <v/>
      </c>
      <c r="E119" s="78" t="str">
        <f t="shared" ca="1" si="57"/>
        <v/>
      </c>
      <c r="F119" s="78" t="str">
        <f t="shared" ca="1" si="57"/>
        <v/>
      </c>
      <c r="G119" s="78" t="str">
        <f t="shared" ca="1" si="57"/>
        <v/>
      </c>
      <c r="H119" s="78" t="str">
        <f t="shared" ca="1" si="57"/>
        <v/>
      </c>
      <c r="I119" s="78" t="str">
        <f t="shared" ca="1" si="57"/>
        <v/>
      </c>
      <c r="J119" s="78" t="str">
        <f t="shared" ca="1" si="57"/>
        <v/>
      </c>
      <c r="K119" s="78" t="str">
        <f t="shared" ca="1" si="57"/>
        <v/>
      </c>
      <c r="L119" s="78" t="str">
        <f t="shared" ca="1" si="57"/>
        <v/>
      </c>
    </row>
    <row r="120" spans="1:12" x14ac:dyDescent="0.35">
      <c r="A120" s="1" t="s">
        <v>139</v>
      </c>
      <c r="B120" s="1"/>
      <c r="D120" s="2"/>
      <c r="E120" s="2"/>
      <c r="F120" s="2"/>
      <c r="G120" s="2"/>
      <c r="H120" s="2"/>
      <c r="I120" s="2"/>
      <c r="J120" s="2"/>
      <c r="K120" s="2"/>
      <c r="L120" s="2"/>
    </row>
    <row r="121" spans="1:12" x14ac:dyDescent="0.35">
      <c r="A121" t="str">
        <f t="shared" ref="A121:A126" si="58">IF(A6="","","    "&amp;A6)</f>
        <v xml:space="preserve">    Upper Basin</v>
      </c>
      <c r="C121" s="78" t="str">
        <f t="shared" ref="C121:L126" ca="1" si="59">IF(OR(C$27="",$A121=""),"",OFFSET(C$62,8*(ROW(B121)-ROW(B$121)),0))</f>
        <v/>
      </c>
      <c r="D121" s="78" t="str">
        <f t="shared" ca="1" si="59"/>
        <v/>
      </c>
      <c r="E121" s="78" t="str">
        <f t="shared" ca="1" si="59"/>
        <v/>
      </c>
      <c r="F121" s="78" t="str">
        <f t="shared" ca="1" si="59"/>
        <v/>
      </c>
      <c r="G121" s="78" t="str">
        <f t="shared" ca="1" si="59"/>
        <v/>
      </c>
      <c r="H121" s="78" t="str">
        <f t="shared" ca="1" si="59"/>
        <v/>
      </c>
      <c r="I121" s="78" t="str">
        <f t="shared" ca="1" si="59"/>
        <v/>
      </c>
      <c r="J121" s="78" t="str">
        <f t="shared" ca="1" si="59"/>
        <v/>
      </c>
      <c r="K121" s="78" t="str">
        <f t="shared" ca="1" si="59"/>
        <v/>
      </c>
      <c r="L121" s="78" t="str">
        <f t="shared" ca="1" si="59"/>
        <v/>
      </c>
    </row>
    <row r="122" spans="1:12" x14ac:dyDescent="0.35">
      <c r="A122" t="str">
        <f t="shared" si="58"/>
        <v xml:space="preserve">    Lower Basin</v>
      </c>
      <c r="C122" s="78" t="str">
        <f t="shared" ca="1" si="59"/>
        <v/>
      </c>
      <c r="D122" s="78" t="str">
        <f t="shared" ca="1" si="59"/>
        <v/>
      </c>
      <c r="E122" s="78" t="str">
        <f t="shared" ca="1" si="59"/>
        <v/>
      </c>
      <c r="F122" s="78" t="str">
        <f t="shared" ca="1" si="59"/>
        <v/>
      </c>
      <c r="G122" s="78" t="str">
        <f t="shared" ca="1" si="59"/>
        <v/>
      </c>
      <c r="H122" s="78" t="str">
        <f t="shared" ca="1" si="59"/>
        <v/>
      </c>
      <c r="I122" s="78" t="str">
        <f t="shared" ca="1" si="59"/>
        <v/>
      </c>
      <c r="J122" s="78" t="str">
        <f t="shared" ca="1" si="59"/>
        <v/>
      </c>
      <c r="K122" s="78" t="str">
        <f t="shared" ca="1" si="59"/>
        <v/>
      </c>
      <c r="L122" s="78" t="str">
        <f t="shared" ca="1" si="59"/>
        <v/>
      </c>
    </row>
    <row r="123" spans="1:12" x14ac:dyDescent="0.35">
      <c r="A123" t="str">
        <f t="shared" si="58"/>
        <v xml:space="preserve">    Mexico</v>
      </c>
      <c r="C123" s="78" t="str">
        <f t="shared" ca="1" si="59"/>
        <v/>
      </c>
      <c r="D123" s="78" t="str">
        <f t="shared" ca="1" si="59"/>
        <v/>
      </c>
      <c r="E123" s="78" t="str">
        <f t="shared" ca="1" si="59"/>
        <v/>
      </c>
      <c r="F123" s="78" t="str">
        <f t="shared" ca="1" si="59"/>
        <v/>
      </c>
      <c r="G123" s="78" t="str">
        <f t="shared" ca="1" si="59"/>
        <v/>
      </c>
      <c r="H123" s="78" t="str">
        <f t="shared" ca="1" si="59"/>
        <v/>
      </c>
      <c r="I123" s="78" t="str">
        <f t="shared" ca="1" si="59"/>
        <v/>
      </c>
      <c r="J123" s="78" t="str">
        <f t="shared" ca="1" si="59"/>
        <v/>
      </c>
      <c r="K123" s="78" t="str">
        <f t="shared" ca="1" si="59"/>
        <v/>
      </c>
      <c r="L123" s="78" t="str">
        <f t="shared" ca="1" si="59"/>
        <v/>
      </c>
    </row>
    <row r="124" spans="1:12" x14ac:dyDescent="0.35">
      <c r="A124" t="str">
        <f t="shared" si="58"/>
        <v xml:space="preserve">    Mohave &amp; Havasu Evap &amp; ET</v>
      </c>
      <c r="C124" s="78" t="str">
        <f t="shared" ca="1" si="59"/>
        <v/>
      </c>
      <c r="D124" s="78" t="str">
        <f t="shared" ca="1" si="59"/>
        <v/>
      </c>
      <c r="E124" s="78" t="str">
        <f t="shared" ca="1" si="59"/>
        <v/>
      </c>
      <c r="F124" s="78" t="str">
        <f t="shared" ca="1" si="59"/>
        <v/>
      </c>
      <c r="G124" s="78" t="str">
        <f t="shared" ca="1" si="59"/>
        <v/>
      </c>
      <c r="H124" s="78" t="str">
        <f t="shared" ca="1" si="59"/>
        <v/>
      </c>
      <c r="I124" s="78" t="str">
        <f t="shared" ca="1" si="59"/>
        <v/>
      </c>
      <c r="J124" s="78" t="str">
        <f t="shared" ca="1" si="59"/>
        <v/>
      </c>
      <c r="K124" s="78" t="str">
        <f t="shared" ca="1" si="59"/>
        <v/>
      </c>
      <c r="L124" s="78" t="str">
        <f t="shared" ca="1" si="59"/>
        <v/>
      </c>
    </row>
    <row r="125" spans="1:12" x14ac:dyDescent="0.35">
      <c r="A125" t="str">
        <f t="shared" si="58"/>
        <v xml:space="preserve">    Shared, Reserve</v>
      </c>
      <c r="C125" s="78" t="str">
        <f t="shared" ca="1" si="59"/>
        <v/>
      </c>
      <c r="D125" s="78" t="str">
        <f t="shared" ca="1" si="59"/>
        <v/>
      </c>
      <c r="E125" s="78" t="str">
        <f t="shared" ca="1" si="59"/>
        <v/>
      </c>
      <c r="F125" s="78" t="str">
        <f t="shared" ca="1" si="59"/>
        <v/>
      </c>
      <c r="G125" s="78" t="str">
        <f t="shared" ca="1" si="59"/>
        <v/>
      </c>
      <c r="H125" s="78" t="str">
        <f t="shared" ca="1" si="59"/>
        <v/>
      </c>
      <c r="I125" s="78" t="str">
        <f t="shared" ca="1" si="59"/>
        <v/>
      </c>
      <c r="J125" s="78" t="str">
        <f t="shared" ca="1" si="59"/>
        <v/>
      </c>
      <c r="K125" s="78" t="str">
        <f t="shared" ca="1" si="59"/>
        <v/>
      </c>
      <c r="L125" s="78" t="str">
        <f t="shared" ca="1" si="59"/>
        <v/>
      </c>
    </row>
    <row r="126" spans="1:12" x14ac:dyDescent="0.35">
      <c r="A126" t="str">
        <f t="shared" si="58"/>
        <v/>
      </c>
      <c r="C126" s="78" t="str">
        <f t="shared" ca="1" si="59"/>
        <v/>
      </c>
      <c r="D126" s="78" t="str">
        <f t="shared" ca="1" si="59"/>
        <v/>
      </c>
      <c r="E126" s="78" t="str">
        <f t="shared" ca="1" si="59"/>
        <v/>
      </c>
      <c r="F126" s="78" t="str">
        <f t="shared" ca="1" si="59"/>
        <v/>
      </c>
      <c r="G126" s="78" t="str">
        <f t="shared" ca="1" si="59"/>
        <v/>
      </c>
      <c r="H126" s="78" t="str">
        <f t="shared" ca="1" si="59"/>
        <v/>
      </c>
      <c r="I126" s="78" t="str">
        <f t="shared" ca="1" si="59"/>
        <v/>
      </c>
      <c r="J126" s="78" t="str">
        <f t="shared" ca="1" si="59"/>
        <v/>
      </c>
      <c r="K126" s="78" t="str">
        <f t="shared" ca="1" si="59"/>
        <v/>
      </c>
      <c r="L126" s="78" t="str">
        <f t="shared" ca="1" si="59"/>
        <v/>
      </c>
    </row>
    <row r="127" spans="1:12" x14ac:dyDescent="0.35">
      <c r="A127" s="1" t="s">
        <v>123</v>
      </c>
      <c r="B127" s="1"/>
      <c r="C127" s="14" t="str">
        <f>IF(C$27&lt;&gt;"",SUM(C121:C126),"")</f>
        <v/>
      </c>
      <c r="D127" s="14" t="str">
        <f t="shared" ref="D127:L127" si="60">IF(D$27&lt;&gt;"",SUM(D121:D126),"")</f>
        <v/>
      </c>
      <c r="E127" s="14" t="str">
        <f t="shared" si="60"/>
        <v/>
      </c>
      <c r="F127" s="14" t="str">
        <f t="shared" si="60"/>
        <v/>
      </c>
      <c r="G127" s="14" t="str">
        <f t="shared" si="60"/>
        <v/>
      </c>
      <c r="H127" s="14" t="str">
        <f t="shared" si="60"/>
        <v/>
      </c>
      <c r="I127" s="14" t="str">
        <f t="shared" si="60"/>
        <v/>
      </c>
      <c r="J127" s="14" t="str">
        <f t="shared" si="60"/>
        <v/>
      </c>
      <c r="K127" s="14" t="str">
        <f t="shared" si="60"/>
        <v/>
      </c>
      <c r="L127" s="14" t="str">
        <f t="shared" si="60"/>
        <v/>
      </c>
    </row>
    <row r="128" spans="1:12" x14ac:dyDescent="0.35">
      <c r="A128" s="1" t="s">
        <v>214</v>
      </c>
      <c r="B128" s="1"/>
      <c r="C128" s="87"/>
      <c r="D128" s="87"/>
      <c r="E128" s="87"/>
      <c r="F128" s="87"/>
      <c r="G128" s="87"/>
      <c r="H128" s="87"/>
      <c r="I128" s="87"/>
      <c r="J128" s="87"/>
      <c r="K128" s="87"/>
      <c r="L128" s="87"/>
    </row>
    <row r="129" spans="1:14" x14ac:dyDescent="0.35">
      <c r="A129" s="1" t="s">
        <v>210</v>
      </c>
      <c r="B129" s="1"/>
      <c r="C129" s="14" t="str">
        <f>IF(C27="","",C$128*C$127)</f>
        <v/>
      </c>
      <c r="D129" s="14" t="str">
        <f t="shared" ref="D129:L129" si="61">IF(D27="","",D$128*D$127)</f>
        <v/>
      </c>
      <c r="E129" s="14" t="str">
        <f t="shared" si="61"/>
        <v/>
      </c>
      <c r="F129" s="14" t="str">
        <f t="shared" si="61"/>
        <v/>
      </c>
      <c r="G129" s="14" t="str">
        <f t="shared" si="61"/>
        <v/>
      </c>
      <c r="H129" s="14" t="str">
        <f t="shared" si="61"/>
        <v/>
      </c>
      <c r="I129" s="14" t="str">
        <f t="shared" si="61"/>
        <v/>
      </c>
      <c r="J129" s="14" t="str">
        <f t="shared" si="61"/>
        <v/>
      </c>
      <c r="K129" s="14" t="str">
        <f t="shared" si="61"/>
        <v/>
      </c>
      <c r="L129" s="14" t="str">
        <f t="shared" si="61"/>
        <v/>
      </c>
    </row>
    <row r="130" spans="1:14" x14ac:dyDescent="0.35">
      <c r="A130" s="1" t="s">
        <v>211</v>
      </c>
      <c r="B130" s="1"/>
      <c r="C130" s="14" t="str">
        <f>IF(C28="","",(1-C$128)*C$127)</f>
        <v/>
      </c>
      <c r="D130" s="14" t="str">
        <f t="shared" ref="D130:L130" si="62">IF(D28="","",(1-D$128)*D$127)</f>
        <v/>
      </c>
      <c r="E130" s="14" t="str">
        <f t="shared" si="62"/>
        <v/>
      </c>
      <c r="F130" s="14" t="str">
        <f t="shared" si="62"/>
        <v/>
      </c>
      <c r="G130" s="14" t="str">
        <f t="shared" si="62"/>
        <v/>
      </c>
      <c r="H130" s="14" t="str">
        <f t="shared" si="62"/>
        <v/>
      </c>
      <c r="I130" s="14" t="str">
        <f t="shared" si="62"/>
        <v/>
      </c>
      <c r="J130" s="14" t="str">
        <f t="shared" si="62"/>
        <v/>
      </c>
      <c r="K130" s="14" t="str">
        <f t="shared" si="62"/>
        <v/>
      </c>
      <c r="L130" s="14" t="str">
        <f t="shared" si="62"/>
        <v/>
      </c>
    </row>
    <row r="131" spans="1:14" x14ac:dyDescent="0.35">
      <c r="A131" s="1" t="s">
        <v>145</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212</v>
      </c>
    </row>
    <row r="132" spans="1:14" x14ac:dyDescent="0.35">
      <c r="C132" s="29"/>
    </row>
    <row r="133" spans="1:14" x14ac:dyDescent="0.35">
      <c r="A133" s="1" t="s">
        <v>125</v>
      </c>
      <c r="C133" s="12" t="str">
        <f>IF(C$27&lt;&gt;"",0.2,"")</f>
        <v/>
      </c>
      <c r="D133" s="12" t="str">
        <f t="shared" ref="D133:L133" si="63">IF(D$27&lt;&gt;"",0.2,"")</f>
        <v/>
      </c>
      <c r="E133" s="12" t="str">
        <f t="shared" si="63"/>
        <v/>
      </c>
      <c r="F133" s="12" t="str">
        <f t="shared" si="63"/>
        <v/>
      </c>
      <c r="G133" s="12" t="str">
        <f t="shared" si="63"/>
        <v/>
      </c>
      <c r="H133" s="12" t="str">
        <f t="shared" si="63"/>
        <v/>
      </c>
      <c r="I133" s="12" t="str">
        <f t="shared" si="63"/>
        <v/>
      </c>
      <c r="J133" s="12" t="str">
        <f t="shared" si="63"/>
        <v/>
      </c>
      <c r="K133" s="12" t="str">
        <f t="shared" si="63"/>
        <v/>
      </c>
      <c r="L133" s="12" t="str">
        <f t="shared" si="63"/>
        <v/>
      </c>
    </row>
    <row r="134" spans="1:14" x14ac:dyDescent="0.35">
      <c r="A134" t="s">
        <v>126</v>
      </c>
      <c r="C134" s="14" t="str">
        <f t="shared" ref="C134:L134" si="64">IF(C$27&lt;&gt;"",C115+C133,"")</f>
        <v/>
      </c>
      <c r="D134" s="14" t="str">
        <f t="shared" si="64"/>
        <v/>
      </c>
      <c r="E134" s="14" t="str">
        <f t="shared" si="64"/>
        <v/>
      </c>
      <c r="F134" s="14" t="str">
        <f t="shared" si="64"/>
        <v/>
      </c>
      <c r="G134" s="14" t="str">
        <f t="shared" si="64"/>
        <v/>
      </c>
      <c r="H134" s="14" t="str">
        <f t="shared" si="64"/>
        <v/>
      </c>
      <c r="I134" s="14" t="str">
        <f t="shared" si="64"/>
        <v/>
      </c>
      <c r="J134" s="14" t="str">
        <f t="shared" si="64"/>
        <v/>
      </c>
      <c r="K134" s="14" t="str">
        <f t="shared" si="64"/>
        <v/>
      </c>
      <c r="L134" s="14" t="str">
        <f t="shared" si="64"/>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0" priority="70" operator="greaterThan">
      <formula>$D$60</formula>
    </cfRule>
  </conditionalFormatting>
  <conditionalFormatting sqref="C61">
    <cfRule type="cellIs" dxfId="259" priority="68" operator="greaterThan">
      <formula>$C$60</formula>
    </cfRule>
  </conditionalFormatting>
  <conditionalFormatting sqref="E61">
    <cfRule type="cellIs" dxfId="258" priority="66" operator="greaterThan">
      <formula>$E$60</formula>
    </cfRule>
  </conditionalFormatting>
  <conditionalFormatting sqref="F61">
    <cfRule type="cellIs" dxfId="257" priority="65" operator="greaterThan">
      <formula>$F$60</formula>
    </cfRule>
  </conditionalFormatting>
  <conditionalFormatting sqref="G61">
    <cfRule type="cellIs" dxfId="256" priority="64" operator="greaterThan">
      <formula>$G$60</formula>
    </cfRule>
  </conditionalFormatting>
  <conditionalFormatting sqref="H61">
    <cfRule type="cellIs" dxfId="255" priority="63" operator="greaterThan">
      <formula>$H$60</formula>
    </cfRule>
  </conditionalFormatting>
  <conditionalFormatting sqref="I61">
    <cfRule type="cellIs" dxfId="254" priority="62" operator="greaterThan">
      <formula>$I$60</formula>
    </cfRule>
  </conditionalFormatting>
  <conditionalFormatting sqref="J61">
    <cfRule type="cellIs" dxfId="253" priority="61" operator="greaterThan">
      <formula>$J$60</formula>
    </cfRule>
  </conditionalFormatting>
  <conditionalFormatting sqref="K61">
    <cfRule type="cellIs" dxfId="252" priority="60" operator="greaterThan">
      <formula>$K$60</formula>
    </cfRule>
  </conditionalFormatting>
  <conditionalFormatting sqref="L61">
    <cfRule type="cellIs" dxfId="251" priority="59" operator="greaterThan">
      <formula>$L$60</formula>
    </cfRule>
  </conditionalFormatting>
  <conditionalFormatting sqref="C69">
    <cfRule type="cellIs" dxfId="250" priority="51" operator="greaterThan">
      <formula>$C$68</formula>
    </cfRule>
  </conditionalFormatting>
  <conditionalFormatting sqref="D69">
    <cfRule type="cellIs" dxfId="249" priority="50" operator="greaterThan">
      <formula>$D$68</formula>
    </cfRule>
  </conditionalFormatting>
  <conditionalFormatting sqref="E69">
    <cfRule type="cellIs" dxfId="248" priority="49" operator="greaterThan">
      <formula>$E$68</formula>
    </cfRule>
  </conditionalFormatting>
  <conditionalFormatting sqref="F69">
    <cfRule type="cellIs" dxfId="247" priority="48" operator="greaterThan">
      <formula>$F$68</formula>
    </cfRule>
  </conditionalFormatting>
  <conditionalFormatting sqref="G69">
    <cfRule type="cellIs" dxfId="246" priority="47" operator="greaterThan">
      <formula>$G$68</formula>
    </cfRule>
  </conditionalFormatting>
  <conditionalFormatting sqref="H69">
    <cfRule type="cellIs" dxfId="245" priority="46" operator="greaterThan">
      <formula>$H$68</formula>
    </cfRule>
  </conditionalFormatting>
  <conditionalFormatting sqref="I69">
    <cfRule type="cellIs" dxfId="244" priority="45" operator="greaterThan">
      <formula>$I$68</formula>
    </cfRule>
  </conditionalFormatting>
  <conditionalFormatting sqref="J69">
    <cfRule type="cellIs" dxfId="243" priority="44" operator="greaterThan">
      <formula>$J$68</formula>
    </cfRule>
  </conditionalFormatting>
  <conditionalFormatting sqref="K69">
    <cfRule type="cellIs" dxfId="242" priority="43" operator="greaterThan">
      <formula>$K$68</formula>
    </cfRule>
  </conditionalFormatting>
  <conditionalFormatting sqref="L69">
    <cfRule type="cellIs" dxfId="241" priority="42" operator="greaterThan">
      <formula>$L$68</formula>
    </cfRule>
  </conditionalFormatting>
  <conditionalFormatting sqref="C77">
    <cfRule type="cellIs" dxfId="240" priority="41" operator="greaterThan">
      <formula>$C$76</formula>
    </cfRule>
  </conditionalFormatting>
  <conditionalFormatting sqref="D77">
    <cfRule type="cellIs" dxfId="239" priority="40" operator="greaterThan">
      <formula>$D$76</formula>
    </cfRule>
  </conditionalFormatting>
  <conditionalFormatting sqref="E77">
    <cfRule type="cellIs" dxfId="238" priority="39" operator="greaterThan">
      <formula>$E$76</formula>
    </cfRule>
  </conditionalFormatting>
  <conditionalFormatting sqref="F77">
    <cfRule type="cellIs" dxfId="237" priority="38" operator="greaterThan">
      <formula>$F$76</formula>
    </cfRule>
  </conditionalFormatting>
  <conditionalFormatting sqref="G77">
    <cfRule type="cellIs" dxfId="236" priority="37" operator="greaterThan">
      <formula>$G$76</formula>
    </cfRule>
  </conditionalFormatting>
  <conditionalFormatting sqref="H77">
    <cfRule type="cellIs" dxfId="235" priority="36" operator="greaterThan">
      <formula>$H$76</formula>
    </cfRule>
  </conditionalFormatting>
  <conditionalFormatting sqref="I77">
    <cfRule type="cellIs" dxfId="234" priority="35" operator="greaterThan">
      <formula>$I$76</formula>
    </cfRule>
  </conditionalFormatting>
  <conditionalFormatting sqref="J77">
    <cfRule type="cellIs" dxfId="233" priority="34" operator="greaterThan">
      <formula>$J$76</formula>
    </cfRule>
  </conditionalFormatting>
  <conditionalFormatting sqref="K77">
    <cfRule type="cellIs" dxfId="232" priority="33" operator="greaterThan">
      <formula>$K$76</formula>
    </cfRule>
  </conditionalFormatting>
  <conditionalFormatting sqref="L77">
    <cfRule type="cellIs" dxfId="231" priority="32" operator="greaterThan">
      <formula>$L$76</formula>
    </cfRule>
  </conditionalFormatting>
  <conditionalFormatting sqref="C85:L85">
    <cfRule type="cellIs" dxfId="230" priority="31" operator="greaterThan">
      <formula>$C$84</formula>
    </cfRule>
  </conditionalFormatting>
  <conditionalFormatting sqref="C93">
    <cfRule type="cellIs" dxfId="229" priority="21" operator="greaterThan">
      <formula>$C$92</formula>
    </cfRule>
  </conditionalFormatting>
  <conditionalFormatting sqref="D93">
    <cfRule type="cellIs" dxfId="228" priority="20" operator="greaterThan">
      <formula>$D$92</formula>
    </cfRule>
  </conditionalFormatting>
  <conditionalFormatting sqref="E93">
    <cfRule type="cellIs" dxfId="227" priority="19" operator="greaterThan">
      <formula>$E$92</formula>
    </cfRule>
  </conditionalFormatting>
  <conditionalFormatting sqref="F93">
    <cfRule type="cellIs" dxfId="226" priority="18" operator="greaterThan">
      <formula>$F$92</formula>
    </cfRule>
  </conditionalFormatting>
  <conditionalFormatting sqref="G93">
    <cfRule type="cellIs" dxfId="225" priority="17" operator="greaterThan">
      <formula>$G$92</formula>
    </cfRule>
  </conditionalFormatting>
  <conditionalFormatting sqref="H93">
    <cfRule type="cellIs" dxfId="224" priority="16" operator="greaterThan">
      <formula>$H$92</formula>
    </cfRule>
  </conditionalFormatting>
  <conditionalFormatting sqref="I93">
    <cfRule type="cellIs" dxfId="223" priority="15" operator="greaterThan">
      <formula>$I$92</formula>
    </cfRule>
  </conditionalFormatting>
  <conditionalFormatting sqref="J93">
    <cfRule type="cellIs" dxfId="222" priority="14" operator="greaterThan">
      <formula>$J$92</formula>
    </cfRule>
  </conditionalFormatting>
  <conditionalFormatting sqref="K93">
    <cfRule type="cellIs" dxfId="221" priority="13" operator="greaterThan">
      <formula>$K$92</formula>
    </cfRule>
  </conditionalFormatting>
  <conditionalFormatting sqref="L93">
    <cfRule type="cellIs" dxfId="220" priority="12" operator="greaterThan">
      <formula>$L$92</formula>
    </cfRule>
  </conditionalFormatting>
  <conditionalFormatting sqref="C101">
    <cfRule type="cellIs" dxfId="219" priority="11" operator="greaterThan">
      <formula>$C$100</formula>
    </cfRule>
  </conditionalFormatting>
  <conditionalFormatting sqref="D101">
    <cfRule type="cellIs" dxfId="218" priority="10" operator="greaterThan">
      <formula>$D$100</formula>
    </cfRule>
  </conditionalFormatting>
  <conditionalFormatting sqref="E101">
    <cfRule type="cellIs" dxfId="217" priority="9" operator="greaterThan">
      <formula>$E$100</formula>
    </cfRule>
  </conditionalFormatting>
  <conditionalFormatting sqref="F101">
    <cfRule type="cellIs" dxfId="216" priority="8" operator="greaterThan">
      <formula>$F$100</formula>
    </cfRule>
  </conditionalFormatting>
  <conditionalFormatting sqref="G101">
    <cfRule type="cellIs" dxfId="215" priority="7" operator="greaterThan">
      <formula>$G$100</formula>
    </cfRule>
  </conditionalFormatting>
  <conditionalFormatting sqref="H101">
    <cfRule type="cellIs" dxfId="214" priority="6" operator="greaterThan">
      <formula>$H$100</formula>
    </cfRule>
  </conditionalFormatting>
  <conditionalFormatting sqref="I101">
    <cfRule type="cellIs" dxfId="213" priority="5" operator="greaterThan">
      <formula>$I$100</formula>
    </cfRule>
  </conditionalFormatting>
  <conditionalFormatting sqref="J101">
    <cfRule type="cellIs" dxfId="212" priority="4" operator="greaterThan">
      <formula>$J$100</formula>
    </cfRule>
  </conditionalFormatting>
  <conditionalFormatting sqref="K101">
    <cfRule type="cellIs" dxfId="211" priority="3" operator="greaterThan">
      <formula>$K$100</formula>
    </cfRule>
  </conditionalFormatting>
  <conditionalFormatting sqref="L101">
    <cfRule type="cellIs" dxfId="21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36"/>
  <sheetViews>
    <sheetView topLeftCell="A37"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157</v>
      </c>
      <c r="B3" s="117"/>
      <c r="C3" s="117"/>
      <c r="D3" s="117"/>
      <c r="E3" s="117"/>
      <c r="F3" s="117"/>
      <c r="G3" s="117"/>
      <c r="H3" s="73"/>
      <c r="I3" s="73"/>
      <c r="J3" s="73"/>
      <c r="K3" s="73"/>
    </row>
    <row r="4" spans="1:11" x14ac:dyDescent="0.35">
      <c r="A4" s="59" t="s">
        <v>38</v>
      </c>
      <c r="B4" s="59" t="s">
        <v>42</v>
      </c>
      <c r="C4" s="118" t="s">
        <v>43</v>
      </c>
      <c r="D4" s="119"/>
      <c r="E4" s="119"/>
      <c r="F4" s="119"/>
      <c r="G4" s="120"/>
    </row>
    <row r="5" spans="1:11" x14ac:dyDescent="0.35">
      <c r="A5" s="74" t="s">
        <v>51</v>
      </c>
      <c r="B5" s="74"/>
      <c r="C5" s="121"/>
      <c r="D5" s="121"/>
      <c r="E5" s="121"/>
      <c r="F5" s="121"/>
      <c r="G5" s="121"/>
    </row>
    <row r="6" spans="1:11" x14ac:dyDescent="0.35">
      <c r="A6" s="72" t="s">
        <v>39</v>
      </c>
      <c r="B6" s="72" t="s">
        <v>161</v>
      </c>
      <c r="C6" s="115" t="s">
        <v>208</v>
      </c>
      <c r="D6" s="115"/>
      <c r="E6" s="115"/>
      <c r="F6" s="115"/>
      <c r="G6" s="115"/>
    </row>
    <row r="7" spans="1:11" x14ac:dyDescent="0.35">
      <c r="A7" s="72" t="s">
        <v>40</v>
      </c>
      <c r="B7" s="72" t="s">
        <v>161</v>
      </c>
      <c r="C7" s="115" t="s">
        <v>207</v>
      </c>
      <c r="D7" s="115"/>
      <c r="E7" s="115"/>
      <c r="F7" s="115"/>
      <c r="G7" s="115"/>
    </row>
    <row r="8" spans="1:11" x14ac:dyDescent="0.35">
      <c r="A8" s="72" t="s">
        <v>41</v>
      </c>
      <c r="B8" s="72" t="s">
        <v>161</v>
      </c>
      <c r="C8" s="115" t="s">
        <v>209</v>
      </c>
      <c r="D8" s="115"/>
      <c r="E8" s="115"/>
      <c r="F8" s="115"/>
      <c r="G8" s="115"/>
    </row>
    <row r="9" spans="1:11" x14ac:dyDescent="0.35">
      <c r="A9" s="72" t="s">
        <v>153</v>
      </c>
      <c r="B9" s="72" t="s">
        <v>161</v>
      </c>
      <c r="C9" s="115" t="s">
        <v>159</v>
      </c>
      <c r="D9" s="115"/>
      <c r="E9" s="115"/>
      <c r="F9" s="115"/>
      <c r="G9" s="115"/>
    </row>
    <row r="10" spans="1:11" x14ac:dyDescent="0.35">
      <c r="A10" s="72" t="s">
        <v>166</v>
      </c>
      <c r="B10" s="72" t="s">
        <v>161</v>
      </c>
      <c r="C10" s="116" t="s">
        <v>195</v>
      </c>
      <c r="D10" s="116"/>
      <c r="E10" s="116"/>
      <c r="F10" s="116"/>
      <c r="G10" s="116"/>
    </row>
    <row r="11" spans="1:11" x14ac:dyDescent="0.35">
      <c r="A11" s="72"/>
      <c r="B11" s="72"/>
      <c r="C11" s="116"/>
      <c r="D11" s="116"/>
      <c r="E11" s="116"/>
      <c r="F11" s="116"/>
      <c r="G11" s="116"/>
    </row>
    <row r="12" spans="1:11" x14ac:dyDescent="0.35">
      <c r="A12" s="16"/>
      <c r="B12" s="2"/>
      <c r="C12"/>
    </row>
    <row r="13" spans="1:11" x14ac:dyDescent="0.35">
      <c r="A13" s="19" t="s">
        <v>45</v>
      </c>
      <c r="B13" s="2"/>
      <c r="C13"/>
    </row>
    <row r="14" spans="1:11" x14ac:dyDescent="0.35">
      <c r="A14" s="20" t="s">
        <v>215</v>
      </c>
    </row>
    <row r="15" spans="1:11" x14ac:dyDescent="0.35">
      <c r="A15" s="22" t="s">
        <v>196</v>
      </c>
      <c r="B15" s="19"/>
    </row>
    <row r="16" spans="1:11" x14ac:dyDescent="0.35">
      <c r="A16" s="21" t="s">
        <v>46</v>
      </c>
    </row>
    <row r="18" spans="1:14" x14ac:dyDescent="0.35">
      <c r="A18" s="1" t="s">
        <v>53</v>
      </c>
      <c r="D18" s="20" t="s">
        <v>162</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203</v>
      </c>
      <c r="B23" s="70">
        <v>3525</v>
      </c>
      <c r="C23" s="70">
        <v>1020</v>
      </c>
      <c r="D23" s="11"/>
    </row>
    <row r="24" spans="1:14" x14ac:dyDescent="0.35">
      <c r="A24" t="s">
        <v>186</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183</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19.419925837338837</v>
      </c>
      <c r="E29" s="14">
        <f t="shared" ref="E29:L29" ca="1" si="2">IF(E$27&lt;&gt;"",D127,"")</f>
        <v>18.148451044337662</v>
      </c>
      <c r="F29" s="14">
        <f t="shared" ca="1" si="2"/>
        <v>17.214355043838836</v>
      </c>
      <c r="G29" s="14">
        <f t="shared" ca="1" si="2"/>
        <v>16.509935277339437</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1.7535247218794074</v>
      </c>
      <c r="F30" s="14">
        <f t="shared" ca="1" si="4"/>
        <v>0.76080738325617014</v>
      </c>
      <c r="G30" s="14">
        <f t="shared" ca="1" si="4"/>
        <v>0.51217643000515878</v>
      </c>
      <c r="H30" s="14" t="str">
        <f t="shared" si="4"/>
        <v/>
      </c>
      <c r="I30" s="14" t="str">
        <f t="shared" si="4"/>
        <v/>
      </c>
      <c r="J30" s="14" t="str">
        <f t="shared" si="4"/>
        <v/>
      </c>
      <c r="K30" s="14" t="str">
        <f t="shared" si="4"/>
        <v/>
      </c>
      <c r="L30" s="14" t="str">
        <f t="shared" si="4"/>
        <v/>
      </c>
      <c r="N30" t="s">
        <v>188</v>
      </c>
    </row>
    <row r="31" spans="1:14" x14ac:dyDescent="0.35">
      <c r="A31" t="str">
        <f t="shared" si="3"/>
        <v xml:space="preserve">    Lower Basin Balance</v>
      </c>
      <c r="B31" s="53">
        <f>C22-C24-B32</f>
        <v>4.2614069999999993</v>
      </c>
      <c r="C31" s="14">
        <f t="shared" ref="C31:C35" si="5">IF(OR(C$27="",$A31=""),"",B31)</f>
        <v>4.2614069999999993</v>
      </c>
      <c r="D31" s="14">
        <f t="shared" ref="D31:L31" ca="1" si="6">IF(OR(D$27="",$A31=""),"",C122)</f>
        <v>4.3506684655908359</v>
      </c>
      <c r="E31" s="14">
        <f t="shared" ca="1" si="6"/>
        <v>4.3194391437688413</v>
      </c>
      <c r="F31" s="14">
        <f t="shared" ca="1" si="6"/>
        <v>4.2946548649282992</v>
      </c>
      <c r="G31" s="14">
        <f t="shared" ca="1" si="6"/>
        <v>3.9603601731242524</v>
      </c>
      <c r="H31" s="14" t="str">
        <f t="shared" si="6"/>
        <v/>
      </c>
      <c r="I31" s="14" t="str">
        <f t="shared" si="6"/>
        <v/>
      </c>
      <c r="J31" s="14" t="str">
        <f t="shared" si="6"/>
        <v/>
      </c>
      <c r="K31" s="14" t="str">
        <f t="shared" si="6"/>
        <v/>
      </c>
      <c r="L31" s="14" t="str">
        <f t="shared" si="6"/>
        <v/>
      </c>
      <c r="N31" t="s">
        <v>185</v>
      </c>
    </row>
    <row r="32" spans="1:14" x14ac:dyDescent="0.35">
      <c r="A32" t="str">
        <f t="shared" si="3"/>
        <v xml:space="preserve">    Mexico Balance</v>
      </c>
      <c r="B32" s="69">
        <v>0.17399999999999999</v>
      </c>
      <c r="C32" s="57">
        <f t="shared" si="5"/>
        <v>0.17399999999999999</v>
      </c>
      <c r="D32" s="57">
        <f t="shared" ref="D32:L32" ca="1" si="7">IF(OR(D$27="",$A32=""),"",C123)</f>
        <v>0.35472982714987045</v>
      </c>
      <c r="E32" s="57">
        <f t="shared" ca="1" si="7"/>
        <v>0.48431792868941503</v>
      </c>
      <c r="F32" s="57">
        <f t="shared" ca="1" si="7"/>
        <v>0.56772354565436922</v>
      </c>
      <c r="G32" s="57">
        <f t="shared" ca="1" si="7"/>
        <v>0.44622942421002798</v>
      </c>
      <c r="H32" s="14" t="str">
        <f t="shared" si="7"/>
        <v/>
      </c>
      <c r="I32" s="14" t="str">
        <f t="shared" si="7"/>
        <v/>
      </c>
      <c r="J32" s="14" t="str">
        <f t="shared" si="7"/>
        <v/>
      </c>
      <c r="K32" s="14" t="str">
        <f t="shared" si="7"/>
        <v/>
      </c>
      <c r="L32" s="14" t="str">
        <f t="shared" si="7"/>
        <v/>
      </c>
      <c r="N32" t="s">
        <v>184</v>
      </c>
    </row>
    <row r="33" spans="1:14" x14ac:dyDescent="0.35">
      <c r="A33" t="str">
        <f t="shared" si="3"/>
        <v xml:space="preserve">    Mohave &amp; Havasu Evap &amp; ET Balance</v>
      </c>
      <c r="B33" s="54">
        <v>0</v>
      </c>
      <c r="C33" s="14">
        <f t="shared" si="5"/>
        <v>0</v>
      </c>
      <c r="D33" s="14">
        <f t="shared" ref="D33:L33" ca="1" si="8">IF(OR(D$27="",$A33=""),"",C124)</f>
        <v>0</v>
      </c>
      <c r="E33" s="14">
        <f t="shared" ca="1" si="8"/>
        <v>0</v>
      </c>
      <c r="F33" s="14">
        <f t="shared" ca="1" si="8"/>
        <v>0</v>
      </c>
      <c r="G33" s="14">
        <f t="shared" ca="1" si="8"/>
        <v>0</v>
      </c>
      <c r="H33" s="14" t="str">
        <f t="shared" si="8"/>
        <v/>
      </c>
      <c r="I33" s="14" t="str">
        <f t="shared" si="8"/>
        <v/>
      </c>
      <c r="J33" s="14" t="str">
        <f t="shared" si="8"/>
        <v/>
      </c>
      <c r="K33" s="14" t="str">
        <f t="shared" si="8"/>
        <v/>
      </c>
      <c r="L33" s="14" t="str">
        <f t="shared" si="8"/>
        <v/>
      </c>
    </row>
    <row r="34" spans="1:14" x14ac:dyDescent="0.35">
      <c r="A34" t="str">
        <f t="shared" si="3"/>
        <v xml:space="preserve">    Shared, Reserve Balance</v>
      </c>
      <c r="B34" s="53">
        <f>SUM(B24:C24)</f>
        <v>11.59116925</v>
      </c>
      <c r="C34" s="14">
        <f t="shared" si="5"/>
        <v>11.59116925</v>
      </c>
      <c r="D34" s="14">
        <f t="shared" ref="D34:L34" ca="1" si="9">IF(OR(D$27="",$A34=""),"",C125)</f>
        <v>11.59116925</v>
      </c>
      <c r="E34" s="14">
        <f t="shared" ca="1" si="9"/>
        <v>11.59116925</v>
      </c>
      <c r="F34" s="14">
        <f t="shared" ca="1" si="9"/>
        <v>11.59116925</v>
      </c>
      <c r="G34" s="14">
        <f t="shared" ca="1" si="9"/>
        <v>11.59116925</v>
      </c>
      <c r="H34" s="14" t="str">
        <f t="shared" si="9"/>
        <v/>
      </c>
      <c r="I34" s="14" t="str">
        <f t="shared" si="9"/>
        <v/>
      </c>
      <c r="J34" s="14" t="str">
        <f t="shared" si="9"/>
        <v/>
      </c>
      <c r="K34" s="14" t="str">
        <f t="shared" si="9"/>
        <v/>
      </c>
      <c r="L34" s="14" t="str">
        <f t="shared" si="9"/>
        <v/>
      </c>
      <c r="N34" t="s">
        <v>187</v>
      </c>
    </row>
    <row r="35" spans="1:14" x14ac:dyDescent="0.35">
      <c r="A35" t="str">
        <f t="shared" si="3"/>
        <v/>
      </c>
      <c r="B35" s="54"/>
      <c r="C35" s="14" t="str">
        <f t="shared" si="5"/>
        <v/>
      </c>
      <c r="D35" s="14" t="str">
        <f t="shared" ref="D35:L35" si="10">IF(OR(D$27="",$A35=""),"",C126)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213</v>
      </c>
      <c r="C36"/>
    </row>
    <row r="37" spans="1:14" x14ac:dyDescent="0.35">
      <c r="A37" t="s">
        <v>113</v>
      </c>
      <c r="C37" s="14">
        <f>IF(C$27&lt;&gt;"",B22,"")</f>
        <v>11</v>
      </c>
      <c r="D37" s="14">
        <f ca="1">IF(D$27&lt;&gt;"",C129,"")</f>
        <v>9.7099629186694187</v>
      </c>
      <c r="E37" s="14">
        <f t="shared" ref="E37:G37" ca="1" si="11">IF(E$27&lt;&gt;"",D129,"")</f>
        <v>9.074225522168831</v>
      </c>
      <c r="F37" s="14">
        <f t="shared" ca="1" si="11"/>
        <v>8.607177521919418</v>
      </c>
      <c r="G37" s="14">
        <f t="shared" ca="1" si="11"/>
        <v>8.2549676386697186</v>
      </c>
      <c r="H37" s="14" t="str">
        <f t="shared" ref="H37:L38" si="12">IF(H27&lt;&gt;"",$B37*H$29,"")</f>
        <v/>
      </c>
      <c r="I37" s="14" t="str">
        <f t="shared" si="12"/>
        <v/>
      </c>
      <c r="J37" s="14" t="str">
        <f t="shared" si="12"/>
        <v/>
      </c>
      <c r="K37" s="14" t="str">
        <f t="shared" si="12"/>
        <v/>
      </c>
      <c r="L37" s="14" t="str">
        <f t="shared" si="12"/>
        <v/>
      </c>
    </row>
    <row r="38" spans="1:14" x14ac:dyDescent="0.35">
      <c r="A38" t="s">
        <v>114</v>
      </c>
      <c r="C38" s="14">
        <f>IF(C$27&lt;&gt;"",C22,"")</f>
        <v>10.1</v>
      </c>
      <c r="D38" s="14">
        <f ca="1">IF(D$27&lt;&gt;"",C130,"")</f>
        <v>9.7099629186694187</v>
      </c>
      <c r="E38" s="14">
        <f t="shared" ref="E38:G38" ca="1" si="13">IF(E$27&lt;&gt;"",D130,"")</f>
        <v>9.074225522168831</v>
      </c>
      <c r="F38" s="14">
        <f t="shared" ca="1" si="13"/>
        <v>8.607177521919418</v>
      </c>
      <c r="G38" s="14">
        <f t="shared" ca="1" si="13"/>
        <v>8.2549676386697186</v>
      </c>
      <c r="H38" s="14" t="str">
        <f t="shared" si="12"/>
        <v/>
      </c>
      <c r="I38" s="14" t="str">
        <f t="shared" si="12"/>
        <v/>
      </c>
      <c r="J38" s="14" t="str">
        <f t="shared" si="12"/>
        <v/>
      </c>
      <c r="K38" s="14" t="str">
        <f t="shared" si="12"/>
        <v/>
      </c>
      <c r="L38" s="14" t="str">
        <f t="shared" si="12"/>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0.97147479300117312</v>
      </c>
      <c r="E39" s="14">
        <f ca="1">IF(E$27&lt;&gt;"",VLOOKUP(E37*1000000,'Powell-Elevation-Area'!$B$5:$D$689,3)*$B$21/1000000 + VLOOKUP(E38*1000000,'Mead-Elevation-Area'!$B$5:$D$676,3)*$C$21/1000000,"")</f>
        <v>0.93409600049882702</v>
      </c>
      <c r="F39" s="14">
        <f ca="1">IF(F$27&lt;&gt;"",VLOOKUP(F37*1000000,'Powell-Elevation-Area'!$B$5:$D$689,3)*$B$21/1000000 + VLOOKUP(F38*1000000,'Mead-Elevation-Area'!$B$5:$D$676,3)*$C$21/1000000,"")</f>
        <v>0.90441976649940004</v>
      </c>
      <c r="G39" s="14">
        <f ca="1">IF(G$27&lt;&gt;"",VLOOKUP(G37*1000000,'Powell-Elevation-Area'!$B$5:$D$689,3)*$B$21/1000000 + VLOOKUP(G38*1000000,'Mead-Elevation-Area'!$B$5:$D$676,3)*$C$21/1000000,"")</f>
        <v>0.88241909250000006</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4">IF(A6="","","    "&amp;A6&amp;" Share")</f>
        <v xml:space="preserve">    Upper Basin Share</v>
      </c>
      <c r="B40" s="1"/>
      <c r="C40" s="14">
        <f>IF(OR(C$27="",$A40=""),"",C$39*C30/C$29)</f>
        <v>0.24571184643515467</v>
      </c>
      <c r="D40" s="14">
        <f t="shared" ref="D40:L40" ca="1" si="15">IF(OR(D$27="",$A40=""),"",D$39*D30/D$29)</f>
        <v>0.15624487333927994</v>
      </c>
      <c r="E40" s="14">
        <f t="shared" ca="1" si="15"/>
        <v>9.0253456092850307E-2</v>
      </c>
      <c r="F40" s="14">
        <f t="shared" ca="1" si="15"/>
        <v>3.9971827824118102E-2</v>
      </c>
      <c r="G40" s="14">
        <f t="shared" ca="1" si="15"/>
        <v>2.7374683968953394E-2</v>
      </c>
      <c r="H40" s="14" t="str">
        <f t="shared" si="15"/>
        <v/>
      </c>
      <c r="I40" s="14" t="str">
        <f t="shared" si="15"/>
        <v/>
      </c>
      <c r="J40" s="14" t="str">
        <f t="shared" si="15"/>
        <v/>
      </c>
      <c r="K40" s="14" t="str">
        <f t="shared" si="15"/>
        <v/>
      </c>
      <c r="L40" s="14" t="str">
        <f t="shared" si="15"/>
        <v/>
      </c>
    </row>
    <row r="41" spans="1:14" x14ac:dyDescent="0.35">
      <c r="A41" t="str">
        <f t="shared" si="14"/>
        <v xml:space="preserve">    Lower Basin Share</v>
      </c>
      <c r="B41" s="1"/>
      <c r="C41" s="14">
        <f t="shared" ref="C41:L45" si="16">IF(OR(C$27="",$A41=""),"",C$39*C31/C$29)</f>
        <v>0.20638492544244763</v>
      </c>
      <c r="D41" s="14">
        <f t="shared" ca="1" si="16"/>
        <v>0.21764062244255028</v>
      </c>
      <c r="E41" s="14">
        <f t="shared" ca="1" si="16"/>
        <v>0.22232039631015266</v>
      </c>
      <c r="F41" s="14">
        <f t="shared" ca="1" si="16"/>
        <v>0.22563556637715235</v>
      </c>
      <c r="G41" s="14">
        <f t="shared" ca="1" si="16"/>
        <v>0.21167238824600731</v>
      </c>
      <c r="H41" s="14" t="str">
        <f t="shared" si="16"/>
        <v/>
      </c>
      <c r="I41" s="14" t="str">
        <f t="shared" si="16"/>
        <v/>
      </c>
      <c r="J41" s="14" t="str">
        <f t="shared" si="16"/>
        <v/>
      </c>
      <c r="K41" s="14" t="str">
        <f t="shared" si="16"/>
        <v/>
      </c>
      <c r="L41" s="14" t="str">
        <f t="shared" si="16"/>
        <v/>
      </c>
    </row>
    <row r="42" spans="1:14" x14ac:dyDescent="0.35">
      <c r="A42" t="str">
        <f t="shared" si="14"/>
        <v xml:space="preserve">    Mexico Share</v>
      </c>
      <c r="B42" s="1"/>
      <c r="C42" s="14">
        <f t="shared" si="16"/>
        <v>8.4270235222746598E-3</v>
      </c>
      <c r="D42" s="14">
        <f t="shared" ca="1" si="16"/>
        <v>1.7745231793788625E-2</v>
      </c>
      <c r="E42" s="14">
        <f t="shared" ca="1" si="16"/>
        <v>2.4927716368378879E-2</v>
      </c>
      <c r="F42" s="14">
        <f t="shared" ca="1" si="16"/>
        <v>2.9827454777674515E-2</v>
      </c>
      <c r="G42" s="14">
        <f t="shared" ca="1" si="16"/>
        <v>2.3849964093963717E-2</v>
      </c>
      <c r="H42" s="14" t="str">
        <f t="shared" si="16"/>
        <v/>
      </c>
      <c r="I42" s="14" t="str">
        <f t="shared" si="16"/>
        <v/>
      </c>
      <c r="J42" s="14" t="str">
        <f t="shared" si="16"/>
        <v/>
      </c>
      <c r="K42" s="14" t="str">
        <f t="shared" si="16"/>
        <v/>
      </c>
      <c r="L42" s="14" t="str">
        <f t="shared" si="16"/>
        <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t="str">
        <f t="shared" si="16"/>
        <v/>
      </c>
      <c r="I43" s="14" t="str">
        <f t="shared" si="16"/>
        <v/>
      </c>
      <c r="J43" s="14" t="str">
        <f t="shared" si="16"/>
        <v/>
      </c>
      <c r="K43" s="14" t="str">
        <f t="shared" si="16"/>
        <v/>
      </c>
      <c r="L43" s="14" t="str">
        <f t="shared" si="16"/>
        <v/>
      </c>
    </row>
    <row r="44" spans="1:14" x14ac:dyDescent="0.35">
      <c r="A44" t="str">
        <f t="shared" si="14"/>
        <v xml:space="preserve">    Shared, Reserve Share</v>
      </c>
      <c r="B44" s="1"/>
      <c r="C44" s="14">
        <f t="shared" si="16"/>
        <v>0.56137388460009618</v>
      </c>
      <c r="D44" s="14">
        <f t="shared" ca="1" si="16"/>
        <v>0.57984406542555433</v>
      </c>
      <c r="E44" s="14">
        <f t="shared" ca="1" si="16"/>
        <v>0.59659443172744531</v>
      </c>
      <c r="F44" s="14">
        <f t="shared" ca="1" si="16"/>
        <v>0.60898491752045525</v>
      </c>
      <c r="G44" s="14">
        <f t="shared" ca="1" si="16"/>
        <v>0.6195220561910757</v>
      </c>
      <c r="H44" s="14" t="str">
        <f t="shared" si="16"/>
        <v/>
      </c>
      <c r="I44" s="14" t="str">
        <f t="shared" si="16"/>
        <v/>
      </c>
      <c r="J44" s="14" t="str">
        <f t="shared" si="16"/>
        <v/>
      </c>
      <c r="K44" s="14" t="str">
        <f t="shared" si="16"/>
        <v/>
      </c>
      <c r="L44" s="14" t="str">
        <f t="shared" si="16"/>
        <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292</v>
      </c>
      <c r="B46" s="100"/>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197</v>
      </c>
      <c r="B47" s="1"/>
      <c r="C47" s="52">
        <f>IF(C27="","",SUM(C27:C28))</f>
        <v>11.8</v>
      </c>
      <c r="D47" s="52">
        <f t="shared" ref="D47:L47" si="17">IF(D27="","",SUM(D27:D28))</f>
        <v>11.8</v>
      </c>
      <c r="E47" s="52">
        <f t="shared" si="17"/>
        <v>11.8</v>
      </c>
      <c r="F47" s="52">
        <f t="shared" si="17"/>
        <v>11.8</v>
      </c>
      <c r="G47" s="52">
        <f t="shared" si="17"/>
        <v>11.8</v>
      </c>
      <c r="H47" s="52" t="str">
        <f t="shared" si="17"/>
        <v/>
      </c>
      <c r="I47" s="52" t="str">
        <f t="shared" si="17"/>
        <v/>
      </c>
      <c r="J47" s="52" t="str">
        <f t="shared" si="17"/>
        <v/>
      </c>
      <c r="K47" s="52" t="str">
        <f t="shared" si="17"/>
        <v/>
      </c>
      <c r="L47" s="52" t="str">
        <f t="shared" si="17"/>
        <v/>
      </c>
      <c r="M47" s="46"/>
      <c r="N47" s="46"/>
    </row>
    <row r="48" spans="1:14" x14ac:dyDescent="0.35">
      <c r="A48" t="str">
        <f>IF(A6="","","    To "&amp;A6)</f>
        <v xml:space="preserve">    To Upper Basin</v>
      </c>
      <c r="B48" s="24" t="s">
        <v>152</v>
      </c>
      <c r="C48" s="14">
        <f>IF(OR(C$27="",$A48=""),"",IF(C$47&gt;SUM(C49:C53),C$47-SUM(C49:C53),0))</f>
        <v>2.4956463910332864</v>
      </c>
      <c r="D48" s="14">
        <f t="shared" ref="D48:L48" ca="1" si="18">IF(OR(D$27="",$A48=""),"",IF(D$47&gt;SUM(D49:D53),D$47-SUM(D49:D53),0))</f>
        <v>2.4864113006205564</v>
      </c>
      <c r="E48" s="14">
        <f t="shared" ca="1" si="18"/>
        <v>2.4975361174696129</v>
      </c>
      <c r="F48" s="14">
        <f t="shared" ca="1" si="18"/>
        <v>2.4913408745731065</v>
      </c>
      <c r="G48" s="14">
        <f t="shared" ca="1" si="18"/>
        <v>2.4860723052377978</v>
      </c>
      <c r="H48" s="14" t="str">
        <f t="shared" si="18"/>
        <v/>
      </c>
      <c r="I48" s="14" t="str">
        <f t="shared" si="18"/>
        <v/>
      </c>
      <c r="J48" s="14" t="str">
        <f t="shared" si="18"/>
        <v/>
      </c>
      <c r="K48" s="14" t="str">
        <f t="shared" si="18"/>
        <v/>
      </c>
      <c r="L48" s="14" t="str">
        <f t="shared" si="18"/>
        <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6.6864113006205566</v>
      </c>
      <c r="E49" s="14">
        <f t="shared" ca="1" si="20"/>
        <v>6.6975361174696104</v>
      </c>
      <c r="F49" s="14">
        <f t="shared" ca="1" si="20"/>
        <v>6.6913408745731058</v>
      </c>
      <c r="G49" s="14">
        <f t="shared" ca="1" si="20"/>
        <v>6.6860723052377953</v>
      </c>
      <c r="H49" s="14" t="str">
        <f>IF(OR(H$27="",$A49=""),"",H28-H52/2-H51-H50/2+MIN($B49,H27-H50/2-H52/2))</f>
        <v/>
      </c>
      <c r="I49" s="14" t="str">
        <f t="shared" ref="I49" si="21">IF(OR(I$27="",$A49=""),"",I28-I52/2-I51-I50/2+MIN($B49,I27-I50/2-I52/2))</f>
        <v/>
      </c>
      <c r="J49" s="14" t="str">
        <f t="shared" ref="J49" si="22">IF(OR(J$27="",$A49=""),"",J28-J52/2-J51-J50/2+MIN($B49,J27-J50/2-J52/2))</f>
        <v/>
      </c>
      <c r="K49" s="14" t="str">
        <f t="shared" ref="K49" si="23">IF(OR(K$27="",$A49=""),"",K28-K52/2-K51-K50/2+MIN($B49,K27-K50/2-K52/2))</f>
        <v/>
      </c>
      <c r="L49" s="14" t="str">
        <f t="shared" ref="L49" si="24">IF(OR(L$27="",$A49=""),"",L28-L52/2-L51-L50/2+MIN($B49,L27-L50/2-L52/2))</f>
        <v/>
      </c>
      <c r="M49" s="29"/>
      <c r="N49" s="29"/>
    </row>
    <row r="50" spans="1:14" x14ac:dyDescent="0.35">
      <c r="A50" t="str">
        <f t="shared" si="19"/>
        <v xml:space="preserve">    To Mexico</v>
      </c>
      <c r="B50" s="44" t="s">
        <v>199</v>
      </c>
      <c r="C50" s="14">
        <f>IF(OR(C$27="",$A50=""),"",IF(C$47&gt;SUM(C51:C52,C46),C46,C$47-SUM(C51:C52)))</f>
        <v>1.4473333333333334</v>
      </c>
      <c r="D50" s="14">
        <f t="shared" ref="D50:L50" ca="1" si="25">IF(OR(D$27="",$A50=""),"",IF(D$47&gt;SUM(D51:D52,D46),D46,D$47-SUM(D51:D52)))</f>
        <v>1.4473333333333334</v>
      </c>
      <c r="E50" s="14">
        <f t="shared" ca="1" si="25"/>
        <v>1.4083333333333332</v>
      </c>
      <c r="F50" s="14">
        <f t="shared" ca="1" si="25"/>
        <v>1.4083333333333332</v>
      </c>
      <c r="G50" s="14">
        <f t="shared" ca="1" si="25"/>
        <v>1.4083333333333332</v>
      </c>
      <c r="H50" s="14" t="str">
        <f t="shared" si="25"/>
        <v/>
      </c>
      <c r="I50" s="14" t="str">
        <f t="shared" si="25"/>
        <v/>
      </c>
      <c r="J50" s="14" t="str">
        <f t="shared" si="25"/>
        <v/>
      </c>
      <c r="K50" s="14" t="str">
        <f t="shared" si="25"/>
        <v/>
      </c>
      <c r="L50" s="14" t="str">
        <f t="shared" si="25"/>
        <v/>
      </c>
      <c r="M50" s="29"/>
      <c r="N50" s="29"/>
    </row>
    <row r="51" spans="1:14" x14ac:dyDescent="0.35">
      <c r="A51" t="str">
        <f t="shared" si="19"/>
        <v xml:space="preserve">    To Mohave &amp; Havasu Evap &amp; ET</v>
      </c>
      <c r="B51" s="44">
        <v>0.6</v>
      </c>
      <c r="C51" s="14">
        <f>IF(OR(C$27="",$A51=""),"",IF(C$47&gt;C52+$B$51,$B51,C$47-C52))</f>
        <v>0.6</v>
      </c>
      <c r="D51" s="14">
        <f t="shared" ref="D51:L51" ca="1" si="26">IF(OR(D$27="",$A51=""),"",IF(D$47&gt;D52+$B$51,$B51,D$47-D52))</f>
        <v>0.6</v>
      </c>
      <c r="E51" s="14">
        <f t="shared" ca="1" si="26"/>
        <v>0.6</v>
      </c>
      <c r="F51" s="14">
        <f t="shared" ca="1" si="26"/>
        <v>0.6</v>
      </c>
      <c r="G51" s="14">
        <f t="shared" ca="1" si="26"/>
        <v>0.6</v>
      </c>
      <c r="H51" s="14" t="str">
        <f t="shared" si="26"/>
        <v/>
      </c>
      <c r="I51" s="14" t="str">
        <f t="shared" si="26"/>
        <v/>
      </c>
      <c r="J51" s="14" t="str">
        <f t="shared" si="26"/>
        <v/>
      </c>
      <c r="K51" s="14" t="str">
        <f t="shared" si="26"/>
        <v/>
      </c>
      <c r="L51" s="14" t="str">
        <f t="shared" si="26"/>
        <v/>
      </c>
      <c r="M51" s="29"/>
      <c r="N51" s="29"/>
    </row>
    <row r="52" spans="1:14" x14ac:dyDescent="0.35">
      <c r="A52" t="str">
        <f t="shared" si="19"/>
        <v xml:space="preserve">    To Shared, Reserve</v>
      </c>
      <c r="B52" s="44" t="s">
        <v>198</v>
      </c>
      <c r="C52" s="14">
        <f>IF(OR(C$27="",$A52=""),"",IF(C$47&gt;C44,C44,C$47))</f>
        <v>0.56137388460009618</v>
      </c>
      <c r="D52" s="14">
        <f t="shared" ref="D52:L52" ca="1" si="27">IF(OR(D$27="",$A52=""),"",IF(D$47&gt;D44,D44,D$47))</f>
        <v>0.57984406542555433</v>
      </c>
      <c r="E52" s="14">
        <f t="shared" ca="1" si="27"/>
        <v>0.59659443172744531</v>
      </c>
      <c r="F52" s="14">
        <f t="shared" ca="1" si="27"/>
        <v>0.60898491752045525</v>
      </c>
      <c r="G52" s="14">
        <f t="shared" ca="1" si="27"/>
        <v>0.6195220561910757</v>
      </c>
      <c r="H52" s="14" t="str">
        <f t="shared" si="27"/>
        <v/>
      </c>
      <c r="I52" s="14" t="str">
        <f t="shared" si="27"/>
        <v/>
      </c>
      <c r="J52" s="14" t="str">
        <f t="shared" si="27"/>
        <v/>
      </c>
      <c r="K52" s="14" t="str">
        <f t="shared" si="27"/>
        <v/>
      </c>
      <c r="L52" s="14" t="str">
        <f t="shared" si="27"/>
        <v/>
      </c>
      <c r="M52" s="29"/>
      <c r="N52" s="29"/>
    </row>
    <row r="53" spans="1:14" x14ac:dyDescent="0.35">
      <c r="A53" t="str">
        <f t="shared" si="19"/>
        <v/>
      </c>
      <c r="B53" s="44"/>
      <c r="C53" s="57" t="str">
        <f t="shared" ref="C53:L53" si="28">IF(OR(C$27="",$A53=""),"",IF(C$27&gt;$B53,$B53,C$27))</f>
        <v/>
      </c>
      <c r="D53" s="57" t="str">
        <f t="shared" si="28"/>
        <v/>
      </c>
      <c r="E53" s="57" t="str">
        <f t="shared" si="28"/>
        <v/>
      </c>
      <c r="F53" s="57" t="str">
        <f t="shared" si="28"/>
        <v/>
      </c>
      <c r="G53" s="57" t="str">
        <f t="shared" si="28"/>
        <v/>
      </c>
      <c r="H53" s="57" t="str">
        <f t="shared" si="28"/>
        <v/>
      </c>
      <c r="I53" s="57" t="str">
        <f t="shared" si="28"/>
        <v/>
      </c>
      <c r="J53" s="57" t="str">
        <f t="shared" si="28"/>
        <v/>
      </c>
      <c r="K53" s="57" t="str">
        <f t="shared" si="28"/>
        <v/>
      </c>
      <c r="L53" s="57" t="str">
        <f t="shared" si="28"/>
        <v/>
      </c>
      <c r="M53" s="29"/>
      <c r="N53" s="29"/>
    </row>
    <row r="54" spans="1:14" x14ac:dyDescent="0.35">
      <c r="C54"/>
    </row>
    <row r="55" spans="1:14" x14ac:dyDescent="0.35">
      <c r="A55" s="82" t="s">
        <v>192</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183</v>
      </c>
    </row>
    <row r="57" spans="1:14" x14ac:dyDescent="0.35">
      <c r="A57" s="32" t="str">
        <f>IF(A56="[Unused]","","   Volume of Sales(+) and Purchases(-) [maf]")</f>
        <v xml:space="preserve">   Volume of Sales(+) and Purchases(-) [maf]</v>
      </c>
      <c r="C57" s="25">
        <v>0.5</v>
      </c>
      <c r="D57" s="25">
        <v>0.4</v>
      </c>
      <c r="E57" s="25">
        <v>0.4</v>
      </c>
      <c r="F57" s="25">
        <v>-0.1</v>
      </c>
      <c r="G57" s="25">
        <v>-0.1</v>
      </c>
      <c r="H57" s="25"/>
      <c r="I57" s="25"/>
      <c r="J57" s="25"/>
      <c r="K57" s="25"/>
      <c r="L57" s="25"/>
      <c r="M57" s="78">
        <f>SUM(C57:L57)</f>
        <v>1.0999999999999999</v>
      </c>
      <c r="N57" t="str">
        <f>IF(A57="","","Add if multiple transactions, e.g.: 0.5 + 0.25")</f>
        <v>Add if multiple transactions, e.g.: 0.5 + 0.25</v>
      </c>
    </row>
    <row r="58" spans="1:14" x14ac:dyDescent="0.35">
      <c r="A58" s="32" t="str">
        <f>IF(A57="","","   Cash Intake(+) and Payments(-) [$ Mill]")</f>
        <v xml:space="preserve">   Cash Intake(+) and Payments(-) [$ Mill]</v>
      </c>
      <c r="C58" s="76">
        <f>350*C57</f>
        <v>175</v>
      </c>
      <c r="D58" s="76">
        <f t="shared" ref="D58:G58" si="29">350*D57</f>
        <v>140</v>
      </c>
      <c r="E58" s="76">
        <f t="shared" si="29"/>
        <v>140</v>
      </c>
      <c r="F58" s="76">
        <f t="shared" si="29"/>
        <v>-35</v>
      </c>
      <c r="G58" s="76">
        <f t="shared" si="29"/>
        <v>-35</v>
      </c>
      <c r="H58" s="76"/>
      <c r="I58" s="76"/>
      <c r="J58" s="76"/>
      <c r="K58" s="76"/>
      <c r="L58" s="76"/>
      <c r="M58" s="75">
        <f>SUM(C58:L58)</f>
        <v>385</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30">IF(OR(C$27="",$A59=""),"",C$112)</f>
        <v>0</v>
      </c>
      <c r="D59" s="78">
        <f t="shared" ca="1" si="30"/>
        <v>0</v>
      </c>
      <c r="E59" s="78">
        <f t="shared" ca="1" si="30"/>
        <v>0</v>
      </c>
      <c r="F59" s="78">
        <f t="shared" ca="1" si="30"/>
        <v>0</v>
      </c>
      <c r="G59" s="78">
        <f t="shared" ca="1" si="30"/>
        <v>0</v>
      </c>
      <c r="H59" s="78" t="str">
        <f t="shared" si="30"/>
        <v/>
      </c>
      <c r="I59" s="78" t="str">
        <f t="shared" si="30"/>
        <v/>
      </c>
      <c r="J59" s="78" t="str">
        <f t="shared" si="30"/>
        <v/>
      </c>
      <c r="K59" s="78" t="str">
        <f t="shared" si="30"/>
        <v/>
      </c>
      <c r="L59" s="78" t="str">
        <f t="shared" si="30"/>
        <v/>
      </c>
      <c r="M59" t="str">
        <f t="shared" si="30"/>
        <v/>
      </c>
      <c r="N59" t="str">
        <f>IF(A59="","","If non-zero, players need to change amount(s)")</f>
        <v>If non-zero, players need to change amount(s)</v>
      </c>
    </row>
    <row r="60" spans="1:14" x14ac:dyDescent="0.35">
      <c r="A60" s="1" t="str">
        <f>IF(A58="","","   Available Water [maf]")</f>
        <v xml:space="preserve">   Available Water [maf]</v>
      </c>
      <c r="C60" s="14">
        <f>IF(OR(C$27="",$A60=""),"",C30+C48-C40-C57)</f>
        <v>6.8233582945981315</v>
      </c>
      <c r="D60" s="14">
        <f t="shared" ref="D60:L60" ca="1" si="31">IF(OR(D$27="",$A60=""),"",D30+D48-D40-D57)</f>
        <v>5.0535247218794073</v>
      </c>
      <c r="E60" s="14">
        <f t="shared" ca="1" si="31"/>
        <v>3.7608073832561701</v>
      </c>
      <c r="F60" s="14">
        <f t="shared" ca="1" si="31"/>
        <v>3.3121764300051586</v>
      </c>
      <c r="G60" s="14">
        <f t="shared" ca="1" si="31"/>
        <v>3.0708740512740031</v>
      </c>
      <c r="H60" s="14" t="str">
        <f t="shared" si="31"/>
        <v/>
      </c>
      <c r="I60" s="14" t="str">
        <f t="shared" si="31"/>
        <v/>
      </c>
      <c r="J60" s="14" t="str">
        <f t="shared" si="31"/>
        <v/>
      </c>
      <c r="K60" s="14" t="str">
        <f t="shared" si="31"/>
        <v/>
      </c>
      <c r="L60" s="14" t="str">
        <f t="shared" si="3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3.7</v>
      </c>
      <c r="D61" s="43">
        <v>3.3</v>
      </c>
      <c r="E61" s="43">
        <v>3</v>
      </c>
      <c r="F61" s="43">
        <v>2.8</v>
      </c>
      <c r="G61" s="43">
        <v>2.7</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32">IF(OR(D$27="",$A62=""),"",D60-D61)</f>
        <v>1.7535247218794074</v>
      </c>
      <c r="E62" s="77">
        <f t="shared" ca="1" si="32"/>
        <v>0.76080738325617014</v>
      </c>
      <c r="F62" s="77">
        <f t="shared" ca="1" si="32"/>
        <v>0.51217643000515878</v>
      </c>
      <c r="G62" s="77">
        <f t="shared" ca="1" si="32"/>
        <v>0.37087405127400297</v>
      </c>
      <c r="H62" s="77" t="str">
        <f t="shared" si="32"/>
        <v/>
      </c>
      <c r="I62" s="77" t="str">
        <f t="shared" si="32"/>
        <v/>
      </c>
      <c r="J62" s="77" t="str">
        <f t="shared" si="32"/>
        <v/>
      </c>
      <c r="K62" s="77" t="str">
        <f t="shared" si="32"/>
        <v/>
      </c>
      <c r="L62" s="77" t="str">
        <f t="shared" si="32"/>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183</v>
      </c>
    </row>
    <row r="65" spans="1:14" x14ac:dyDescent="0.35">
      <c r="A65" s="32" t="str">
        <f>IF(A64="[Unused]","","   Volume of Sales(+) and Purchases(-) [maf]")</f>
        <v xml:space="preserve">   Volume of Sales(+) and Purchases(-) [maf]</v>
      </c>
      <c r="C65" s="25">
        <f>-C57</f>
        <v>-0.5</v>
      </c>
      <c r="D65" s="25">
        <f t="shared" ref="D65:E65" si="33">-D57</f>
        <v>-0.4</v>
      </c>
      <c r="E65" s="25">
        <f t="shared" si="33"/>
        <v>-0.4</v>
      </c>
      <c r="F65" s="25">
        <v>-0.1</v>
      </c>
      <c r="G65" s="25">
        <v>-0.1</v>
      </c>
      <c r="H65" s="25"/>
      <c r="I65" s="25"/>
      <c r="J65" s="25"/>
      <c r="K65" s="25"/>
      <c r="L65" s="25"/>
      <c r="M65" s="78">
        <f>SUM(C65:L65)</f>
        <v>-1.5000000000000002</v>
      </c>
      <c r="N65" t="str">
        <f>IF(A65="","",N57)</f>
        <v>Add if multiple transactions, e.g.: 0.5 + 0.25</v>
      </c>
    </row>
    <row r="66" spans="1:14" x14ac:dyDescent="0.35">
      <c r="A66" s="32" t="str">
        <f>IF(A65="","","   Cash Intake(+) and Payments(-) [$ Mill]")</f>
        <v xml:space="preserve">   Cash Intake(+) and Payments(-) [$ Mill]</v>
      </c>
      <c r="C66" s="76">
        <f>-C58</f>
        <v>-175</v>
      </c>
      <c r="D66" s="76">
        <f t="shared" ref="D66:E66" si="34">-D58</f>
        <v>-140</v>
      </c>
      <c r="E66" s="76">
        <f t="shared" si="34"/>
        <v>-140</v>
      </c>
      <c r="F66" s="76">
        <f>350*F65</f>
        <v>-35</v>
      </c>
      <c r="G66" s="76">
        <f>350*G65</f>
        <v>-35</v>
      </c>
      <c r="H66" s="76"/>
      <c r="I66" s="76"/>
      <c r="J66" s="76"/>
      <c r="K66" s="76"/>
      <c r="L66" s="76"/>
      <c r="M66" s="75">
        <f>SUM(C66:L66)</f>
        <v>-525</v>
      </c>
      <c r="N66" t="str">
        <f t="shared" ref="N66:N70" si="35">IF(A66="","",N58)</f>
        <v>Add if multiple transactions, e.g.: $350*0.5 + $450*0.25</v>
      </c>
    </row>
    <row r="67" spans="1:14" x14ac:dyDescent="0.35">
      <c r="A67" s="32" t="str">
        <f>IF(A66="","","   Volume all players (should be zero)")</f>
        <v xml:space="preserve">   Volume all players (should be zero)</v>
      </c>
      <c r="C67" s="78">
        <f t="shared" ref="C67:M67" ca="1" si="36">IF(OR(C$27="",$A67=""),"",C$112)</f>
        <v>0</v>
      </c>
      <c r="D67" s="78">
        <f t="shared" ca="1" si="36"/>
        <v>0</v>
      </c>
      <c r="E67" s="78">
        <f t="shared" ca="1" si="36"/>
        <v>0</v>
      </c>
      <c r="F67" s="78">
        <f t="shared" ca="1" si="36"/>
        <v>0</v>
      </c>
      <c r="G67" s="78">
        <f t="shared" ca="1" si="36"/>
        <v>0</v>
      </c>
      <c r="H67" s="78" t="str">
        <f t="shared" si="36"/>
        <v/>
      </c>
      <c r="I67" s="78" t="str">
        <f t="shared" si="36"/>
        <v/>
      </c>
      <c r="J67" s="78" t="str">
        <f t="shared" si="36"/>
        <v/>
      </c>
      <c r="K67" s="78" t="str">
        <f t="shared" si="36"/>
        <v/>
      </c>
      <c r="L67" s="78" t="str">
        <f t="shared" si="36"/>
        <v/>
      </c>
      <c r="M67" t="str">
        <f t="shared" si="36"/>
        <v/>
      </c>
      <c r="N67" t="str">
        <f t="shared" si="35"/>
        <v>If non-zero, players need to change amount(s)</v>
      </c>
    </row>
    <row r="68" spans="1:14" x14ac:dyDescent="0.35">
      <c r="A68" s="1" t="str">
        <f>IF(A66="","","   Available Water [maf]")</f>
        <v xml:space="preserve">   Available Water [maf]</v>
      </c>
      <c r="C68" s="14">
        <f t="shared" ref="C68:L68" si="37">IF(OR(C$27="",$A68=""),"",C31+C49-C41-C65)</f>
        <v>11.250668465590836</v>
      </c>
      <c r="D68" s="14">
        <f t="shared" ca="1" si="37"/>
        <v>11.219439143768842</v>
      </c>
      <c r="E68" s="14">
        <f t="shared" ca="1" si="37"/>
        <v>11.1946548649283</v>
      </c>
      <c r="F68" s="14">
        <f t="shared" ca="1" si="37"/>
        <v>10.860360173124253</v>
      </c>
      <c r="G68" s="14">
        <f t="shared" ca="1" si="37"/>
        <v>10.534760090116039</v>
      </c>
      <c r="H68" s="14" t="str">
        <f t="shared" si="37"/>
        <v/>
      </c>
      <c r="I68" s="14" t="str">
        <f t="shared" si="37"/>
        <v/>
      </c>
      <c r="J68" s="14" t="str">
        <f t="shared" si="37"/>
        <v/>
      </c>
      <c r="K68" s="14" t="str">
        <f t="shared" si="37"/>
        <v/>
      </c>
      <c r="L68" s="14" t="str">
        <f t="shared" si="37"/>
        <v/>
      </c>
      <c r="N68" t="str">
        <f t="shared" si="35"/>
        <v>Available water = Account Balance + Available Inflow - Evaporation + Sales - Purchases</v>
      </c>
    </row>
    <row r="69" spans="1:14" x14ac:dyDescent="0.35">
      <c r="A69" s="1" t="str">
        <f>IF(A68="","","   Account Withdraw [maf]")</f>
        <v xml:space="preserve">   Account Withdraw [maf]</v>
      </c>
      <c r="C69" s="43">
        <v>6.9</v>
      </c>
      <c r="D69" s="43">
        <v>6.9</v>
      </c>
      <c r="E69" s="43">
        <v>6.9</v>
      </c>
      <c r="F69" s="43">
        <v>6.9</v>
      </c>
      <c r="G69" s="43">
        <f t="shared" ref="G69" si="38">F69</f>
        <v>6.9</v>
      </c>
      <c r="H69" s="43"/>
      <c r="I69" s="43"/>
      <c r="J69" s="43"/>
      <c r="K69" s="43"/>
      <c r="L69" s="43"/>
      <c r="N69" t="str">
        <f t="shared" si="35"/>
        <v>Must be less than Available water</v>
      </c>
    </row>
    <row r="70" spans="1:14" x14ac:dyDescent="0.35">
      <c r="A70" s="32" t="str">
        <f>IF(A69="","","   End of Year Balance [maf]")</f>
        <v xml:space="preserve">   End of Year Balance [maf]</v>
      </c>
      <c r="C70" s="77">
        <f>IF(OR(C$27="",$A70=""),"",C68-C69)</f>
        <v>4.3506684655908359</v>
      </c>
      <c r="D70" s="77">
        <f t="shared" ref="D70:L70" ca="1" si="39">IF(OR(D$27="",$A70=""),"",D68-D69)</f>
        <v>4.3194391437688413</v>
      </c>
      <c r="E70" s="77">
        <f t="shared" ca="1" si="39"/>
        <v>4.2946548649282992</v>
      </c>
      <c r="F70" s="77">
        <f t="shared" ca="1" si="39"/>
        <v>3.9603601731242524</v>
      </c>
      <c r="G70" s="77">
        <f t="shared" ca="1" si="39"/>
        <v>3.6347600901160391</v>
      </c>
      <c r="H70" s="77" t="str">
        <f t="shared" si="39"/>
        <v/>
      </c>
      <c r="I70" s="77" t="str">
        <f t="shared" si="39"/>
        <v/>
      </c>
      <c r="J70" s="77" t="str">
        <f t="shared" si="39"/>
        <v/>
      </c>
      <c r="K70" s="77" t="str">
        <f t="shared" si="39"/>
        <v/>
      </c>
      <c r="L70" s="77" t="str">
        <f t="shared" si="39"/>
        <v/>
      </c>
      <c r="N70" t="str">
        <f t="shared" si="3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183</v>
      </c>
    </row>
    <row r="73" spans="1:14" x14ac:dyDescent="0.35">
      <c r="A73" s="32" t="str">
        <f>IF(A72="[Unused]","","   Volume of Sales(+) and Purchases(-) [maf]")</f>
        <v xml:space="preserve">   Volume of Sales(+) and Purchases(-) [maf]</v>
      </c>
      <c r="C73" s="25"/>
      <c r="D73" s="25"/>
      <c r="E73" s="25"/>
      <c r="F73" s="25">
        <v>0.2</v>
      </c>
      <c r="G73" s="25">
        <v>0.2</v>
      </c>
      <c r="H73" s="25"/>
      <c r="I73" s="25"/>
      <c r="J73" s="25"/>
      <c r="K73" s="25"/>
      <c r="L73" s="25"/>
      <c r="M73" s="78">
        <f>SUM(C73:L73)</f>
        <v>0.4</v>
      </c>
      <c r="N73" t="str">
        <f>IF(A73="","",N65)</f>
        <v>Add if multiple transactions, e.g.: 0.5 + 0.25</v>
      </c>
    </row>
    <row r="74" spans="1:14" x14ac:dyDescent="0.35">
      <c r="A74" s="32" t="str">
        <f>IF(A73="","","   Cash Intake(+) and Payments(-) [$ Mill]")</f>
        <v xml:space="preserve">   Cash Intake(+) and Payments(-) [$ Mill]</v>
      </c>
      <c r="C74" s="76"/>
      <c r="D74" s="76"/>
      <c r="E74" s="76"/>
      <c r="F74" s="76">
        <f>350*F73</f>
        <v>70</v>
      </c>
      <c r="G74" s="76">
        <f>350*G73</f>
        <v>70</v>
      </c>
      <c r="H74" s="76"/>
      <c r="I74" s="76"/>
      <c r="J74" s="76"/>
      <c r="K74" s="76"/>
      <c r="L74" s="76"/>
      <c r="M74" s="75">
        <f>SUM(C74:L74)</f>
        <v>140</v>
      </c>
      <c r="N74" t="str">
        <f t="shared" ref="N74:N78" si="40">IF(A74="","",N66)</f>
        <v>Add if multiple transactions, e.g.: $350*0.5 + $450*0.25</v>
      </c>
    </row>
    <row r="75" spans="1:14" x14ac:dyDescent="0.35">
      <c r="A75" s="32" t="str">
        <f>IF(A74="","","   Volume all players (should be zero)")</f>
        <v xml:space="preserve">   Volume all players (should be zero)</v>
      </c>
      <c r="C75" s="78">
        <f t="shared" ref="C75:M75" ca="1" si="41">IF(OR(C$27="",$A75=""),"",C$112)</f>
        <v>0</v>
      </c>
      <c r="D75" s="78">
        <f t="shared" ca="1" si="41"/>
        <v>0</v>
      </c>
      <c r="E75" s="78">
        <f t="shared" ca="1" si="41"/>
        <v>0</v>
      </c>
      <c r="F75" s="78">
        <f t="shared" ca="1" si="41"/>
        <v>0</v>
      </c>
      <c r="G75" s="78">
        <f t="shared" ca="1" si="41"/>
        <v>0</v>
      </c>
      <c r="H75" s="78" t="str">
        <f t="shared" si="41"/>
        <v/>
      </c>
      <c r="I75" s="78" t="str">
        <f t="shared" si="41"/>
        <v/>
      </c>
      <c r="J75" s="78" t="str">
        <f t="shared" si="41"/>
        <v/>
      </c>
      <c r="K75" s="78" t="str">
        <f t="shared" si="41"/>
        <v/>
      </c>
      <c r="L75" s="78" t="str">
        <f t="shared" si="41"/>
        <v/>
      </c>
      <c r="M75" t="str">
        <f t="shared" si="41"/>
        <v/>
      </c>
      <c r="N75" t="str">
        <f t="shared" si="40"/>
        <v>If non-zero, players need to change amount(s)</v>
      </c>
    </row>
    <row r="76" spans="1:14" x14ac:dyDescent="0.35">
      <c r="A76" s="1" t="str">
        <f>IF(A74="","","   Available Water [maf]")</f>
        <v xml:space="preserve">   Available Water [maf]</v>
      </c>
      <c r="C76" s="14">
        <f t="shared" ref="C76:L76" si="42">IF(OR(C$27="",$A76=""),"",C32+C50-C42-C73)</f>
        <v>1.6129063098110585</v>
      </c>
      <c r="D76" s="14">
        <f t="shared" ca="1" si="42"/>
        <v>1.7843179286894151</v>
      </c>
      <c r="E76" s="14">
        <f t="shared" ca="1" si="42"/>
        <v>1.8677235456543693</v>
      </c>
      <c r="F76" s="14">
        <f ca="1">IF(OR(F$27="",$A76=""),"",F32+F50-F42-F73)</f>
        <v>1.746229424210028</v>
      </c>
      <c r="G76" s="14">
        <f t="shared" ca="1" si="42"/>
        <v>1.6307127934493975</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43">
        <v>1.2581764826611881</v>
      </c>
      <c r="D77" s="43">
        <v>1.3</v>
      </c>
      <c r="E77" s="43">
        <v>1.3</v>
      </c>
      <c r="F77" s="43">
        <v>1.3</v>
      </c>
      <c r="G77" s="43">
        <v>1.3</v>
      </c>
      <c r="H77" s="43"/>
      <c r="I77" s="43"/>
      <c r="J77" s="43"/>
      <c r="K77" s="43"/>
      <c r="L77" s="43"/>
      <c r="N77" t="str">
        <f t="shared" si="40"/>
        <v>Must be less than Available water</v>
      </c>
    </row>
    <row r="78" spans="1:14" x14ac:dyDescent="0.35">
      <c r="A78" s="32" t="str">
        <f>IF(A77="","","   End of Year Balance [maf]")</f>
        <v xml:space="preserve">   End of Year Balance [maf]</v>
      </c>
      <c r="C78" s="77">
        <f>IF(OR(C$27="",$A78=""),"",C76-C77)</f>
        <v>0.35472982714987045</v>
      </c>
      <c r="D78" s="77">
        <f t="shared" ref="D78:L78" ca="1" si="43">IF(OR(D$27="",$A78=""),"",D76-D77)</f>
        <v>0.48431792868941503</v>
      </c>
      <c r="E78" s="77">
        <f t="shared" ca="1" si="43"/>
        <v>0.56772354565436922</v>
      </c>
      <c r="F78" s="77">
        <f t="shared" ca="1" si="43"/>
        <v>0.44622942421002798</v>
      </c>
      <c r="G78" s="77">
        <f t="shared" ca="1" si="43"/>
        <v>0.33071279344939741</v>
      </c>
      <c r="H78" s="77" t="str">
        <f t="shared" si="43"/>
        <v/>
      </c>
      <c r="I78" s="77" t="str">
        <f t="shared" si="43"/>
        <v/>
      </c>
      <c r="J78" s="77" t="str">
        <f t="shared" si="43"/>
        <v/>
      </c>
      <c r="K78" s="77" t="str">
        <f t="shared" si="43"/>
        <v/>
      </c>
      <c r="L78" s="77" t="str">
        <f t="shared" si="43"/>
        <v/>
      </c>
      <c r="N78" t="str">
        <f t="shared" si="40"/>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183</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44">IF(A82="","",N74)</f>
        <v>Add if multiple transactions, e.g.: $350*0.5 + $450*0.25</v>
      </c>
    </row>
    <row r="83" spans="1:14" x14ac:dyDescent="0.35">
      <c r="A83" s="32" t="str">
        <f>IF(A82="","","   Volume all players (should be zero)")</f>
        <v xml:space="preserve">   Volume all players (should be zero)</v>
      </c>
      <c r="C83" s="78">
        <f t="shared" ref="C83:M83" ca="1" si="45">IF(OR(C$27="",$A83=""),"",C$112)</f>
        <v>0</v>
      </c>
      <c r="D83" s="78">
        <f t="shared" ca="1" si="45"/>
        <v>0</v>
      </c>
      <c r="E83" s="78">
        <f t="shared" ca="1" si="45"/>
        <v>0</v>
      </c>
      <c r="F83" s="78">
        <f t="shared" ca="1" si="45"/>
        <v>0</v>
      </c>
      <c r="G83" s="78">
        <f t="shared" ca="1" si="45"/>
        <v>0</v>
      </c>
      <c r="H83" s="78" t="str">
        <f t="shared" si="45"/>
        <v/>
      </c>
      <c r="I83" s="78" t="str">
        <f t="shared" si="45"/>
        <v/>
      </c>
      <c r="J83" s="78" t="str">
        <f t="shared" si="45"/>
        <v/>
      </c>
      <c r="K83" s="78" t="str">
        <f t="shared" si="45"/>
        <v/>
      </c>
      <c r="L83" s="78" t="str">
        <f t="shared" si="45"/>
        <v/>
      </c>
      <c r="M83" t="str">
        <f t="shared" si="45"/>
        <v/>
      </c>
      <c r="N83" t="str">
        <f t="shared" si="44"/>
        <v>If non-zero, players need to change amount(s)</v>
      </c>
    </row>
    <row r="84" spans="1:14" x14ac:dyDescent="0.35">
      <c r="A84" s="1" t="str">
        <f>IF(A82="","","   Available Water [maf]")</f>
        <v xml:space="preserve">   Available Water [maf]</v>
      </c>
      <c r="C84" s="14">
        <f t="shared" ref="C84:L84" si="46">IF(OR(C$27="",$A84=""),"",C33+C51-C43-C81)</f>
        <v>0.6</v>
      </c>
      <c r="D84" s="14">
        <f t="shared" ca="1" si="46"/>
        <v>0.6</v>
      </c>
      <c r="E84" s="14">
        <f t="shared" ca="1" si="46"/>
        <v>0.6</v>
      </c>
      <c r="F84" s="14">
        <f t="shared" ca="1" si="46"/>
        <v>0.6</v>
      </c>
      <c r="G84" s="14">
        <f t="shared" ca="1" si="46"/>
        <v>0.6</v>
      </c>
      <c r="H84" s="14" t="str">
        <f t="shared" si="46"/>
        <v/>
      </c>
      <c r="I84" s="14" t="str">
        <f t="shared" si="46"/>
        <v/>
      </c>
      <c r="J84" s="14" t="str">
        <f t="shared" si="46"/>
        <v/>
      </c>
      <c r="K84" s="14" t="str">
        <f t="shared" si="46"/>
        <v/>
      </c>
      <c r="L84" s="14" t="str">
        <f t="shared" si="46"/>
        <v/>
      </c>
      <c r="N84" t="str">
        <f t="shared" si="44"/>
        <v>Available water = Account Balance + Available Inflow - Evaporation + Sales - Purchases</v>
      </c>
    </row>
    <row r="85" spans="1:14" x14ac:dyDescent="0.35">
      <c r="A85" s="1" t="str">
        <f>IF(A84="","","   Account Withdraw [maf]")</f>
        <v xml:space="preserve">   Account Withdraw [maf]</v>
      </c>
      <c r="C85" s="43">
        <f>C84</f>
        <v>0.6</v>
      </c>
      <c r="D85" s="43">
        <f t="shared" ref="D85:G85" ca="1" si="47">D84</f>
        <v>0.6</v>
      </c>
      <c r="E85" s="43">
        <f t="shared" ca="1" si="47"/>
        <v>0.6</v>
      </c>
      <c r="F85" s="43">
        <f t="shared" ca="1" si="47"/>
        <v>0.6</v>
      </c>
      <c r="G85" s="43">
        <f t="shared" ca="1" si="47"/>
        <v>0.6</v>
      </c>
      <c r="H85" s="43"/>
      <c r="I85" s="43"/>
      <c r="J85" s="43"/>
      <c r="K85" s="43"/>
      <c r="L85" s="43"/>
      <c r="N85" t="str">
        <f t="shared" si="44"/>
        <v>Must be less than Available water</v>
      </c>
    </row>
    <row r="86" spans="1:14" x14ac:dyDescent="0.35">
      <c r="A86" s="32" t="str">
        <f>IF(A85="","","   End of Year Balance [maf]")</f>
        <v xml:space="preserve">   End of Year Balance [maf]</v>
      </c>
      <c r="C86" s="77">
        <f>IF(OR(C$27="",$A86=""),"",C84-C85)</f>
        <v>0</v>
      </c>
      <c r="D86" s="77">
        <f t="shared" ref="D86" ca="1" si="48">IF(OR(D$27="",$A86=""),"",D84-D85)</f>
        <v>0</v>
      </c>
      <c r="E86" s="77">
        <f t="shared" ref="E86" ca="1" si="49">IF(OR(E$27="",$A86=""),"",E84-E85)</f>
        <v>0</v>
      </c>
      <c r="F86" s="77">
        <f t="shared" ref="F86" ca="1" si="50">IF(OR(F$27="",$A86=""),"",F84-F85)</f>
        <v>0</v>
      </c>
      <c r="G86" s="77">
        <f t="shared" ref="G86" ca="1" si="51">IF(OR(G$27="",$A86=""),"",G84-G85)</f>
        <v>0</v>
      </c>
      <c r="H86" s="77" t="str">
        <f t="shared" ref="H86" si="52">IF(OR(H$27="",$A86=""),"",H84-H85)</f>
        <v/>
      </c>
      <c r="I86" s="77" t="str">
        <f t="shared" ref="I86" si="53">IF(OR(I$27="",$A86=""),"",I84-I85)</f>
        <v/>
      </c>
      <c r="J86" s="77" t="str">
        <f t="shared" ref="J86" si="54">IF(OR(J$27="",$A86=""),"",J84-J85)</f>
        <v/>
      </c>
      <c r="K86" s="77" t="str">
        <f t="shared" ref="K86" si="55">IF(OR(K$27="",$A86=""),"",K84-K85)</f>
        <v/>
      </c>
      <c r="L86" s="77" t="str">
        <f t="shared" ref="L86" si="56">IF(OR(L$27="",$A86=""),"",L84-L85)</f>
        <v/>
      </c>
      <c r="N86" t="str">
        <f t="shared" si="4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183</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57">IF(A90="","",N82)</f>
        <v>Add if multiple transactions, e.g.: $350*0.5 + $450*0.25</v>
      </c>
    </row>
    <row r="91" spans="1:14" x14ac:dyDescent="0.35">
      <c r="A91" s="32" t="str">
        <f>IF(A90="","","   Volume all players (should be zero)")</f>
        <v xml:space="preserve">   Volume all players (should be zero)</v>
      </c>
      <c r="C91" s="78">
        <f t="shared" ref="C91:M91" ca="1" si="58">IF(OR(C$27="",$A91=""),"",C$112)</f>
        <v>0</v>
      </c>
      <c r="D91" s="78">
        <f t="shared" ca="1" si="58"/>
        <v>0</v>
      </c>
      <c r="E91" s="78">
        <f t="shared" ca="1" si="58"/>
        <v>0</v>
      </c>
      <c r="F91" s="78">
        <f t="shared" ca="1" si="58"/>
        <v>0</v>
      </c>
      <c r="G91" s="78">
        <f t="shared" ca="1" si="58"/>
        <v>0</v>
      </c>
      <c r="H91" s="78" t="str">
        <f t="shared" si="58"/>
        <v/>
      </c>
      <c r="I91" s="78" t="str">
        <f t="shared" si="58"/>
        <v/>
      </c>
      <c r="J91" s="78" t="str">
        <f t="shared" si="58"/>
        <v/>
      </c>
      <c r="K91" s="78" t="str">
        <f t="shared" si="58"/>
        <v/>
      </c>
      <c r="L91" s="78" t="str">
        <f t="shared" si="58"/>
        <v/>
      </c>
      <c r="M91" t="str">
        <f t="shared" si="58"/>
        <v/>
      </c>
      <c r="N91" t="str">
        <f t="shared" si="57"/>
        <v>If non-zero, players need to change amount(s)</v>
      </c>
    </row>
    <row r="92" spans="1:14" x14ac:dyDescent="0.35">
      <c r="A92" s="1" t="str">
        <f>IF(A90="","","   Available Water [maf]")</f>
        <v xml:space="preserve">   Available Water [maf]</v>
      </c>
      <c r="C92" s="14">
        <f t="shared" ref="C92:L92" si="59">IF(OR(C$27="",$A92=""),"",C34+C52-C44-C89)</f>
        <v>11.59116925</v>
      </c>
      <c r="D92" s="14">
        <f t="shared" ca="1" si="59"/>
        <v>11.59116925</v>
      </c>
      <c r="E92" s="14">
        <f t="shared" ca="1" si="59"/>
        <v>11.59116925</v>
      </c>
      <c r="F92" s="14">
        <f t="shared" ca="1" si="59"/>
        <v>11.59116925</v>
      </c>
      <c r="G92" s="14">
        <f t="shared" ca="1" si="59"/>
        <v>11.59116925</v>
      </c>
      <c r="H92" s="14" t="str">
        <f t="shared" si="59"/>
        <v/>
      </c>
      <c r="I92" s="14" t="str">
        <f t="shared" si="59"/>
        <v/>
      </c>
      <c r="J92" s="14" t="str">
        <f t="shared" si="59"/>
        <v/>
      </c>
      <c r="K92" s="14" t="str">
        <f t="shared" si="59"/>
        <v/>
      </c>
      <c r="L92" s="14" t="str">
        <f t="shared" si="59"/>
        <v/>
      </c>
      <c r="N92" t="str">
        <f t="shared" si="57"/>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7"/>
        <v>Must be less than Available water</v>
      </c>
    </row>
    <row r="94" spans="1:14" x14ac:dyDescent="0.35">
      <c r="A94" s="32" t="str">
        <f>IF(A93="","","   End of Year Balance [maf]")</f>
        <v xml:space="preserve">   End of Year Balance [maf]</v>
      </c>
      <c r="C94" s="77">
        <f>IF(OR(C$27="",$A94=""),"",C92-C93)</f>
        <v>11.59116925</v>
      </c>
      <c r="D94" s="77">
        <f t="shared" ref="D94" ca="1" si="60">IF(OR(D$27="",$A94=""),"",D92-D93)</f>
        <v>11.59116925</v>
      </c>
      <c r="E94" s="77">
        <f t="shared" ref="E94" ca="1" si="61">IF(OR(E$27="",$A94=""),"",E92-E93)</f>
        <v>11.59116925</v>
      </c>
      <c r="F94" s="77">
        <f t="shared" ref="F94" ca="1" si="62">IF(OR(F$27="",$A94=""),"",F92-F93)</f>
        <v>11.59116925</v>
      </c>
      <c r="G94" s="77">
        <f t="shared" ref="G94" ca="1" si="63">IF(OR(G$27="",$A94=""),"",G92-G93)</f>
        <v>11.59116925</v>
      </c>
      <c r="H94" s="77" t="str">
        <f t="shared" ref="H94" si="64">IF(OR(H$27="",$A94=""),"",H92-H93)</f>
        <v/>
      </c>
      <c r="I94" s="77" t="str">
        <f t="shared" ref="I94" si="65">IF(OR(I$27="",$A94=""),"",I92-I93)</f>
        <v/>
      </c>
      <c r="J94" s="77" t="str">
        <f t="shared" ref="J94" si="66">IF(OR(J$27="",$A94=""),"",J92-J93)</f>
        <v/>
      </c>
      <c r="K94" s="77" t="str">
        <f t="shared" ref="K94" si="67">IF(OR(K$27="",$A94=""),"",K92-K93)</f>
        <v/>
      </c>
      <c r="L94" s="77" t="str">
        <f t="shared" ref="L94" si="68">IF(OR(L$27="",$A94=""),"",L92-L93)</f>
        <v/>
      </c>
      <c r="N94" t="str">
        <f t="shared" si="57"/>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183</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69">IF(A98="","",N90)</f>
        <v/>
      </c>
    </row>
    <row r="99" spans="1:14" x14ac:dyDescent="0.35">
      <c r="A99" s="32" t="str">
        <f>IF(A98="","","   Volume all players (should be zero)")</f>
        <v/>
      </c>
      <c r="C99" s="78" t="str">
        <f t="shared" ref="C99:M99" si="70">IF(OR(C$27="",$A99=""),"",C$112)</f>
        <v/>
      </c>
      <c r="D99" s="78" t="str">
        <f t="shared" si="70"/>
        <v/>
      </c>
      <c r="E99" s="78" t="str">
        <f t="shared" si="70"/>
        <v/>
      </c>
      <c r="F99" s="78" t="str">
        <f t="shared" si="70"/>
        <v/>
      </c>
      <c r="G99" s="78" t="str">
        <f t="shared" si="70"/>
        <v/>
      </c>
      <c r="H99" s="78" t="str">
        <f t="shared" si="70"/>
        <v/>
      </c>
      <c r="I99" s="78" t="str">
        <f t="shared" si="70"/>
        <v/>
      </c>
      <c r="J99" s="78" t="str">
        <f t="shared" si="70"/>
        <v/>
      </c>
      <c r="K99" s="78" t="str">
        <f t="shared" si="70"/>
        <v/>
      </c>
      <c r="L99" s="78" t="str">
        <f t="shared" si="70"/>
        <v/>
      </c>
      <c r="M99" t="str">
        <f t="shared" si="70"/>
        <v/>
      </c>
      <c r="N99" t="str">
        <f t="shared" si="69"/>
        <v/>
      </c>
    </row>
    <row r="100" spans="1:14" x14ac:dyDescent="0.35">
      <c r="A100" s="1" t="str">
        <f>IF(A98="","","   Available Water [maf]")</f>
        <v/>
      </c>
      <c r="C100" s="14" t="str">
        <f t="shared" ref="C100:L100" si="71">IF(OR(C$27="",$A100=""),"",C35+C53-C45-C97)</f>
        <v/>
      </c>
      <c r="D100" s="14" t="str">
        <f t="shared" si="71"/>
        <v/>
      </c>
      <c r="E100" s="14" t="str">
        <f t="shared" si="71"/>
        <v/>
      </c>
      <c r="F100" s="14" t="str">
        <f t="shared" si="71"/>
        <v/>
      </c>
      <c r="G100" s="14" t="str">
        <f t="shared" si="71"/>
        <v/>
      </c>
      <c r="H100" s="14" t="str">
        <f t="shared" si="71"/>
        <v/>
      </c>
      <c r="I100" s="14" t="str">
        <f t="shared" si="71"/>
        <v/>
      </c>
      <c r="J100" s="14" t="str">
        <f t="shared" si="71"/>
        <v/>
      </c>
      <c r="K100" s="14" t="str">
        <f t="shared" si="71"/>
        <v/>
      </c>
      <c r="L100" s="14" t="str">
        <f t="shared" si="71"/>
        <v/>
      </c>
      <c r="N100" t="str">
        <f t="shared" si="69"/>
        <v/>
      </c>
    </row>
    <row r="101" spans="1:14" x14ac:dyDescent="0.35">
      <c r="A101" s="1" t="str">
        <f>IF(A100="","","   Account Withdraw [maf]")</f>
        <v/>
      </c>
      <c r="C101" s="43"/>
      <c r="D101" s="43"/>
      <c r="E101" s="43"/>
      <c r="F101" s="43"/>
      <c r="G101" s="43"/>
      <c r="H101" s="43"/>
      <c r="I101" s="43"/>
      <c r="J101" s="43"/>
      <c r="K101" s="43"/>
      <c r="L101" s="43"/>
      <c r="N101" t="str">
        <f t="shared" si="69"/>
        <v/>
      </c>
    </row>
    <row r="102" spans="1:14" x14ac:dyDescent="0.35">
      <c r="A102" s="32" t="str">
        <f>IF(A101="","","   End of Year Balance [maf]")</f>
        <v/>
      </c>
      <c r="C102" s="77" t="str">
        <f>IF(OR(C$27="",$A102=""),"",C100-C101)</f>
        <v/>
      </c>
      <c r="D102" s="77" t="str">
        <f t="shared" ref="D102" si="72">IF(OR(D$27="",$A102=""),"",D100-D101)</f>
        <v/>
      </c>
      <c r="E102" s="77" t="str">
        <f t="shared" ref="E102" si="73">IF(OR(E$27="",$A102=""),"",E100-E101)</f>
        <v/>
      </c>
      <c r="F102" s="77" t="str">
        <f t="shared" ref="F102" si="74">IF(OR(F$27="",$A102=""),"",F100-F101)</f>
        <v/>
      </c>
      <c r="G102" s="77" t="str">
        <f t="shared" ref="G102" si="75">IF(OR(G$27="",$A102=""),"",G100-G101)</f>
        <v/>
      </c>
      <c r="H102" s="77" t="str">
        <f t="shared" ref="H102" si="76">IF(OR(H$27="",$A102=""),"",H100-H101)</f>
        <v/>
      </c>
      <c r="I102" s="77" t="str">
        <f t="shared" ref="I102" si="77">IF(OR(I$27="",$A102=""),"",I100-I101)</f>
        <v/>
      </c>
      <c r="J102" s="77" t="str">
        <f t="shared" ref="J102" si="78">IF(OR(J$27="",$A102=""),"",J100-J101)</f>
        <v/>
      </c>
      <c r="K102" s="77" t="str">
        <f t="shared" ref="K102" si="79">IF(OR(K$27="",$A102=""),"",K100-K101)</f>
        <v/>
      </c>
      <c r="L102" s="77" t="str">
        <f t="shared" ref="L102" si="80">IF(OR(L$27="",$A102=""),"",L100-L101)</f>
        <v/>
      </c>
      <c r="N102" t="str">
        <f t="shared" si="69"/>
        <v/>
      </c>
    </row>
    <row r="103" spans="1:14" x14ac:dyDescent="0.35">
      <c r="C103"/>
    </row>
    <row r="104" spans="1:14" x14ac:dyDescent="0.35">
      <c r="A104" s="82" t="s">
        <v>194</v>
      </c>
      <c r="B104" s="83"/>
      <c r="C104" s="83"/>
      <c r="D104" s="83"/>
      <c r="E104" s="83"/>
      <c r="F104" s="83"/>
      <c r="G104" s="83"/>
      <c r="H104" s="83"/>
      <c r="I104" s="83"/>
      <c r="J104" s="83"/>
      <c r="K104" s="83"/>
      <c r="L104" s="83"/>
      <c r="M104" s="83"/>
      <c r="N104" s="83"/>
    </row>
    <row r="105" spans="1:14" x14ac:dyDescent="0.35">
      <c r="A105" s="1" t="s">
        <v>155</v>
      </c>
      <c r="C105"/>
      <c r="M105" t="s">
        <v>193</v>
      </c>
      <c r="N105" t="s">
        <v>156</v>
      </c>
    </row>
    <row r="106" spans="1:14" x14ac:dyDescent="0.35">
      <c r="A106" t="str">
        <f t="shared" ref="A106:A111" si="81">IF(A6="","","    "&amp;A6)</f>
        <v xml:space="preserve">    Upper Basin</v>
      </c>
      <c r="B106" s="1"/>
      <c r="C106" s="78">
        <f t="shared" ref="C106:L106" ca="1" si="82">IF(OR(C$27="",$A106=""),"",OFFSET(C$57,8*(ROW(B106)-ROW(B$106)),0))</f>
        <v>0.5</v>
      </c>
      <c r="D106" s="78">
        <f t="shared" ca="1" si="82"/>
        <v>0.4</v>
      </c>
      <c r="E106" s="78">
        <f t="shared" ca="1" si="82"/>
        <v>0.4</v>
      </c>
      <c r="F106" s="78">
        <f t="shared" ca="1" si="82"/>
        <v>-0.1</v>
      </c>
      <c r="G106" s="78">
        <f t="shared" ca="1" si="82"/>
        <v>-0.1</v>
      </c>
      <c r="H106" s="78" t="str">
        <f t="shared" ca="1" si="82"/>
        <v/>
      </c>
      <c r="I106" s="78" t="str">
        <f t="shared" ca="1" si="82"/>
        <v/>
      </c>
      <c r="J106" s="78" t="str">
        <f t="shared" ca="1" si="82"/>
        <v/>
      </c>
      <c r="K106" s="78" t="str">
        <f t="shared" ca="1" si="82"/>
        <v/>
      </c>
      <c r="L106" s="78" t="str">
        <f t="shared" ca="1" si="82"/>
        <v/>
      </c>
      <c r="M106" s="78">
        <f ca="1">IF(OR($A106=""),"",SUM(C106:L106))</f>
        <v>1.0999999999999999</v>
      </c>
      <c r="N106" s="75">
        <f>IF(OR($A106=""),"",M58)</f>
        <v>385</v>
      </c>
    </row>
    <row r="107" spans="1:14" x14ac:dyDescent="0.35">
      <c r="A107" t="str">
        <f t="shared" si="81"/>
        <v xml:space="preserve">    Lower Basin</v>
      </c>
      <c r="B107" s="1"/>
      <c r="C107" s="78">
        <f t="shared" ref="C107:L107" ca="1" si="83">IF(OR(C$27="",$A107=""),"",OFFSET(C$57,8*(ROW(B107)-ROW(B$106)),0))</f>
        <v>-0.5</v>
      </c>
      <c r="D107" s="78">
        <f t="shared" ca="1" si="83"/>
        <v>-0.4</v>
      </c>
      <c r="E107" s="78">
        <f t="shared" ca="1" si="83"/>
        <v>-0.4</v>
      </c>
      <c r="F107" s="78">
        <f t="shared" ca="1" si="83"/>
        <v>-0.1</v>
      </c>
      <c r="G107" s="78">
        <f t="shared" ca="1" si="83"/>
        <v>-0.1</v>
      </c>
      <c r="H107" s="78" t="str">
        <f t="shared" ca="1" si="83"/>
        <v/>
      </c>
      <c r="I107" s="78" t="str">
        <f t="shared" ca="1" si="83"/>
        <v/>
      </c>
      <c r="J107" s="78" t="str">
        <f t="shared" ca="1" si="83"/>
        <v/>
      </c>
      <c r="K107" s="78" t="str">
        <f t="shared" ca="1" si="83"/>
        <v/>
      </c>
      <c r="L107" s="78" t="str">
        <f t="shared" ca="1" si="83"/>
        <v/>
      </c>
      <c r="M107" s="78">
        <f t="shared" ref="M107:M111" ca="1" si="84">IF(OR($A107=""),"",SUM(C107:L107))</f>
        <v>-1.5000000000000002</v>
      </c>
      <c r="N107" s="75">
        <f>IF(OR($A107=""),"",M66)</f>
        <v>-525</v>
      </c>
    </row>
    <row r="108" spans="1:14" x14ac:dyDescent="0.35">
      <c r="A108" t="str">
        <f t="shared" si="81"/>
        <v xml:space="preserve">    Mexico</v>
      </c>
      <c r="B108" s="1"/>
      <c r="C108" s="78">
        <f t="shared" ref="C108:L108" ca="1" si="85">IF(OR(C$27="",$A108=""),"",OFFSET(C$57,8*(ROW(B108)-ROW(B$106)),0))</f>
        <v>0</v>
      </c>
      <c r="D108" s="78">
        <f t="shared" ca="1" si="85"/>
        <v>0</v>
      </c>
      <c r="E108" s="78">
        <f t="shared" ca="1" si="85"/>
        <v>0</v>
      </c>
      <c r="F108" s="78">
        <f t="shared" ca="1" si="85"/>
        <v>0.2</v>
      </c>
      <c r="G108" s="78">
        <f t="shared" ca="1" si="85"/>
        <v>0.2</v>
      </c>
      <c r="H108" s="78" t="str">
        <f t="shared" ca="1" si="85"/>
        <v/>
      </c>
      <c r="I108" s="78" t="str">
        <f t="shared" ca="1" si="85"/>
        <v/>
      </c>
      <c r="J108" s="78" t="str">
        <f t="shared" ca="1" si="85"/>
        <v/>
      </c>
      <c r="K108" s="78" t="str">
        <f t="shared" ca="1" si="85"/>
        <v/>
      </c>
      <c r="L108" s="78" t="str">
        <f t="shared" ca="1" si="85"/>
        <v/>
      </c>
      <c r="M108" s="78">
        <f t="shared" ca="1" si="84"/>
        <v>0.4</v>
      </c>
      <c r="N108" s="75">
        <f>IF(OR($A108=""),"",M74)</f>
        <v>140</v>
      </c>
    </row>
    <row r="109" spans="1:14" x14ac:dyDescent="0.35">
      <c r="A109" t="str">
        <f t="shared" si="81"/>
        <v xml:space="preserve">    Mohave &amp; Havasu Evap &amp; ET</v>
      </c>
      <c r="B109" s="1"/>
      <c r="C109" s="78">
        <f t="shared" ref="C109:L109" ca="1" si="86">IF(OR(C$27="",$A109=""),"",OFFSET(C$57,8*(ROW(B109)-ROW(B$106)),0))</f>
        <v>0</v>
      </c>
      <c r="D109" s="78">
        <f t="shared" ca="1" si="86"/>
        <v>0</v>
      </c>
      <c r="E109" s="78">
        <f t="shared" ca="1" si="86"/>
        <v>0</v>
      </c>
      <c r="F109" s="78">
        <f t="shared" ca="1" si="86"/>
        <v>0</v>
      </c>
      <c r="G109" s="78">
        <f t="shared" ca="1" si="86"/>
        <v>0</v>
      </c>
      <c r="H109" s="78" t="str">
        <f t="shared" ca="1" si="86"/>
        <v/>
      </c>
      <c r="I109" s="78" t="str">
        <f t="shared" ca="1" si="86"/>
        <v/>
      </c>
      <c r="J109" s="78" t="str">
        <f t="shared" ca="1" si="86"/>
        <v/>
      </c>
      <c r="K109" s="78" t="str">
        <f t="shared" ca="1" si="86"/>
        <v/>
      </c>
      <c r="L109" s="78" t="str">
        <f t="shared" ca="1" si="86"/>
        <v/>
      </c>
      <c r="M109" s="78">
        <f t="shared" ca="1" si="84"/>
        <v>0</v>
      </c>
      <c r="N109" s="75">
        <f>IF(OR($A109=""),"",M82)</f>
        <v>0</v>
      </c>
    </row>
    <row r="110" spans="1:14" x14ac:dyDescent="0.35">
      <c r="A110" t="str">
        <f t="shared" si="81"/>
        <v xml:space="preserve">    Shared, Reserve</v>
      </c>
      <c r="B110" s="1"/>
      <c r="C110" s="78">
        <f t="shared" ref="C110:L110" ca="1" si="87">IF(OR(C$27="",$A110=""),"",OFFSET(C$57,8*(ROW(B110)-ROW(B$106)),0))</f>
        <v>0</v>
      </c>
      <c r="D110" s="78">
        <f t="shared" ca="1" si="87"/>
        <v>0</v>
      </c>
      <c r="E110" s="78">
        <f t="shared" ca="1" si="87"/>
        <v>0</v>
      </c>
      <c r="F110" s="78">
        <f t="shared" ca="1" si="87"/>
        <v>0</v>
      </c>
      <c r="G110" s="78">
        <f t="shared" ca="1" si="87"/>
        <v>0</v>
      </c>
      <c r="H110" s="78" t="str">
        <f t="shared" ca="1" si="87"/>
        <v/>
      </c>
      <c r="I110" s="78" t="str">
        <f t="shared" ca="1" si="87"/>
        <v/>
      </c>
      <c r="J110" s="78" t="str">
        <f t="shared" ca="1" si="87"/>
        <v/>
      </c>
      <c r="K110" s="78" t="str">
        <f t="shared" ca="1" si="87"/>
        <v/>
      </c>
      <c r="L110" s="78" t="str">
        <f t="shared" ca="1" si="87"/>
        <v/>
      </c>
      <c r="M110" s="78">
        <f t="shared" ca="1" si="84"/>
        <v>0</v>
      </c>
      <c r="N110" s="75">
        <f>IF(OR($A110=""),"",M90)</f>
        <v>0</v>
      </c>
    </row>
    <row r="111" spans="1:14" x14ac:dyDescent="0.35">
      <c r="A111" t="str">
        <f t="shared" si="81"/>
        <v/>
      </c>
      <c r="B111" s="1"/>
      <c r="C111" s="78" t="str">
        <f t="shared" ref="C111:L111" ca="1" si="88">IF(OR(C$27="",$A111=""),"",OFFSET(C$57,8*(ROW(B111)-ROW(B$106)),0))</f>
        <v/>
      </c>
      <c r="D111" s="78" t="str">
        <f t="shared" ca="1" si="88"/>
        <v/>
      </c>
      <c r="E111" s="78" t="str">
        <f t="shared" ca="1" si="88"/>
        <v/>
      </c>
      <c r="F111" s="78" t="str">
        <f t="shared" ca="1" si="88"/>
        <v/>
      </c>
      <c r="G111" s="78" t="str">
        <f t="shared" ca="1" si="88"/>
        <v/>
      </c>
      <c r="H111" s="78" t="str">
        <f t="shared" ca="1" si="88"/>
        <v/>
      </c>
      <c r="I111" s="78" t="str">
        <f t="shared" ca="1" si="88"/>
        <v/>
      </c>
      <c r="J111" s="78" t="str">
        <f t="shared" ca="1" si="88"/>
        <v/>
      </c>
      <c r="K111" s="78" t="str">
        <f t="shared" ca="1" si="88"/>
        <v/>
      </c>
      <c r="L111" s="78" t="str">
        <f t="shared" ca="1" si="88"/>
        <v/>
      </c>
      <c r="M111" s="78" t="str">
        <f t="shared" si="84"/>
        <v/>
      </c>
      <c r="N111" s="75" t="str">
        <f>IF(OR($A111=""),"",M98)</f>
        <v/>
      </c>
    </row>
    <row r="112" spans="1:14" x14ac:dyDescent="0.35">
      <c r="A112" t="s">
        <v>151</v>
      </c>
      <c r="B112" s="1"/>
      <c r="C112" s="52">
        <f ca="1">IF(C$27&lt;&gt;"",SUM(C106:C111),"")</f>
        <v>0</v>
      </c>
      <c r="D112" s="52">
        <f t="shared" ref="D112:L112" ca="1" si="89">IF(D$27&lt;&gt;"",SUM(D106:D111),"")</f>
        <v>0</v>
      </c>
      <c r="E112" s="52">
        <f t="shared" ca="1" si="89"/>
        <v>0</v>
      </c>
      <c r="F112" s="52">
        <f t="shared" ca="1" si="89"/>
        <v>0</v>
      </c>
      <c r="G112" s="52">
        <f t="shared" ca="1" si="89"/>
        <v>0</v>
      </c>
      <c r="H112" s="52" t="str">
        <f t="shared" si="89"/>
        <v/>
      </c>
      <c r="I112" s="52" t="str">
        <f t="shared" si="89"/>
        <v/>
      </c>
      <c r="J112" s="52" t="str">
        <f t="shared" si="89"/>
        <v/>
      </c>
      <c r="K112" s="52" t="str">
        <f t="shared" si="89"/>
        <v/>
      </c>
      <c r="L112" s="52" t="str">
        <f t="shared" si="8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90">IF(OR(C$27="",$A114=""),"",OFFSET(C$61,8*(ROW(B114)-ROW(B$114)),0))</f>
        <v>3.7</v>
      </c>
      <c r="D114" s="78">
        <f t="shared" ca="1" si="90"/>
        <v>3.3</v>
      </c>
      <c r="E114" s="78">
        <f t="shared" ca="1" si="90"/>
        <v>3</v>
      </c>
      <c r="F114" s="78">
        <f t="shared" ca="1" si="90"/>
        <v>2.8</v>
      </c>
      <c r="G114" s="78">
        <f t="shared" ca="1" si="90"/>
        <v>2.7</v>
      </c>
      <c r="H114" s="78" t="str">
        <f t="shared" ca="1" si="90"/>
        <v/>
      </c>
      <c r="I114" s="78" t="str">
        <f t="shared" ca="1" si="90"/>
        <v/>
      </c>
      <c r="J114" s="78" t="str">
        <f t="shared" ca="1" si="90"/>
        <v/>
      </c>
      <c r="K114" s="78" t="str">
        <f t="shared" ca="1" si="90"/>
        <v/>
      </c>
      <c r="L114" s="78" t="str">
        <f t="shared" ca="1" si="90"/>
        <v/>
      </c>
    </row>
    <row r="115" spans="1:12" x14ac:dyDescent="0.35">
      <c r="A115" t="str">
        <f>IF(A7="","","    "&amp;A7&amp;" - Release from Mead")</f>
        <v xml:space="preserve">    Lower Basin - Release from Mead</v>
      </c>
      <c r="C115" s="78">
        <f t="shared" ref="C115:L115" ca="1" si="91">IF(OR(C$27="",$A115=""),"",OFFSET(C$61,8*(ROW(B115)-ROW(B$114)),0))</f>
        <v>6.9</v>
      </c>
      <c r="D115" s="78">
        <f t="shared" ca="1" si="91"/>
        <v>6.9</v>
      </c>
      <c r="E115" s="78">
        <f t="shared" ca="1" si="91"/>
        <v>6.9</v>
      </c>
      <c r="F115" s="78">
        <f t="shared" ca="1" si="91"/>
        <v>6.9</v>
      </c>
      <c r="G115" s="78">
        <f t="shared" ca="1" si="91"/>
        <v>6.9</v>
      </c>
      <c r="H115" s="78" t="str">
        <f t="shared" ca="1" si="91"/>
        <v/>
      </c>
      <c r="I115" s="78" t="str">
        <f t="shared" ca="1" si="91"/>
        <v/>
      </c>
      <c r="J115" s="78" t="str">
        <f t="shared" ca="1" si="91"/>
        <v/>
      </c>
      <c r="K115" s="78" t="str">
        <f t="shared" ca="1" si="91"/>
        <v/>
      </c>
      <c r="L115" s="78" t="str">
        <f t="shared" ca="1" si="91"/>
        <v/>
      </c>
    </row>
    <row r="116" spans="1:12" x14ac:dyDescent="0.35">
      <c r="A116" t="str">
        <f>IF(A8="","","    "&amp;A8&amp;" - Release from Mead")</f>
        <v xml:space="preserve">    Mexico - Release from Mead</v>
      </c>
      <c r="C116" s="78">
        <f t="shared" ref="C116:L116" ca="1" si="92">IF(OR(C$27="",$A116=""),"",OFFSET(C$61,8*(ROW(B116)-ROW(B$114)),0))</f>
        <v>1.2581764826611881</v>
      </c>
      <c r="D116" s="78">
        <f t="shared" ca="1" si="92"/>
        <v>1.3</v>
      </c>
      <c r="E116" s="78">
        <f t="shared" ca="1" si="92"/>
        <v>1.3</v>
      </c>
      <c r="F116" s="78">
        <f t="shared" ca="1" si="92"/>
        <v>1.3</v>
      </c>
      <c r="G116" s="78">
        <f t="shared" ca="1" si="92"/>
        <v>1.3</v>
      </c>
      <c r="H116" s="78" t="str">
        <f t="shared" ca="1" si="92"/>
        <v/>
      </c>
      <c r="I116" s="78" t="str">
        <f t="shared" ca="1" si="92"/>
        <v/>
      </c>
      <c r="J116" s="78" t="str">
        <f t="shared" ca="1" si="92"/>
        <v/>
      </c>
      <c r="K116" s="78" t="str">
        <f t="shared" ca="1" si="92"/>
        <v/>
      </c>
      <c r="L116" s="78" t="str">
        <f t="shared" ca="1" si="92"/>
        <v/>
      </c>
    </row>
    <row r="117" spans="1:12" x14ac:dyDescent="0.35">
      <c r="A117" t="str">
        <f>IF(A9="","","    "&amp;A9&amp;" - Release from Mead")</f>
        <v xml:space="preserve">    Mohave &amp; Havasu Evap &amp; ET - Release from Mead</v>
      </c>
      <c r="C117" s="78">
        <f t="shared" ref="C117:L117" ca="1" si="93">IF(OR(C$27="",$A117=""),"",OFFSET(C$61,8*(ROW(B117)-ROW(B$114)),0))</f>
        <v>0.6</v>
      </c>
      <c r="D117" s="78">
        <f t="shared" ca="1" si="93"/>
        <v>0.6</v>
      </c>
      <c r="E117" s="78">
        <f t="shared" ca="1" si="93"/>
        <v>0.6</v>
      </c>
      <c r="F117" s="78">
        <f t="shared" ca="1" si="93"/>
        <v>0.6</v>
      </c>
      <c r="G117" s="78">
        <f t="shared" ca="1" si="93"/>
        <v>0.6</v>
      </c>
      <c r="H117" s="78" t="str">
        <f t="shared" ca="1" si="93"/>
        <v/>
      </c>
      <c r="I117" s="78" t="str">
        <f t="shared" ca="1" si="93"/>
        <v/>
      </c>
      <c r="J117" s="78" t="str">
        <f t="shared" ca="1" si="93"/>
        <v/>
      </c>
      <c r="K117" s="78" t="str">
        <f t="shared" ca="1" si="93"/>
        <v/>
      </c>
      <c r="L117" s="78" t="str">
        <f t="shared" ca="1" si="93"/>
        <v/>
      </c>
    </row>
    <row r="118" spans="1:12" x14ac:dyDescent="0.35">
      <c r="A118" t="str">
        <f>IF(A10="","","    "&amp;A10&amp;" - Release from Mead")</f>
        <v xml:space="preserve">    Shared, Reserve - Release from Mead</v>
      </c>
      <c r="C118" s="78">
        <f t="shared" ref="C118:L118" ca="1" si="94">IF(OR(C$27="",$A118=""),"",OFFSET(C$61,8*(ROW(B118)-ROW(B$114)),0))</f>
        <v>0</v>
      </c>
      <c r="D118" s="78">
        <f t="shared" ca="1" si="94"/>
        <v>0</v>
      </c>
      <c r="E118" s="78">
        <f t="shared" ca="1" si="94"/>
        <v>0</v>
      </c>
      <c r="F118" s="78">
        <f t="shared" ca="1" si="94"/>
        <v>0</v>
      </c>
      <c r="G118" s="78">
        <f t="shared" ca="1" si="94"/>
        <v>0</v>
      </c>
      <c r="H118" s="78" t="str">
        <f t="shared" ca="1" si="94"/>
        <v/>
      </c>
      <c r="I118" s="78" t="str">
        <f t="shared" ca="1" si="94"/>
        <v/>
      </c>
      <c r="J118" s="78" t="str">
        <f t="shared" ca="1" si="94"/>
        <v/>
      </c>
      <c r="K118" s="78" t="str">
        <f t="shared" ca="1" si="94"/>
        <v/>
      </c>
      <c r="L118" s="78" t="str">
        <f t="shared" ca="1" si="94"/>
        <v/>
      </c>
    </row>
    <row r="119" spans="1:12" x14ac:dyDescent="0.35">
      <c r="A119" t="str">
        <f>IF(A11="","","    "&amp;A11&amp;" - Release from Mead")</f>
        <v/>
      </c>
      <c r="C119" s="78" t="str">
        <f t="shared" ref="C119:L119" ca="1" si="95">IF(OR(C$27="",$A119=""),"",OFFSET(C$61,8*(ROW(B119)-ROW(B$114)),0))</f>
        <v/>
      </c>
      <c r="D119" s="78" t="str">
        <f t="shared" ca="1" si="95"/>
        <v/>
      </c>
      <c r="E119" s="78" t="str">
        <f t="shared" ca="1" si="95"/>
        <v/>
      </c>
      <c r="F119" s="78" t="str">
        <f t="shared" ca="1" si="95"/>
        <v/>
      </c>
      <c r="G119" s="78" t="str">
        <f t="shared" ca="1" si="95"/>
        <v/>
      </c>
      <c r="H119" s="78" t="str">
        <f t="shared" ca="1" si="95"/>
        <v/>
      </c>
      <c r="I119" s="78" t="str">
        <f t="shared" ca="1" si="95"/>
        <v/>
      </c>
      <c r="J119" s="78" t="str">
        <f t="shared" ca="1" si="95"/>
        <v/>
      </c>
      <c r="K119" s="78" t="str">
        <f t="shared" ca="1" si="95"/>
        <v/>
      </c>
      <c r="L119" s="78" t="str">
        <f t="shared" ca="1" si="95"/>
        <v/>
      </c>
    </row>
    <row r="120" spans="1:12" x14ac:dyDescent="0.35">
      <c r="A120" s="1" t="s">
        <v>139</v>
      </c>
      <c r="B120" s="1"/>
      <c r="D120" s="2"/>
      <c r="E120" s="2"/>
      <c r="F120" s="2"/>
      <c r="G120" s="2"/>
      <c r="H120" s="2"/>
      <c r="I120" s="2"/>
      <c r="J120" s="2"/>
      <c r="K120" s="2"/>
      <c r="L120" s="2"/>
    </row>
    <row r="121" spans="1:12" x14ac:dyDescent="0.35">
      <c r="A121" t="str">
        <f t="shared" ref="A121:A126" si="96">IF(A6="","","    "&amp;A6)</f>
        <v xml:space="preserve">    Upper Basin</v>
      </c>
      <c r="C121" s="78">
        <f t="shared" ref="C121:L121" ca="1" si="97">IF(OR(C$27="",$A121=""),"",OFFSET(C$62,8*(ROW(B121)-ROW(B$121)),0))</f>
        <v>3.1233582945981313</v>
      </c>
      <c r="D121" s="78">
        <f t="shared" ca="1" si="97"/>
        <v>1.7535247218794074</v>
      </c>
      <c r="E121" s="78">
        <f t="shared" ca="1" si="97"/>
        <v>0.76080738325617014</v>
      </c>
      <c r="F121" s="78">
        <f t="shared" ca="1" si="97"/>
        <v>0.51217643000515878</v>
      </c>
      <c r="G121" s="78">
        <f t="shared" ca="1" si="97"/>
        <v>0.37087405127400297</v>
      </c>
      <c r="H121" s="78" t="str">
        <f t="shared" ca="1" si="97"/>
        <v/>
      </c>
      <c r="I121" s="78" t="str">
        <f t="shared" ca="1" si="97"/>
        <v/>
      </c>
      <c r="J121" s="78" t="str">
        <f t="shared" ca="1" si="97"/>
        <v/>
      </c>
      <c r="K121" s="78" t="str">
        <f t="shared" ca="1" si="97"/>
        <v/>
      </c>
      <c r="L121" s="78" t="str">
        <f t="shared" ca="1" si="97"/>
        <v/>
      </c>
    </row>
    <row r="122" spans="1:12" x14ac:dyDescent="0.35">
      <c r="A122" t="str">
        <f t="shared" si="96"/>
        <v xml:space="preserve">    Lower Basin</v>
      </c>
      <c r="C122" s="78">
        <f t="shared" ref="C122:L122" ca="1" si="98">IF(OR(C$27="",$A122=""),"",OFFSET(C$62,8*(ROW(B122)-ROW(B$121)),0))</f>
        <v>4.3506684655908359</v>
      </c>
      <c r="D122" s="78">
        <f t="shared" ca="1" si="98"/>
        <v>4.3194391437688413</v>
      </c>
      <c r="E122" s="78">
        <f t="shared" ca="1" si="98"/>
        <v>4.2946548649282992</v>
      </c>
      <c r="F122" s="78">
        <f t="shared" ca="1" si="98"/>
        <v>3.9603601731242524</v>
      </c>
      <c r="G122" s="78">
        <f t="shared" ca="1" si="98"/>
        <v>3.6347600901160391</v>
      </c>
      <c r="H122" s="78" t="str">
        <f t="shared" ca="1" si="98"/>
        <v/>
      </c>
      <c r="I122" s="78" t="str">
        <f t="shared" ca="1" si="98"/>
        <v/>
      </c>
      <c r="J122" s="78" t="str">
        <f t="shared" ca="1" si="98"/>
        <v/>
      </c>
      <c r="K122" s="78" t="str">
        <f t="shared" ca="1" si="98"/>
        <v/>
      </c>
      <c r="L122" s="78" t="str">
        <f t="shared" ca="1" si="98"/>
        <v/>
      </c>
    </row>
    <row r="123" spans="1:12" x14ac:dyDescent="0.35">
      <c r="A123" t="str">
        <f t="shared" si="96"/>
        <v xml:space="preserve">    Mexico</v>
      </c>
      <c r="C123" s="78">
        <f t="shared" ref="C123:L123" ca="1" si="99">IF(OR(C$27="",$A123=""),"",OFFSET(C$62,8*(ROW(B123)-ROW(B$121)),0))</f>
        <v>0.35472982714987045</v>
      </c>
      <c r="D123" s="78">
        <f t="shared" ca="1" si="99"/>
        <v>0.48431792868941503</v>
      </c>
      <c r="E123" s="78">
        <f t="shared" ca="1" si="99"/>
        <v>0.56772354565436922</v>
      </c>
      <c r="F123" s="78">
        <f t="shared" ca="1" si="99"/>
        <v>0.44622942421002798</v>
      </c>
      <c r="G123" s="78">
        <f t="shared" ca="1" si="99"/>
        <v>0.33071279344939741</v>
      </c>
      <c r="H123" s="78" t="str">
        <f t="shared" ca="1" si="99"/>
        <v/>
      </c>
      <c r="I123" s="78" t="str">
        <f t="shared" ca="1" si="99"/>
        <v/>
      </c>
      <c r="J123" s="78" t="str">
        <f t="shared" ca="1" si="99"/>
        <v/>
      </c>
      <c r="K123" s="78" t="str">
        <f t="shared" ca="1" si="99"/>
        <v/>
      </c>
      <c r="L123" s="78" t="str">
        <f t="shared" ca="1" si="99"/>
        <v/>
      </c>
    </row>
    <row r="124" spans="1:12" x14ac:dyDescent="0.35">
      <c r="A124" t="str">
        <f t="shared" si="96"/>
        <v xml:space="preserve">    Mohave &amp; Havasu Evap &amp; ET</v>
      </c>
      <c r="C124" s="78">
        <f t="shared" ref="C124:L124" ca="1" si="100">IF(OR(C$27="",$A124=""),"",OFFSET(C$62,8*(ROW(B124)-ROW(B$121)),0))</f>
        <v>0</v>
      </c>
      <c r="D124" s="78">
        <f t="shared" ca="1" si="100"/>
        <v>0</v>
      </c>
      <c r="E124" s="78">
        <f t="shared" ca="1" si="100"/>
        <v>0</v>
      </c>
      <c r="F124" s="78">
        <f t="shared" ca="1" si="100"/>
        <v>0</v>
      </c>
      <c r="G124" s="78">
        <f t="shared" ca="1" si="100"/>
        <v>0</v>
      </c>
      <c r="H124" s="78" t="str">
        <f t="shared" ca="1" si="100"/>
        <v/>
      </c>
      <c r="I124" s="78" t="str">
        <f t="shared" ca="1" si="100"/>
        <v/>
      </c>
      <c r="J124" s="78" t="str">
        <f t="shared" ca="1" si="100"/>
        <v/>
      </c>
      <c r="K124" s="78" t="str">
        <f t="shared" ca="1" si="100"/>
        <v/>
      </c>
      <c r="L124" s="78" t="str">
        <f t="shared" ca="1" si="100"/>
        <v/>
      </c>
    </row>
    <row r="125" spans="1:12" x14ac:dyDescent="0.35">
      <c r="A125" t="str">
        <f t="shared" si="96"/>
        <v xml:space="preserve">    Shared, Reserve</v>
      </c>
      <c r="C125" s="78">
        <f t="shared" ref="C125:L125" ca="1" si="101">IF(OR(C$27="",$A125=""),"",OFFSET(C$62,8*(ROW(B125)-ROW(B$121)),0))</f>
        <v>11.59116925</v>
      </c>
      <c r="D125" s="78">
        <f t="shared" ca="1" si="101"/>
        <v>11.59116925</v>
      </c>
      <c r="E125" s="78">
        <f t="shared" ca="1" si="101"/>
        <v>11.59116925</v>
      </c>
      <c r="F125" s="78">
        <f t="shared" ca="1" si="101"/>
        <v>11.59116925</v>
      </c>
      <c r="G125" s="78">
        <f t="shared" ca="1" si="101"/>
        <v>11.59116925</v>
      </c>
      <c r="H125" s="78" t="str">
        <f t="shared" ca="1" si="101"/>
        <v/>
      </c>
      <c r="I125" s="78" t="str">
        <f t="shared" ca="1" si="101"/>
        <v/>
      </c>
      <c r="J125" s="78" t="str">
        <f t="shared" ca="1" si="101"/>
        <v/>
      </c>
      <c r="K125" s="78" t="str">
        <f t="shared" ca="1" si="101"/>
        <v/>
      </c>
      <c r="L125" s="78" t="str">
        <f t="shared" ca="1" si="101"/>
        <v/>
      </c>
    </row>
    <row r="126" spans="1:12" x14ac:dyDescent="0.35">
      <c r="A126" t="str">
        <f t="shared" si="96"/>
        <v/>
      </c>
      <c r="C126" s="78" t="str">
        <f t="shared" ref="C126:L126" ca="1" si="102">IF(OR(C$27="",$A126=""),"",OFFSET(C$62,8*(ROW(B126)-ROW(B$121)),0))</f>
        <v/>
      </c>
      <c r="D126" s="78" t="str">
        <f t="shared" ca="1" si="102"/>
        <v/>
      </c>
      <c r="E126" s="78" t="str">
        <f t="shared" ca="1" si="102"/>
        <v/>
      </c>
      <c r="F126" s="78" t="str">
        <f t="shared" ca="1" si="102"/>
        <v/>
      </c>
      <c r="G126" s="78" t="str">
        <f t="shared" ca="1" si="102"/>
        <v/>
      </c>
      <c r="H126" s="78" t="str">
        <f t="shared" ca="1" si="102"/>
        <v/>
      </c>
      <c r="I126" s="78" t="str">
        <f t="shared" ca="1" si="102"/>
        <v/>
      </c>
      <c r="J126" s="78" t="str">
        <f t="shared" ca="1" si="102"/>
        <v/>
      </c>
      <c r="K126" s="78" t="str">
        <f t="shared" ca="1" si="102"/>
        <v/>
      </c>
      <c r="L126" s="78" t="str">
        <f t="shared" ca="1" si="102"/>
        <v/>
      </c>
    </row>
    <row r="127" spans="1:12" x14ac:dyDescent="0.35">
      <c r="A127" s="1" t="s">
        <v>123</v>
      </c>
      <c r="B127" s="1"/>
      <c r="C127" s="14">
        <f ca="1">IF(C$27&lt;&gt;"",SUM(C121:C126),"")</f>
        <v>19.419925837338837</v>
      </c>
      <c r="D127" s="14">
        <f t="shared" ref="D127:L127" ca="1" si="103">IF(D$27&lt;&gt;"",SUM(D121:D126),"")</f>
        <v>18.148451044337662</v>
      </c>
      <c r="E127" s="14">
        <f t="shared" ca="1" si="103"/>
        <v>17.214355043838836</v>
      </c>
      <c r="F127" s="14">
        <f t="shared" ca="1" si="103"/>
        <v>16.509935277339437</v>
      </c>
      <c r="G127" s="14">
        <f t="shared" ca="1" si="103"/>
        <v>15.927516184839439</v>
      </c>
      <c r="H127" s="14" t="str">
        <f t="shared" si="103"/>
        <v/>
      </c>
      <c r="I127" s="14" t="str">
        <f t="shared" si="103"/>
        <v/>
      </c>
      <c r="J127" s="14" t="str">
        <f t="shared" si="103"/>
        <v/>
      </c>
      <c r="K127" s="14" t="str">
        <f t="shared" si="103"/>
        <v/>
      </c>
      <c r="L127" s="14" t="str">
        <f t="shared" si="103"/>
        <v/>
      </c>
    </row>
    <row r="128" spans="1:12" x14ac:dyDescent="0.35">
      <c r="A128" s="1" t="s">
        <v>214</v>
      </c>
      <c r="B128" s="1"/>
      <c r="C128" s="87">
        <v>0.5</v>
      </c>
      <c r="D128" s="87">
        <v>0.5</v>
      </c>
      <c r="E128" s="87">
        <v>0.5</v>
      </c>
      <c r="F128" s="87">
        <v>0.5</v>
      </c>
      <c r="G128" s="87">
        <v>0.5</v>
      </c>
      <c r="H128" s="87"/>
      <c r="I128" s="87"/>
      <c r="J128" s="87"/>
      <c r="K128" s="87"/>
      <c r="L128" s="87"/>
    </row>
    <row r="129" spans="1:14" x14ac:dyDescent="0.35">
      <c r="A129" s="1" t="s">
        <v>210</v>
      </c>
      <c r="B129" s="1"/>
      <c r="C129" s="14">
        <f ca="1">IF(C27="","",C$128*C$127)</f>
        <v>9.7099629186694187</v>
      </c>
      <c r="D129" s="14">
        <f t="shared" ref="D129:L129" ca="1" si="104">IF(D27="","",D$128*D$127)</f>
        <v>9.074225522168831</v>
      </c>
      <c r="E129" s="14">
        <f t="shared" ca="1" si="104"/>
        <v>8.607177521919418</v>
      </c>
      <c r="F129" s="14">
        <f t="shared" ca="1" si="104"/>
        <v>8.2549676386697186</v>
      </c>
      <c r="G129" s="14">
        <f t="shared" ca="1" si="104"/>
        <v>7.9637580924197193</v>
      </c>
      <c r="H129" s="14" t="str">
        <f t="shared" si="104"/>
        <v/>
      </c>
      <c r="I129" s="14" t="str">
        <f t="shared" si="104"/>
        <v/>
      </c>
      <c r="J129" s="14" t="str">
        <f t="shared" si="104"/>
        <v/>
      </c>
      <c r="K129" s="14" t="str">
        <f t="shared" si="104"/>
        <v/>
      </c>
      <c r="L129" s="14" t="str">
        <f t="shared" si="104"/>
        <v/>
      </c>
    </row>
    <row r="130" spans="1:14" x14ac:dyDescent="0.35">
      <c r="A130" s="1" t="s">
        <v>211</v>
      </c>
      <c r="B130" s="1"/>
      <c r="C130" s="14">
        <f ca="1">IF(C28="","",(1-C$128)*C$127)</f>
        <v>9.7099629186694187</v>
      </c>
      <c r="D130" s="14">
        <f t="shared" ref="D130:L130" ca="1" si="105">IF(D28="","",(1-D$128)*D$127)</f>
        <v>9.074225522168831</v>
      </c>
      <c r="E130" s="14">
        <f t="shared" ca="1" si="105"/>
        <v>8.607177521919418</v>
      </c>
      <c r="F130" s="14">
        <f t="shared" ca="1" si="105"/>
        <v>8.2549676386697186</v>
      </c>
      <c r="G130" s="14">
        <f t="shared" ca="1" si="105"/>
        <v>7.9637580924197193</v>
      </c>
      <c r="H130" s="14" t="str">
        <f t="shared" si="105"/>
        <v/>
      </c>
      <c r="I130" s="14" t="str">
        <f t="shared" si="105"/>
        <v/>
      </c>
      <c r="J130" s="14" t="str">
        <f t="shared" si="105"/>
        <v/>
      </c>
      <c r="K130" s="14" t="str">
        <f t="shared" si="105"/>
        <v/>
      </c>
      <c r="L130" s="14" t="str">
        <f t="shared" si="105"/>
        <v/>
      </c>
    </row>
    <row r="131" spans="1:14" x14ac:dyDescent="0.35">
      <c r="A131" s="1" t="s">
        <v>145</v>
      </c>
      <c r="B131" s="1"/>
      <c r="C131" s="14">
        <f ca="1">IF(C$27&lt;&gt;"",-C129+C37+C27-C61-VLOOKUP(C37*1000000,'Powell-Elevation-Area'!$B$5:$D$689,3)*$B$21/1000000,"")</f>
        <v>8.0671402013300089</v>
      </c>
      <c r="D131" s="14">
        <f ca="1">IF(D$27&lt;&gt;"",-D129+D37+D27-D61-VLOOKUP(D37*1000000,'Powell-Elevation-Area'!$B$5:$D$689,3)*$B$21/1000000,"")</f>
        <v>7.8531906035000141</v>
      </c>
      <c r="E131" s="14">
        <f ca="1">IF(E$27&lt;&gt;"",-E129+E37+E27-E61-VLOOKUP(E37*1000000,'Powell-Elevation-Area'!$B$5:$D$689,3)*$B$21/1000000,"")</f>
        <v>8.0053139997499851</v>
      </c>
      <c r="F131" s="14">
        <f ca="1">IF(F$27&lt;&gt;"",-F129+F37+F27-F61-VLOOKUP(F37*1000000,'Powell-Elevation-Area'!$B$5:$D$689,3)*$B$21/1000000,"")</f>
        <v>8.1071261167496989</v>
      </c>
      <c r="G131" s="14">
        <f ca="1">IF(G$27&lt;&gt;"",-G129+G37+G27-G61-VLOOKUP(G37*1000000,'Powell-Elevation-Area'!$B$5:$D$689,3)*$B$21/1000000,"")</f>
        <v>8.1583524537499983</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212</v>
      </c>
    </row>
    <row r="132" spans="1:14" x14ac:dyDescent="0.35">
      <c r="C132" s="29"/>
    </row>
    <row r="133" spans="1:14" x14ac:dyDescent="0.35">
      <c r="A133" s="1" t="s">
        <v>125</v>
      </c>
      <c r="C133" s="12">
        <f>IF(C$27&lt;&gt;"",0.2,"")</f>
        <v>0.2</v>
      </c>
      <c r="D133" s="12">
        <f t="shared" ref="D133:L133" si="106">IF(D$27&lt;&gt;"",0.2,"")</f>
        <v>0.2</v>
      </c>
      <c r="E133" s="12">
        <f t="shared" si="106"/>
        <v>0.2</v>
      </c>
      <c r="F133" s="12">
        <f t="shared" si="106"/>
        <v>0.2</v>
      </c>
      <c r="G133" s="12">
        <f t="shared" si="106"/>
        <v>0.2</v>
      </c>
      <c r="H133" s="12" t="str">
        <f t="shared" si="106"/>
        <v/>
      </c>
      <c r="I133" s="12" t="str">
        <f t="shared" si="106"/>
        <v/>
      </c>
      <c r="J133" s="12" t="str">
        <f t="shared" si="106"/>
        <v/>
      </c>
      <c r="K133" s="12" t="str">
        <f t="shared" si="106"/>
        <v/>
      </c>
      <c r="L133" s="12" t="str">
        <f t="shared" si="106"/>
        <v/>
      </c>
    </row>
    <row r="134" spans="1:14" x14ac:dyDescent="0.35">
      <c r="A134" t="s">
        <v>126</v>
      </c>
      <c r="C134" s="14">
        <f t="shared" ref="C134:L134" ca="1" si="107">IF(C$27&lt;&gt;"",C115+C133,"")</f>
        <v>7.1000000000000005</v>
      </c>
      <c r="D134" s="14">
        <f t="shared" ca="1" si="107"/>
        <v>7.1000000000000005</v>
      </c>
      <c r="E134" s="14">
        <f t="shared" ca="1" si="107"/>
        <v>7.1000000000000005</v>
      </c>
      <c r="F134" s="14">
        <f t="shared" ca="1" si="107"/>
        <v>7.1000000000000005</v>
      </c>
      <c r="G134" s="14">
        <f t="shared" ca="1" si="107"/>
        <v>7.1000000000000005</v>
      </c>
      <c r="H134" s="14" t="str">
        <f t="shared" si="107"/>
        <v/>
      </c>
      <c r="I134" s="14" t="str">
        <f t="shared" si="107"/>
        <v/>
      </c>
      <c r="J134" s="14" t="str">
        <f t="shared" si="107"/>
        <v/>
      </c>
      <c r="K134" s="14" t="str">
        <f t="shared" si="107"/>
        <v/>
      </c>
      <c r="L134" s="14" t="str">
        <f t="shared" si="107"/>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09" priority="79" operator="greaterThan">
      <formula>$D$60</formula>
    </cfRule>
  </conditionalFormatting>
  <conditionalFormatting sqref="C61">
    <cfRule type="cellIs" dxfId="208" priority="68" operator="greaterThan">
      <formula>$C$60</formula>
    </cfRule>
  </conditionalFormatting>
  <conditionalFormatting sqref="E61">
    <cfRule type="cellIs" dxfId="207" priority="66" operator="greaterThan">
      <formula>$E$60</formula>
    </cfRule>
  </conditionalFormatting>
  <conditionalFormatting sqref="F61">
    <cfRule type="cellIs" dxfId="206" priority="65" operator="greaterThan">
      <formula>$F$60</formula>
    </cfRule>
  </conditionalFormatting>
  <conditionalFormatting sqref="G61">
    <cfRule type="cellIs" dxfId="205" priority="64" operator="greaterThan">
      <formula>$G$60</formula>
    </cfRule>
  </conditionalFormatting>
  <conditionalFormatting sqref="H61">
    <cfRule type="cellIs" dxfId="204" priority="63" operator="greaterThan">
      <formula>$H$60</formula>
    </cfRule>
  </conditionalFormatting>
  <conditionalFormatting sqref="I61">
    <cfRule type="cellIs" dxfId="203" priority="62" operator="greaterThan">
      <formula>$I$60</formula>
    </cfRule>
  </conditionalFormatting>
  <conditionalFormatting sqref="J61">
    <cfRule type="cellIs" dxfId="202" priority="61" operator="greaterThan">
      <formula>$J$60</formula>
    </cfRule>
  </conditionalFormatting>
  <conditionalFormatting sqref="K61">
    <cfRule type="cellIs" dxfId="201" priority="60" operator="greaterThan">
      <formula>$K$60</formula>
    </cfRule>
  </conditionalFormatting>
  <conditionalFormatting sqref="L61">
    <cfRule type="cellIs" dxfId="200" priority="59" operator="greaterThan">
      <formula>$L$60</formula>
    </cfRule>
  </conditionalFormatting>
  <conditionalFormatting sqref="C69">
    <cfRule type="cellIs" dxfId="199" priority="51" operator="greaterThan">
      <formula>$C$68</formula>
    </cfRule>
  </conditionalFormatting>
  <conditionalFormatting sqref="D69">
    <cfRule type="cellIs" dxfId="198" priority="50" operator="greaterThan">
      <formula>$D$68</formula>
    </cfRule>
  </conditionalFormatting>
  <conditionalFormatting sqref="E69">
    <cfRule type="cellIs" dxfId="197" priority="49" operator="greaterThan">
      <formula>$E$68</formula>
    </cfRule>
  </conditionalFormatting>
  <conditionalFormatting sqref="F69">
    <cfRule type="cellIs" dxfId="196" priority="48" operator="greaterThan">
      <formula>$F$68</formula>
    </cfRule>
  </conditionalFormatting>
  <conditionalFormatting sqref="G69">
    <cfRule type="cellIs" dxfId="195" priority="47" operator="greaterThan">
      <formula>$G$68</formula>
    </cfRule>
  </conditionalFormatting>
  <conditionalFormatting sqref="H69">
    <cfRule type="cellIs" dxfId="194" priority="46" operator="greaterThan">
      <formula>$H$68</formula>
    </cfRule>
  </conditionalFormatting>
  <conditionalFormatting sqref="I69">
    <cfRule type="cellIs" dxfId="193" priority="45" operator="greaterThan">
      <formula>$I$68</formula>
    </cfRule>
  </conditionalFormatting>
  <conditionalFormatting sqref="J69">
    <cfRule type="cellIs" dxfId="192" priority="44" operator="greaterThan">
      <formula>$J$68</formula>
    </cfRule>
  </conditionalFormatting>
  <conditionalFormatting sqref="K69">
    <cfRule type="cellIs" dxfId="191" priority="43" operator="greaterThan">
      <formula>$K$68</formula>
    </cfRule>
  </conditionalFormatting>
  <conditionalFormatting sqref="L69">
    <cfRule type="cellIs" dxfId="190" priority="42" operator="greaterThan">
      <formula>$L$68</formula>
    </cfRule>
  </conditionalFormatting>
  <conditionalFormatting sqref="C77">
    <cfRule type="cellIs" dxfId="189" priority="41" operator="greaterThan">
      <formula>$C$76</formula>
    </cfRule>
  </conditionalFormatting>
  <conditionalFormatting sqref="D77">
    <cfRule type="cellIs" dxfId="188" priority="40" operator="greaterThan">
      <formula>$D$76</formula>
    </cfRule>
  </conditionalFormatting>
  <conditionalFormatting sqref="E77">
    <cfRule type="cellIs" dxfId="187" priority="39" operator="greaterThan">
      <formula>$E$76</formula>
    </cfRule>
  </conditionalFormatting>
  <conditionalFormatting sqref="F77">
    <cfRule type="cellIs" dxfId="186" priority="38" operator="greaterThan">
      <formula>$F$76</formula>
    </cfRule>
  </conditionalFormatting>
  <conditionalFormatting sqref="G77">
    <cfRule type="cellIs" dxfId="185" priority="37" operator="greaterThan">
      <formula>$G$76</formula>
    </cfRule>
  </conditionalFormatting>
  <conditionalFormatting sqref="H77">
    <cfRule type="cellIs" dxfId="184" priority="36" operator="greaterThan">
      <formula>$H$76</formula>
    </cfRule>
  </conditionalFormatting>
  <conditionalFormatting sqref="I77">
    <cfRule type="cellIs" dxfId="183" priority="35" operator="greaterThan">
      <formula>$I$76</formula>
    </cfRule>
  </conditionalFormatting>
  <conditionalFormatting sqref="J77">
    <cfRule type="cellIs" dxfId="182" priority="34" operator="greaterThan">
      <formula>$J$76</formula>
    </cfRule>
  </conditionalFormatting>
  <conditionalFormatting sqref="K77">
    <cfRule type="cellIs" dxfId="181" priority="33" operator="greaterThan">
      <formula>$K$76</formula>
    </cfRule>
  </conditionalFormatting>
  <conditionalFormatting sqref="L77">
    <cfRule type="cellIs" dxfId="180" priority="32" operator="greaterThan">
      <formula>$L$76</formula>
    </cfRule>
  </conditionalFormatting>
  <conditionalFormatting sqref="C85">
    <cfRule type="cellIs" dxfId="179" priority="31" operator="greaterThan">
      <formula>$C$84</formula>
    </cfRule>
  </conditionalFormatting>
  <conditionalFormatting sqref="D85">
    <cfRule type="cellIs" dxfId="178" priority="30" operator="greaterThan">
      <formula>$D$84</formula>
    </cfRule>
  </conditionalFormatting>
  <conditionalFormatting sqref="E85">
    <cfRule type="cellIs" dxfId="177" priority="29" operator="greaterThan">
      <formula>$E$84</formula>
    </cfRule>
  </conditionalFormatting>
  <conditionalFormatting sqref="F85">
    <cfRule type="cellIs" dxfId="176" priority="28" operator="greaterThan">
      <formula>$F$84</formula>
    </cfRule>
  </conditionalFormatting>
  <conditionalFormatting sqref="G85">
    <cfRule type="cellIs" dxfId="175" priority="27" operator="greaterThan">
      <formula>$G$84</formula>
    </cfRule>
  </conditionalFormatting>
  <conditionalFormatting sqref="H85">
    <cfRule type="cellIs" dxfId="174" priority="26" operator="greaterThan">
      <formula>$H$84</formula>
    </cfRule>
  </conditionalFormatting>
  <conditionalFormatting sqref="I85">
    <cfRule type="cellIs" dxfId="173" priority="25" operator="greaterThan">
      <formula>$I$84</formula>
    </cfRule>
  </conditionalFormatting>
  <conditionalFormatting sqref="J85">
    <cfRule type="cellIs" dxfId="172" priority="24" operator="greaterThan">
      <formula>$J$84</formula>
    </cfRule>
  </conditionalFormatting>
  <conditionalFormatting sqref="K85">
    <cfRule type="cellIs" dxfId="171" priority="23" operator="greaterThan">
      <formula>$K$84</formula>
    </cfRule>
  </conditionalFormatting>
  <conditionalFormatting sqref="L85">
    <cfRule type="cellIs" dxfId="170" priority="22" operator="greaterThan">
      <formula>$L$84</formula>
    </cfRule>
  </conditionalFormatting>
  <conditionalFormatting sqref="C93">
    <cfRule type="cellIs" dxfId="169" priority="21" operator="greaterThan">
      <formula>$C$92</formula>
    </cfRule>
  </conditionalFormatting>
  <conditionalFormatting sqref="D93">
    <cfRule type="cellIs" dxfId="168" priority="20" operator="greaterThan">
      <formula>$D$92</formula>
    </cfRule>
  </conditionalFormatting>
  <conditionalFormatting sqref="E93">
    <cfRule type="cellIs" dxfId="167" priority="19" operator="greaterThan">
      <formula>$E$92</formula>
    </cfRule>
  </conditionalFormatting>
  <conditionalFormatting sqref="F93">
    <cfRule type="cellIs" dxfId="166" priority="18" operator="greaterThan">
      <formula>$F$92</formula>
    </cfRule>
  </conditionalFormatting>
  <conditionalFormatting sqref="G93">
    <cfRule type="cellIs" dxfId="165" priority="17" operator="greaterThan">
      <formula>$G$92</formula>
    </cfRule>
  </conditionalFormatting>
  <conditionalFormatting sqref="H93">
    <cfRule type="cellIs" dxfId="164" priority="16" operator="greaterThan">
      <formula>$H$92</formula>
    </cfRule>
  </conditionalFormatting>
  <conditionalFormatting sqref="I93">
    <cfRule type="cellIs" dxfId="163" priority="15" operator="greaterThan">
      <formula>$I$92</formula>
    </cfRule>
  </conditionalFormatting>
  <conditionalFormatting sqref="J93">
    <cfRule type="cellIs" dxfId="162" priority="14" operator="greaterThan">
      <formula>$J$92</formula>
    </cfRule>
  </conditionalFormatting>
  <conditionalFormatting sqref="K93">
    <cfRule type="cellIs" dxfId="161" priority="13" operator="greaterThan">
      <formula>$K$92</formula>
    </cfRule>
  </conditionalFormatting>
  <conditionalFormatting sqref="L93">
    <cfRule type="cellIs" dxfId="160" priority="12" operator="greaterThan">
      <formula>$L$92</formula>
    </cfRule>
  </conditionalFormatting>
  <conditionalFormatting sqref="C101">
    <cfRule type="cellIs" dxfId="159" priority="11" operator="greaterThan">
      <formula>$C$100</formula>
    </cfRule>
  </conditionalFormatting>
  <conditionalFormatting sqref="D101">
    <cfRule type="cellIs" dxfId="158" priority="10" operator="greaterThan">
      <formula>$D$100</formula>
    </cfRule>
  </conditionalFormatting>
  <conditionalFormatting sqref="E101">
    <cfRule type="cellIs" dxfId="157" priority="9" operator="greaterThan">
      <formula>$E$100</formula>
    </cfRule>
  </conditionalFormatting>
  <conditionalFormatting sqref="F101">
    <cfRule type="cellIs" dxfId="156" priority="8" operator="greaterThan">
      <formula>$F$100</formula>
    </cfRule>
  </conditionalFormatting>
  <conditionalFormatting sqref="G101">
    <cfRule type="cellIs" dxfId="155" priority="7" operator="greaterThan">
      <formula>$G$100</formula>
    </cfRule>
  </conditionalFormatting>
  <conditionalFormatting sqref="H101">
    <cfRule type="cellIs" dxfId="154" priority="6" operator="greaterThan">
      <formula>$H$100</formula>
    </cfRule>
  </conditionalFormatting>
  <conditionalFormatting sqref="I101">
    <cfRule type="cellIs" dxfId="153" priority="5" operator="greaterThan">
      <formula>$I$100</formula>
    </cfRule>
  </conditionalFormatting>
  <conditionalFormatting sqref="J101">
    <cfRule type="cellIs" dxfId="152" priority="4" operator="greaterThan">
      <formula>$J$100</formula>
    </cfRule>
  </conditionalFormatting>
  <conditionalFormatting sqref="K101">
    <cfRule type="cellIs" dxfId="151" priority="3" operator="greaterThan">
      <formula>$K$100</formula>
    </cfRule>
  </conditionalFormatting>
  <conditionalFormatting sqref="L101">
    <cfRule type="cellIs" dxfId="15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36"/>
  <sheetViews>
    <sheetView topLeftCell="A38"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157</v>
      </c>
      <c r="B3" s="117"/>
      <c r="C3" s="117"/>
      <c r="D3" s="117"/>
      <c r="E3" s="117"/>
      <c r="F3" s="117"/>
      <c r="G3" s="117"/>
      <c r="H3" s="85"/>
      <c r="I3" s="85"/>
      <c r="J3" s="85"/>
      <c r="K3" s="85"/>
    </row>
    <row r="4" spans="1:11" x14ac:dyDescent="0.35">
      <c r="A4" s="59" t="s">
        <v>38</v>
      </c>
      <c r="B4" s="59" t="s">
        <v>42</v>
      </c>
      <c r="C4" s="118" t="s">
        <v>43</v>
      </c>
      <c r="D4" s="119"/>
      <c r="E4" s="119"/>
      <c r="F4" s="119"/>
      <c r="G4" s="120"/>
    </row>
    <row r="5" spans="1:11" x14ac:dyDescent="0.35">
      <c r="A5" s="86" t="s">
        <v>51</v>
      </c>
      <c r="B5" s="86"/>
      <c r="C5" s="121"/>
      <c r="D5" s="121"/>
      <c r="E5" s="121"/>
      <c r="F5" s="121"/>
      <c r="G5" s="121"/>
    </row>
    <row r="6" spans="1:11" x14ac:dyDescent="0.35">
      <c r="A6" s="84" t="s">
        <v>39</v>
      </c>
      <c r="B6" s="84" t="s">
        <v>161</v>
      </c>
      <c r="C6" s="115" t="s">
        <v>158</v>
      </c>
      <c r="D6" s="115"/>
      <c r="E6" s="115"/>
      <c r="F6" s="115"/>
      <c r="G6" s="115"/>
    </row>
    <row r="7" spans="1:11" x14ac:dyDescent="0.35">
      <c r="A7" s="84" t="s">
        <v>40</v>
      </c>
      <c r="B7" s="84" t="s">
        <v>161</v>
      </c>
      <c r="C7" s="115" t="s">
        <v>158</v>
      </c>
      <c r="D7" s="115"/>
      <c r="E7" s="115"/>
      <c r="F7" s="115"/>
      <c r="G7" s="115"/>
    </row>
    <row r="8" spans="1:11" x14ac:dyDescent="0.35">
      <c r="A8" s="84" t="s">
        <v>41</v>
      </c>
      <c r="B8" s="84" t="s">
        <v>161</v>
      </c>
      <c r="C8" s="115" t="s">
        <v>158</v>
      </c>
      <c r="D8" s="115"/>
      <c r="E8" s="115"/>
      <c r="F8" s="115"/>
      <c r="G8" s="115"/>
    </row>
    <row r="9" spans="1:11" x14ac:dyDescent="0.35">
      <c r="A9" s="84" t="s">
        <v>153</v>
      </c>
      <c r="B9" s="84" t="s">
        <v>161</v>
      </c>
      <c r="C9" s="115" t="s">
        <v>159</v>
      </c>
      <c r="D9" s="115"/>
      <c r="E9" s="115"/>
      <c r="F9" s="115"/>
      <c r="G9" s="115"/>
    </row>
    <row r="10" spans="1:11" x14ac:dyDescent="0.35">
      <c r="A10" s="84" t="s">
        <v>166</v>
      </c>
      <c r="B10" s="84" t="s">
        <v>161</v>
      </c>
      <c r="C10" s="116" t="s">
        <v>195</v>
      </c>
      <c r="D10" s="116"/>
      <c r="E10" s="116"/>
      <c r="F10" s="116"/>
      <c r="G10" s="116"/>
    </row>
    <row r="11" spans="1:11" x14ac:dyDescent="0.35">
      <c r="A11" s="84"/>
      <c r="B11" s="84"/>
      <c r="C11" s="116"/>
      <c r="D11" s="116"/>
      <c r="E11" s="116"/>
      <c r="F11" s="116"/>
      <c r="G11" s="116"/>
    </row>
    <row r="12" spans="1:11" x14ac:dyDescent="0.35">
      <c r="A12" s="16"/>
      <c r="B12" s="2"/>
      <c r="C12"/>
    </row>
    <row r="13" spans="1:11" x14ac:dyDescent="0.35">
      <c r="A13" s="19" t="s">
        <v>45</v>
      </c>
      <c r="B13" s="2"/>
      <c r="C13"/>
    </row>
    <row r="14" spans="1:11" x14ac:dyDescent="0.35">
      <c r="A14" s="20" t="s">
        <v>215</v>
      </c>
    </row>
    <row r="15" spans="1:11" x14ac:dyDescent="0.35">
      <c r="A15" s="22" t="s">
        <v>196</v>
      </c>
      <c r="B15" s="19"/>
    </row>
    <row r="16" spans="1:11" x14ac:dyDescent="0.35">
      <c r="A16" s="21" t="s">
        <v>46</v>
      </c>
    </row>
    <row r="18" spans="1:14" x14ac:dyDescent="0.35">
      <c r="A18" s="1" t="s">
        <v>53</v>
      </c>
      <c r="D18" s="20" t="s">
        <v>162</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203</v>
      </c>
      <c r="B23" s="70">
        <v>3525</v>
      </c>
      <c r="C23" s="70">
        <v>1020</v>
      </c>
      <c r="D23" s="11"/>
    </row>
    <row r="24" spans="1:14" x14ac:dyDescent="0.35">
      <c r="A24" t="s">
        <v>186</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183</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18.888432055485019</v>
      </c>
      <c r="E29" s="14">
        <f t="shared" ref="E29:L29" ca="1" si="2">IF(E$27&lt;&gt;"",D127,"")</f>
        <v>16.636069046150514</v>
      </c>
      <c r="F29" s="14">
        <f t="shared" ca="1" si="2"/>
        <v>14.96785176869334</v>
      </c>
      <c r="G29" s="14">
        <f t="shared" ca="1" si="2"/>
        <v>14.685834969032836</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3">
        <f>B22-B24</f>
        <v>5.0734237499999999</v>
      </c>
      <c r="C30" s="14">
        <f>IF(OR(C$27="",$A30=""),"",B30)</f>
        <v>5.0734237499999999</v>
      </c>
      <c r="D30" s="14">
        <f ca="1">IF(OR(D$27="",$A30=""),"",C121)</f>
        <v>3.1233582945981313</v>
      </c>
      <c r="E30" s="14">
        <f t="shared" ref="E30:L30" ca="1" si="4">IF(OR(E$27="",$A30=""),"",D121)</f>
        <v>1.2672910663844705</v>
      </c>
      <c r="F30" s="14">
        <f t="shared" ca="1" si="4"/>
        <v>0</v>
      </c>
      <c r="G30" s="14">
        <f t="shared" ca="1" si="4"/>
        <v>0</v>
      </c>
      <c r="H30" s="14" t="str">
        <f t="shared" si="4"/>
        <v/>
      </c>
      <c r="I30" s="14" t="str">
        <f t="shared" si="4"/>
        <v/>
      </c>
      <c r="J30" s="14" t="str">
        <f t="shared" si="4"/>
        <v/>
      </c>
      <c r="K30" s="14" t="str">
        <f t="shared" si="4"/>
        <v/>
      </c>
      <c r="L30" s="14" t="str">
        <f t="shared" si="4"/>
        <v/>
      </c>
      <c r="N30" t="s">
        <v>188</v>
      </c>
    </row>
    <row r="31" spans="1:14" x14ac:dyDescent="0.35">
      <c r="A31" t="str">
        <f t="shared" si="3"/>
        <v xml:space="preserve">    Lower Basin Balance</v>
      </c>
      <c r="B31" s="53">
        <f>C22-C24-B32</f>
        <v>4.2614069999999993</v>
      </c>
      <c r="C31" s="14">
        <f t="shared" ref="C31:C35" si="5">IF(OR(C$27="",$A31=""),"",B31)</f>
        <v>4.2614069999999993</v>
      </c>
      <c r="D31" s="14">
        <f t="shared" ref="D31:L35" ca="1" si="6">IF(OR(D$27="",$A31=""),"",C122)</f>
        <v>4.0083315344091641</v>
      </c>
      <c r="E31" s="14">
        <f t="shared" ca="1" si="6"/>
        <v>3.6204249224669756</v>
      </c>
      <c r="F31" s="14">
        <f t="shared" ca="1" si="6"/>
        <v>3.2278685356553556</v>
      </c>
      <c r="G31" s="14">
        <f t="shared" ca="1" si="6"/>
        <v>2.954139942371242</v>
      </c>
      <c r="H31" s="14" t="str">
        <f t="shared" si="6"/>
        <v/>
      </c>
      <c r="I31" s="14" t="str">
        <f t="shared" si="6"/>
        <v/>
      </c>
      <c r="J31" s="14" t="str">
        <f t="shared" si="6"/>
        <v/>
      </c>
      <c r="K31" s="14" t="str">
        <f t="shared" si="6"/>
        <v/>
      </c>
      <c r="L31" s="14" t="str">
        <f t="shared" si="6"/>
        <v/>
      </c>
      <c r="N31" t="s">
        <v>185</v>
      </c>
    </row>
    <row r="32" spans="1:14" x14ac:dyDescent="0.35">
      <c r="A32" t="str">
        <f t="shared" si="3"/>
        <v xml:space="preserve">    Mexico Balance</v>
      </c>
      <c r="B32" s="69">
        <v>0.17399999999999999</v>
      </c>
      <c r="C32" s="57">
        <f t="shared" si="5"/>
        <v>0.17399999999999999</v>
      </c>
      <c r="D32" s="57">
        <f t="shared" ca="1" si="6"/>
        <v>0.16557297647772518</v>
      </c>
      <c r="E32" s="57">
        <f t="shared" ca="1" si="6"/>
        <v>0.15718380729906833</v>
      </c>
      <c r="F32" s="57">
        <f t="shared" ca="1" si="6"/>
        <v>0.14881398303798332</v>
      </c>
      <c r="G32" s="57">
        <f t="shared" ca="1" si="6"/>
        <v>0.14052577666159505</v>
      </c>
      <c r="H32" s="14" t="str">
        <f t="shared" si="6"/>
        <v/>
      </c>
      <c r="I32" s="14" t="str">
        <f t="shared" si="6"/>
        <v/>
      </c>
      <c r="J32" s="14" t="str">
        <f t="shared" si="6"/>
        <v/>
      </c>
      <c r="K32" s="14" t="str">
        <f t="shared" si="6"/>
        <v/>
      </c>
      <c r="L32" s="14" t="str">
        <f t="shared" si="6"/>
        <v/>
      </c>
      <c r="N32" t="s">
        <v>184</v>
      </c>
    </row>
    <row r="33" spans="1:14" x14ac:dyDescent="0.35">
      <c r="A33" t="str">
        <f t="shared" si="3"/>
        <v xml:space="preserve">    Mohave &amp; Havasu Evap &amp; ET Balance</v>
      </c>
      <c r="B33" s="54">
        <v>0</v>
      </c>
      <c r="C33" s="14">
        <f t="shared" si="5"/>
        <v>0</v>
      </c>
      <c r="D33" s="14">
        <f t="shared" ca="1" si="6"/>
        <v>0</v>
      </c>
      <c r="E33" s="14">
        <f t="shared" ca="1" si="6"/>
        <v>0</v>
      </c>
      <c r="F33" s="14">
        <f t="shared" ca="1" si="6"/>
        <v>0</v>
      </c>
      <c r="G33" s="14">
        <f t="shared" ca="1" si="6"/>
        <v>0</v>
      </c>
      <c r="H33" s="14" t="str">
        <f t="shared" si="6"/>
        <v/>
      </c>
      <c r="I33" s="14" t="str">
        <f t="shared" si="6"/>
        <v/>
      </c>
      <c r="J33" s="14" t="str">
        <f t="shared" si="6"/>
        <v/>
      </c>
      <c r="K33" s="14" t="str">
        <f t="shared" si="6"/>
        <v/>
      </c>
      <c r="L33" s="14" t="str">
        <f t="shared" si="6"/>
        <v/>
      </c>
    </row>
    <row r="34" spans="1:14" x14ac:dyDescent="0.35">
      <c r="A34" t="str">
        <f t="shared" si="3"/>
        <v xml:space="preserve">    Shared, Reserve Balance</v>
      </c>
      <c r="B34" s="53">
        <f>SUM(B24:C24)</f>
        <v>11.59116925</v>
      </c>
      <c r="C34" s="14">
        <f t="shared" si="5"/>
        <v>11.59116925</v>
      </c>
      <c r="D34" s="14">
        <f t="shared" ca="1" si="6"/>
        <v>11.59116925</v>
      </c>
      <c r="E34" s="14">
        <f t="shared" ca="1" si="6"/>
        <v>11.59116925</v>
      </c>
      <c r="F34" s="14">
        <f t="shared" ca="1" si="6"/>
        <v>11.59116925</v>
      </c>
      <c r="G34" s="14">
        <f t="shared" ca="1" si="6"/>
        <v>11.59116925</v>
      </c>
      <c r="H34" s="14" t="str">
        <f t="shared" si="6"/>
        <v/>
      </c>
      <c r="I34" s="14" t="str">
        <f t="shared" si="6"/>
        <v/>
      </c>
      <c r="J34" s="14" t="str">
        <f t="shared" si="6"/>
        <v/>
      </c>
      <c r="K34" s="14" t="str">
        <f t="shared" si="6"/>
        <v/>
      </c>
      <c r="L34" s="14" t="str">
        <f t="shared" si="6"/>
        <v/>
      </c>
      <c r="N34" t="s">
        <v>187</v>
      </c>
    </row>
    <row r="35" spans="1:14" x14ac:dyDescent="0.35">
      <c r="A35" t="str">
        <f t="shared" si="3"/>
        <v/>
      </c>
      <c r="B35" s="54"/>
      <c r="C35" s="14"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213</v>
      </c>
      <c r="C36"/>
    </row>
    <row r="37" spans="1:14" x14ac:dyDescent="0.35">
      <c r="A37" t="s">
        <v>113</v>
      </c>
      <c r="C37" s="14">
        <f>IF(C$27&lt;&gt;"",B22,"")</f>
        <v>11</v>
      </c>
      <c r="D37" s="14">
        <f ca="1">IF(D$27&lt;&gt;"",C129,"")</f>
        <v>9.4442160277425096</v>
      </c>
      <c r="E37" s="14">
        <f t="shared" ref="E37:G38" ca="1" si="7">IF(E$27&lt;&gt;"",D129,"")</f>
        <v>8.3180345230752568</v>
      </c>
      <c r="F37" s="14">
        <f t="shared" ca="1" si="7"/>
        <v>7.4839258843466698</v>
      </c>
      <c r="G37" s="14">
        <f t="shared" ca="1" si="7"/>
        <v>7.342917484516418</v>
      </c>
      <c r="H37" s="14" t="str">
        <f t="shared" ref="H37:L38" si="8">IF(H27&lt;&gt;"",$B37*H$29,"")</f>
        <v/>
      </c>
      <c r="I37" s="14" t="str">
        <f t="shared" si="8"/>
        <v/>
      </c>
      <c r="J37" s="14" t="str">
        <f t="shared" si="8"/>
        <v/>
      </c>
      <c r="K37" s="14" t="str">
        <f t="shared" si="8"/>
        <v/>
      </c>
      <c r="L37" s="14" t="str">
        <f t="shared" si="8"/>
        <v/>
      </c>
    </row>
    <row r="38" spans="1:14" x14ac:dyDescent="0.35">
      <c r="A38" t="s">
        <v>114</v>
      </c>
      <c r="C38" s="14">
        <f>IF(C$27&lt;&gt;"",C22,"")</f>
        <v>10.1</v>
      </c>
      <c r="D38" s="14">
        <f ca="1">IF(D$27&lt;&gt;"",C130,"")</f>
        <v>9.4442160277425096</v>
      </c>
      <c r="E38" s="14">
        <f t="shared" ca="1" si="7"/>
        <v>8.3180345230752568</v>
      </c>
      <c r="F38" s="14">
        <f t="shared" ca="1" si="7"/>
        <v>7.4839258843466698</v>
      </c>
      <c r="G38" s="14">
        <f t="shared" ca="1" si="7"/>
        <v>7.342917484516418</v>
      </c>
      <c r="H38" s="14" t="str">
        <f t="shared" si="8"/>
        <v/>
      </c>
      <c r="I38" s="14" t="str">
        <f t="shared" si="8"/>
        <v/>
      </c>
      <c r="J38" s="14" t="str">
        <f t="shared" si="8"/>
        <v/>
      </c>
      <c r="K38" s="14" t="str">
        <f t="shared" si="8"/>
        <v/>
      </c>
      <c r="L38" s="14" t="str">
        <f t="shared" si="8"/>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0.88584808259942704</v>
      </c>
      <c r="F39" s="14">
        <f ca="1">IF(F$27&lt;&gt;"",VLOOKUP(F37*1000000,'Powell-Elevation-Area'!$B$5:$D$689,3)*$B$21/1000000 + VLOOKUP(F38*1000000,'Mead-Elevation-Area'!$B$5:$D$676,3)*$C$21/1000000,"")</f>
        <v>0.83363567010000006</v>
      </c>
      <c r="G39" s="14">
        <f ca="1">IF(G$27&lt;&gt;"",VLOOKUP(G37*1000000,'Powell-Elevation-Area'!$B$5:$D$689,3)*$B$21/1000000 + VLOOKUP(G38*1000000,'Mead-Elevation-Area'!$B$5:$D$676,3)*$C$21/1000000,"")</f>
        <v>0.82455759509999993</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9">IF(A6="","","    "&amp;A6&amp;" Share")</f>
        <v xml:space="preserve">    Upper Basin Share</v>
      </c>
      <c r="B40" s="1"/>
      <c r="C40" s="14">
        <f>IF(OR(C$27="",$A40=""),"",C$39*C30/C$29)</f>
        <v>0.24571184643515467</v>
      </c>
      <c r="D40" s="14">
        <f t="shared" ref="D40:L40" ca="1" si="10">IF(OR(D$27="",$A40=""),"",D$39*D30/D$29)</f>
        <v>0.15825276380454278</v>
      </c>
      <c r="E40" s="14">
        <f t="shared" ca="1" si="10"/>
        <v>6.7481528126491858E-2</v>
      </c>
      <c r="F40" s="14">
        <f t="shared" ca="1" si="10"/>
        <v>0</v>
      </c>
      <c r="G40" s="14">
        <f t="shared" ca="1" si="10"/>
        <v>0</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5" si="11">IF(OR(C$27="",$A41=""),"",C$39*C31/C$29)</f>
        <v>0.20638492544244763</v>
      </c>
      <c r="D41" s="14">
        <f t="shared" ca="1" si="11"/>
        <v>0.20309214753306759</v>
      </c>
      <c r="E41" s="14">
        <f t="shared" ca="1" si="11"/>
        <v>0.19278271007805561</v>
      </c>
      <c r="F41" s="14">
        <f t="shared" ca="1" si="11"/>
        <v>0.17977638951128289</v>
      </c>
      <c r="G41" s="14">
        <f t="shared" ca="1" si="11"/>
        <v>0.16586448993923986</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si="11"/>
        <v>8.4270235222746598E-3</v>
      </c>
      <c r="D42" s="14">
        <f t="shared" ca="1" si="11"/>
        <v>8.3891691786567545E-3</v>
      </c>
      <c r="E42" s="14">
        <f t="shared" ca="1" si="11"/>
        <v>8.3698242610851063E-3</v>
      </c>
      <c r="F42" s="14">
        <f t="shared" ca="1" si="11"/>
        <v>8.2882063763883157E-3</v>
      </c>
      <c r="G42" s="14">
        <f t="shared" ca="1" si="11"/>
        <v>7.8900244145447759E-3</v>
      </c>
      <c r="H42" s="14" t="str">
        <f t="shared" si="11"/>
        <v/>
      </c>
      <c r="I42" s="14" t="str">
        <f t="shared" si="11"/>
        <v/>
      </c>
      <c r="J42" s="14" t="str">
        <f t="shared" si="11"/>
        <v/>
      </c>
      <c r="K42" s="14" t="str">
        <f t="shared" si="11"/>
        <v/>
      </c>
      <c r="L42" s="14" t="str">
        <f t="shared" si="11"/>
        <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t="str">
        <f t="shared" si="11"/>
        <v/>
      </c>
      <c r="I43" s="14" t="str">
        <f t="shared" si="11"/>
        <v/>
      </c>
      <c r="J43" s="14" t="str">
        <f t="shared" si="11"/>
        <v/>
      </c>
      <c r="K43" s="14" t="str">
        <f t="shared" si="11"/>
        <v/>
      </c>
      <c r="L43" s="14" t="str">
        <f t="shared" si="11"/>
        <v/>
      </c>
    </row>
    <row r="44" spans="1:14" x14ac:dyDescent="0.35">
      <c r="A44" t="str">
        <f t="shared" si="9"/>
        <v xml:space="preserve">    Shared, Reserve Share</v>
      </c>
      <c r="B44" s="1"/>
      <c r="C44" s="14">
        <f t="shared" si="11"/>
        <v>0.56137388460009618</v>
      </c>
      <c r="D44" s="14">
        <f t="shared" ca="1" si="11"/>
        <v>0.58729559548490584</v>
      </c>
      <c r="E44" s="14">
        <f t="shared" ca="1" si="11"/>
        <v>0.61721402013379456</v>
      </c>
      <c r="F44" s="14">
        <f t="shared" ca="1" si="11"/>
        <v>0.64557107421232884</v>
      </c>
      <c r="G44" s="14">
        <f t="shared" ca="1" si="11"/>
        <v>0.65080308074621529</v>
      </c>
      <c r="H44" s="14" t="str">
        <f t="shared" si="11"/>
        <v/>
      </c>
      <c r="I44" s="14" t="str">
        <f t="shared" si="11"/>
        <v/>
      </c>
      <c r="J44" s="14" t="str">
        <f t="shared" si="11"/>
        <v/>
      </c>
      <c r="K44" s="14" t="str">
        <f t="shared" si="11"/>
        <v/>
      </c>
      <c r="L44" s="14" t="str">
        <f t="shared" si="11"/>
        <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292</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1.3843333333333332</v>
      </c>
      <c r="G46" s="50">
        <f ca="1">IF(G$27&lt;&gt;"",1.5-0.21/9/2-VLOOKUP(G38,LowerBasinCuts!$C$5:$P$13,13),"")</f>
        <v>1.3843333333333332</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197</v>
      </c>
      <c r="B47" s="1"/>
      <c r="C47" s="52">
        <f>IF(C27="","",SUM(C27:C28))</f>
        <v>11.8</v>
      </c>
      <c r="D47" s="52">
        <f t="shared" ref="D47:L47" si="12">IF(D27="","",SUM(D27:D28))</f>
        <v>11.8</v>
      </c>
      <c r="E47" s="52">
        <f t="shared" si="12"/>
        <v>11.8</v>
      </c>
      <c r="F47" s="52">
        <f t="shared" si="12"/>
        <v>11.8</v>
      </c>
      <c r="G47" s="52">
        <f t="shared" si="12"/>
        <v>11.8</v>
      </c>
      <c r="H47" s="52" t="str">
        <f t="shared" si="12"/>
        <v/>
      </c>
      <c r="I47" s="52" t="str">
        <f t="shared" si="12"/>
        <v/>
      </c>
      <c r="J47" s="52" t="str">
        <f t="shared" si="12"/>
        <v/>
      </c>
      <c r="K47" s="52" t="str">
        <f t="shared" si="12"/>
        <v/>
      </c>
      <c r="L47" s="52" t="str">
        <f t="shared" si="12"/>
        <v/>
      </c>
      <c r="M47" s="46"/>
      <c r="N47" s="46"/>
    </row>
    <row r="48" spans="1:14" x14ac:dyDescent="0.35">
      <c r="A48" t="str">
        <f>IF(A6="","","    To "&amp;A6)</f>
        <v xml:space="preserve">    To Upper Basin</v>
      </c>
      <c r="B48" s="24" t="s">
        <v>152</v>
      </c>
      <c r="C48" s="14">
        <f>IF(OR(C$27="",$A48=""),"",IF(C$47&gt;SUM(C49:C53),C$47-SUM(C49:C53),0))</f>
        <v>2.4956463910332864</v>
      </c>
      <c r="D48" s="14">
        <f t="shared" ref="D48:L48" ca="1" si="13">IF(OR(D$27="",$A48=""),"",IF(D$47&gt;SUM(D49:D53),D$47-SUM(D49:D53),0))</f>
        <v>2.5021855355908826</v>
      </c>
      <c r="E48" s="14">
        <f t="shared" ca="1" si="13"/>
        <v>2.4872263232664373</v>
      </c>
      <c r="F48" s="14">
        <f t="shared" ca="1" si="13"/>
        <v>2.4850477962271711</v>
      </c>
      <c r="G48" s="14">
        <f t="shared" ca="1" si="13"/>
        <v>2.4824317929602273</v>
      </c>
      <c r="H48" s="14" t="str">
        <f t="shared" si="13"/>
        <v/>
      </c>
      <c r="I48" s="14" t="str">
        <f t="shared" si="13"/>
        <v/>
      </c>
      <c r="J48" s="14" t="str">
        <f t="shared" si="13"/>
        <v/>
      </c>
      <c r="K48" s="14" t="str">
        <f t="shared" si="13"/>
        <v/>
      </c>
      <c r="L48" s="14" t="str">
        <f t="shared" si="13"/>
        <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6.7021855355908801</v>
      </c>
      <c r="E49" s="14">
        <f t="shared" ca="1" si="15"/>
        <v>6.6872263232664366</v>
      </c>
      <c r="F49" s="14">
        <f t="shared" ca="1" si="15"/>
        <v>6.6850477962271686</v>
      </c>
      <c r="G49" s="14">
        <f t="shared" ca="1" si="15"/>
        <v>6.6824317929602257</v>
      </c>
      <c r="H49" s="14" t="str">
        <f>IF(OR(H$27="",$A49=""),"",H28-H52/2-H51-H50/2+MIN($B49,H27-H50/2-H52/2))</f>
        <v/>
      </c>
      <c r="I49" s="14" t="str">
        <f t="shared" ref="I49:L49" si="16">IF(OR(I$27="",$A49=""),"",I28-I52/2-I51-I50/2+MIN($B49,I27-I50/2-I52/2))</f>
        <v/>
      </c>
      <c r="J49" s="14" t="str">
        <f t="shared" si="16"/>
        <v/>
      </c>
      <c r="K49" s="14" t="str">
        <f t="shared" si="16"/>
        <v/>
      </c>
      <c r="L49" s="14" t="str">
        <f t="shared" si="16"/>
        <v/>
      </c>
      <c r="M49" s="29"/>
      <c r="N49" s="29"/>
    </row>
    <row r="50" spans="1:14" x14ac:dyDescent="0.35">
      <c r="A50" t="str">
        <f t="shared" si="14"/>
        <v xml:space="preserve">    To Mexico</v>
      </c>
      <c r="B50" s="44" t="s">
        <v>199</v>
      </c>
      <c r="C50" s="14">
        <f>IF(OR(C$27="",$A50=""),"",IF(C$47&gt;SUM(C51:C52,C46),C46,C$47-SUM(C51:C52)))</f>
        <v>1.4473333333333334</v>
      </c>
      <c r="D50" s="14">
        <f t="shared" ref="D50:L50" ca="1" si="17">IF(OR(D$27="",$A50=""),"",IF(D$47&gt;SUM(D51:D52,D46),D46,D$47-SUM(D51:D52)))</f>
        <v>1.4083333333333332</v>
      </c>
      <c r="E50" s="14">
        <f t="shared" ca="1" si="17"/>
        <v>1.4083333333333332</v>
      </c>
      <c r="F50" s="14">
        <f t="shared" ca="1" si="17"/>
        <v>1.3843333333333332</v>
      </c>
      <c r="G50" s="14">
        <f t="shared" ca="1" si="17"/>
        <v>1.3843333333333332</v>
      </c>
      <c r="H50" s="14" t="str">
        <f t="shared" si="17"/>
        <v/>
      </c>
      <c r="I50" s="14" t="str">
        <f t="shared" si="17"/>
        <v/>
      </c>
      <c r="J50" s="14" t="str">
        <f t="shared" si="17"/>
        <v/>
      </c>
      <c r="K50" s="14" t="str">
        <f t="shared" si="17"/>
        <v/>
      </c>
      <c r="L50" s="14" t="str">
        <f t="shared" si="17"/>
        <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t="str">
        <f t="shared" si="18"/>
        <v/>
      </c>
      <c r="I51" s="14" t="str">
        <f t="shared" si="18"/>
        <v/>
      </c>
      <c r="J51" s="14" t="str">
        <f t="shared" si="18"/>
        <v/>
      </c>
      <c r="K51" s="14" t="str">
        <f t="shared" si="18"/>
        <v/>
      </c>
      <c r="L51" s="14" t="str">
        <f t="shared" si="18"/>
        <v/>
      </c>
      <c r="M51" s="29"/>
      <c r="N51" s="29"/>
    </row>
    <row r="52" spans="1:14" x14ac:dyDescent="0.35">
      <c r="A52" t="str">
        <f t="shared" si="14"/>
        <v xml:space="preserve">    To Shared, Reserve</v>
      </c>
      <c r="B52" s="44" t="s">
        <v>198</v>
      </c>
      <c r="C52" s="14">
        <f>IF(OR(C$27="",$A52=""),"",IF(C$47&gt;C44,C44,C$47))</f>
        <v>0.56137388460009618</v>
      </c>
      <c r="D52" s="14">
        <f t="shared" ref="D52:L52" ca="1" si="19">IF(OR(D$27="",$A52=""),"",IF(D$47&gt;D44,D44,D$47))</f>
        <v>0.58729559548490584</v>
      </c>
      <c r="E52" s="14">
        <f t="shared" ca="1" si="19"/>
        <v>0.61721402013379456</v>
      </c>
      <c r="F52" s="14">
        <f t="shared" ca="1" si="19"/>
        <v>0.64557107421232884</v>
      </c>
      <c r="G52" s="14">
        <f t="shared" ca="1" si="19"/>
        <v>0.65080308074621529</v>
      </c>
      <c r="H52" s="14" t="str">
        <f t="shared" si="19"/>
        <v/>
      </c>
      <c r="I52" s="14" t="str">
        <f t="shared" si="19"/>
        <v/>
      </c>
      <c r="J52" s="14" t="str">
        <f t="shared" si="19"/>
        <v/>
      </c>
      <c r="K52" s="14" t="str">
        <f t="shared" si="19"/>
        <v/>
      </c>
      <c r="L52" s="14" t="str">
        <f t="shared" si="19"/>
        <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192</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183</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t="str">
        <f t="shared" si="21"/>
        <v/>
      </c>
      <c r="I59" s="78" t="str">
        <f t="shared" si="21"/>
        <v/>
      </c>
      <c r="J59" s="78" t="str">
        <f t="shared" si="21"/>
        <v/>
      </c>
      <c r="K59" s="78" t="str">
        <f t="shared" si="21"/>
        <v/>
      </c>
      <c r="L59" s="78"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2">IF(OR(D$27="",$A60=""),"",D30+D48-D40-D57)</f>
        <v>5.4672910663844707</v>
      </c>
      <c r="E60" s="14">
        <f t="shared" ca="1" si="22"/>
        <v>3.6870358615244161</v>
      </c>
      <c r="F60" s="14">
        <f t="shared" ca="1" si="22"/>
        <v>2.4850477962271711</v>
      </c>
      <c r="G60" s="14">
        <f t="shared" ca="1" si="22"/>
        <v>2.4824317929602273</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G61" ca="1" si="23">IF(D60&gt;4.2,4.2,MAX(D60,0))</f>
        <v>4.2</v>
      </c>
      <c r="E61" s="43">
        <f t="shared" ca="1" si="23"/>
        <v>3.6870358615244161</v>
      </c>
      <c r="F61" s="43">
        <f t="shared" ca="1" si="23"/>
        <v>2.4850477962271711</v>
      </c>
      <c r="G61" s="43">
        <f t="shared" ca="1" si="23"/>
        <v>2.4824317929602273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4">IF(OR(D$27="",$A62=""),"",D60-D61)</f>
        <v>1.2672910663844705</v>
      </c>
      <c r="E62" s="77">
        <f t="shared" ca="1" si="24"/>
        <v>0</v>
      </c>
      <c r="F62" s="77">
        <f t="shared" ca="1" si="24"/>
        <v>0</v>
      </c>
      <c r="G62" s="77">
        <f t="shared" ca="1" si="24"/>
        <v>0</v>
      </c>
      <c r="H62" s="77" t="str">
        <f t="shared" si="24"/>
        <v/>
      </c>
      <c r="I62" s="77" t="str">
        <f t="shared" si="24"/>
        <v/>
      </c>
      <c r="J62" s="77" t="str">
        <f t="shared" si="24"/>
        <v/>
      </c>
      <c r="K62" s="77" t="str">
        <f t="shared" si="24"/>
        <v/>
      </c>
      <c r="L62" s="77" t="str">
        <f t="shared" si="24"/>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183</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t="str">
        <f t="shared" si="26"/>
        <v/>
      </c>
      <c r="I67" s="78" t="str">
        <f t="shared" si="26"/>
        <v/>
      </c>
      <c r="J67" s="78" t="str">
        <f t="shared" si="26"/>
        <v/>
      </c>
      <c r="K67" s="78" t="str">
        <f t="shared" si="26"/>
        <v/>
      </c>
      <c r="L67" s="78" t="str">
        <f t="shared" si="26"/>
        <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10.507424922466976</v>
      </c>
      <c r="E68" s="14">
        <f t="shared" ca="1" si="27"/>
        <v>10.114868535655356</v>
      </c>
      <c r="F68" s="14">
        <f t="shared" ca="1" si="27"/>
        <v>9.7331399423712419</v>
      </c>
      <c r="G68" s="14">
        <f t="shared" ca="1" si="27"/>
        <v>9.4707072453922283</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6.7789999999999999</v>
      </c>
      <c r="G69" s="43">
        <f ca="1">IF(G27&lt;&gt;"",7.5-VLOOKUP(G38,LowerBasinCuts!$C$5:$P$13,14),"")</f>
        <v>6.7789999999999999</v>
      </c>
      <c r="H69" s="99"/>
      <c r="I69" s="99"/>
      <c r="J69" s="99"/>
      <c r="K69" s="99"/>
      <c r="L69" s="99"/>
      <c r="N69" t="str">
        <f t="shared" si="25"/>
        <v>Must be less than Available water</v>
      </c>
    </row>
    <row r="70" spans="1:14" x14ac:dyDescent="0.35">
      <c r="A70" s="32" t="str">
        <f>IF(A69="","","   End of Year Balance [maf]")</f>
        <v xml:space="preserve">   End of Year Balance [maf]</v>
      </c>
      <c r="C70" s="77">
        <f>7.5-IF(OR(C$27="",$A70=""),"",C68-C69)</f>
        <v>4.0083315344091641</v>
      </c>
      <c r="D70" s="77">
        <f t="shared" ref="D70:L70" ca="1" si="28">IF(OR(D$27="",$A70=""),"",D68-D69)</f>
        <v>3.6204249224669756</v>
      </c>
      <c r="E70" s="77">
        <f t="shared" ca="1" si="28"/>
        <v>3.2278685356553556</v>
      </c>
      <c r="F70" s="77">
        <f t="shared" ca="1" si="28"/>
        <v>2.954139942371242</v>
      </c>
      <c r="G70" s="77">
        <f t="shared" ca="1" si="28"/>
        <v>2.6917072453922284</v>
      </c>
      <c r="H70" s="77" t="str">
        <f t="shared" si="28"/>
        <v/>
      </c>
      <c r="I70" s="77" t="str">
        <f t="shared" si="28"/>
        <v/>
      </c>
      <c r="J70" s="77" t="str">
        <f t="shared" si="28"/>
        <v/>
      </c>
      <c r="K70" s="77" t="str">
        <f t="shared" si="28"/>
        <v/>
      </c>
      <c r="L70" s="77" t="str">
        <f t="shared" si="28"/>
        <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183</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t="str">
        <f t="shared" si="30"/>
        <v/>
      </c>
      <c r="I75" s="78" t="str">
        <f t="shared" si="30"/>
        <v/>
      </c>
      <c r="J75" s="78" t="str">
        <f t="shared" si="30"/>
        <v/>
      </c>
      <c r="K75" s="78" t="str">
        <f t="shared" si="30"/>
        <v/>
      </c>
      <c r="L75" s="78" t="str">
        <f t="shared" si="30"/>
        <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1.5655171406324015</v>
      </c>
      <c r="E76" s="14">
        <f t="shared" ca="1" si="31"/>
        <v>1.5571473163713165</v>
      </c>
      <c r="F76" s="14">
        <f ca="1">IF(OR(F$27="",$A76=""),"",F32+F50-F42-F73)</f>
        <v>1.5248591099949282</v>
      </c>
      <c r="G76" s="14">
        <f t="shared" ca="1" si="31"/>
        <v>1.5169690855803835</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2">D46</f>
        <v>1.4083333333333332</v>
      </c>
      <c r="E77" s="50">
        <f t="shared" ca="1" si="32"/>
        <v>1.4083333333333332</v>
      </c>
      <c r="F77" s="50">
        <f t="shared" ca="1" si="32"/>
        <v>1.3843333333333332</v>
      </c>
      <c r="G77" s="50">
        <f t="shared" ca="1" si="32"/>
        <v>1.3843333333333332</v>
      </c>
      <c r="H77" s="43"/>
      <c r="I77" s="43"/>
      <c r="J77" s="43"/>
      <c r="K77" s="43"/>
      <c r="L77" s="43"/>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0.15718380729906833</v>
      </c>
      <c r="E78" s="77">
        <f t="shared" ca="1" si="33"/>
        <v>0.14881398303798332</v>
      </c>
      <c r="F78" s="77">
        <f t="shared" ca="1" si="33"/>
        <v>0.14052577666159505</v>
      </c>
      <c r="G78" s="77">
        <f t="shared" ca="1" si="33"/>
        <v>0.13263575224705026</v>
      </c>
      <c r="H78" s="77" t="str">
        <f t="shared" si="33"/>
        <v/>
      </c>
      <c r="I78" s="77" t="str">
        <f t="shared" si="33"/>
        <v/>
      </c>
      <c r="J78" s="77" t="str">
        <f t="shared" si="33"/>
        <v/>
      </c>
      <c r="K78" s="77" t="str">
        <f t="shared" si="33"/>
        <v/>
      </c>
      <c r="L78" s="77" t="str">
        <f t="shared" si="33"/>
        <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183</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t="str">
        <f t="shared" si="35"/>
        <v/>
      </c>
      <c r="I83" s="78" t="str">
        <f t="shared" si="35"/>
        <v/>
      </c>
      <c r="J83" s="78" t="str">
        <f t="shared" si="35"/>
        <v/>
      </c>
      <c r="K83" s="78" t="str">
        <f t="shared" si="35"/>
        <v/>
      </c>
      <c r="L83" s="78" t="str">
        <f t="shared" si="35"/>
        <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G85" ca="1" si="37">D84</f>
        <v>0.6</v>
      </c>
      <c r="E85" s="43">
        <f t="shared" ca="1" si="37"/>
        <v>0.6</v>
      </c>
      <c r="F85" s="43">
        <f t="shared" ca="1" si="37"/>
        <v>0.6</v>
      </c>
      <c r="G85" s="43">
        <f t="shared" ca="1" si="37"/>
        <v>0.6</v>
      </c>
      <c r="H85" s="43"/>
      <c r="I85" s="43"/>
      <c r="J85" s="43"/>
      <c r="K85" s="43"/>
      <c r="L85" s="43"/>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t="str">
        <f t="shared" si="38"/>
        <v/>
      </c>
      <c r="I86" s="77" t="str">
        <f t="shared" si="38"/>
        <v/>
      </c>
      <c r="J86" s="77" t="str">
        <f t="shared" si="38"/>
        <v/>
      </c>
      <c r="K86" s="77" t="str">
        <f t="shared" si="38"/>
        <v/>
      </c>
      <c r="L86" s="77" t="str">
        <f t="shared" si="38"/>
        <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183</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t="str">
        <f t="shared" si="40"/>
        <v/>
      </c>
      <c r="I91" s="78" t="str">
        <f t="shared" si="40"/>
        <v/>
      </c>
      <c r="J91" s="78" t="str">
        <f t="shared" si="40"/>
        <v/>
      </c>
      <c r="K91" s="78" t="str">
        <f t="shared" si="40"/>
        <v/>
      </c>
      <c r="L91" s="78" t="str">
        <f t="shared" si="40"/>
        <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t="str">
        <f t="shared" si="41"/>
        <v/>
      </c>
      <c r="I92" s="14" t="str">
        <f t="shared" si="41"/>
        <v/>
      </c>
      <c r="J92" s="14" t="str">
        <f t="shared" si="41"/>
        <v/>
      </c>
      <c r="K92" s="14" t="str">
        <f t="shared" si="41"/>
        <v/>
      </c>
      <c r="L92" s="14" t="str">
        <f t="shared" si="41"/>
        <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t="str">
        <f t="shared" si="42"/>
        <v/>
      </c>
      <c r="I94" s="77" t="str">
        <f t="shared" si="42"/>
        <v/>
      </c>
      <c r="J94" s="77" t="str">
        <f t="shared" si="42"/>
        <v/>
      </c>
      <c r="K94" s="77" t="str">
        <f t="shared" si="42"/>
        <v/>
      </c>
      <c r="L94" s="77" t="str">
        <f t="shared" si="42"/>
        <v/>
      </c>
      <c r="N94" t="str">
        <f t="shared" si="39"/>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183</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3">IF(A98="","",N90)</f>
        <v/>
      </c>
    </row>
    <row r="99" spans="1:14" x14ac:dyDescent="0.35">
      <c r="A99" s="32" t="str">
        <f>IF(A98="","","   Volume all players (should be zero)")</f>
        <v/>
      </c>
      <c r="C99" s="78" t="str">
        <f t="shared" ref="C99:M99" si="44">IF(OR(C$27="",$A99=""),"",C$112)</f>
        <v/>
      </c>
      <c r="D99" s="78" t="str">
        <f t="shared" si="44"/>
        <v/>
      </c>
      <c r="E99" s="78" t="str">
        <f t="shared" si="44"/>
        <v/>
      </c>
      <c r="F99" s="78" t="str">
        <f t="shared" si="44"/>
        <v/>
      </c>
      <c r="G99" s="78" t="str">
        <f t="shared" si="44"/>
        <v/>
      </c>
      <c r="H99" s="78" t="str">
        <f t="shared" si="44"/>
        <v/>
      </c>
      <c r="I99" s="78" t="str">
        <f t="shared" si="44"/>
        <v/>
      </c>
      <c r="J99" s="78" t="str">
        <f t="shared" si="44"/>
        <v/>
      </c>
      <c r="K99" s="78" t="str">
        <f t="shared" si="44"/>
        <v/>
      </c>
      <c r="L99" s="78" t="str">
        <f t="shared" si="44"/>
        <v/>
      </c>
      <c r="M99" t="str">
        <f t="shared" si="44"/>
        <v/>
      </c>
      <c r="N99" t="str">
        <f t="shared" si="43"/>
        <v/>
      </c>
    </row>
    <row r="100" spans="1:14" x14ac:dyDescent="0.35">
      <c r="A100" s="1" t="str">
        <f>IF(A98="","","   Available Water [maf]")</f>
        <v/>
      </c>
      <c r="C100" s="14" t="str">
        <f t="shared" ref="C100:L100" si="45">IF(OR(C$27="",$A100=""),"",C35+C53-C45-C97)</f>
        <v/>
      </c>
      <c r="D100" s="14" t="str">
        <f t="shared" si="45"/>
        <v/>
      </c>
      <c r="E100" s="14" t="str">
        <f t="shared" si="45"/>
        <v/>
      </c>
      <c r="F100" s="14" t="str">
        <f t="shared" si="45"/>
        <v/>
      </c>
      <c r="G100" s="14" t="str">
        <f t="shared" si="45"/>
        <v/>
      </c>
      <c r="H100" s="14" t="str">
        <f t="shared" si="45"/>
        <v/>
      </c>
      <c r="I100" s="14" t="str">
        <f t="shared" si="45"/>
        <v/>
      </c>
      <c r="J100" s="14" t="str">
        <f t="shared" si="45"/>
        <v/>
      </c>
      <c r="K100" s="14" t="str">
        <f t="shared" si="45"/>
        <v/>
      </c>
      <c r="L100" s="14" t="str">
        <f t="shared" si="45"/>
        <v/>
      </c>
      <c r="N100" t="str">
        <f t="shared" si="43"/>
        <v/>
      </c>
    </row>
    <row r="101" spans="1:14" x14ac:dyDescent="0.35">
      <c r="A101" s="1" t="str">
        <f>IF(A100="","","   Account Withdraw [maf]")</f>
        <v/>
      </c>
      <c r="C101" s="43"/>
      <c r="D101" s="43"/>
      <c r="E101" s="43"/>
      <c r="F101" s="43"/>
      <c r="G101" s="43"/>
      <c r="H101" s="43"/>
      <c r="I101" s="43"/>
      <c r="J101" s="43"/>
      <c r="K101" s="43"/>
      <c r="L101" s="43"/>
      <c r="N101" t="str">
        <f t="shared" si="43"/>
        <v/>
      </c>
    </row>
    <row r="102" spans="1:14" x14ac:dyDescent="0.35">
      <c r="A102" s="32" t="str">
        <f>IF(A101="","","   End of Year Balance [maf]")</f>
        <v/>
      </c>
      <c r="C102" s="77" t="str">
        <f>IF(OR(C$27="",$A102=""),"",C100-C101)</f>
        <v/>
      </c>
      <c r="D102" s="77" t="str">
        <f t="shared" ref="D102:L102" si="46">IF(OR(D$27="",$A102=""),"",D100-D101)</f>
        <v/>
      </c>
      <c r="E102" s="77" t="str">
        <f t="shared" si="46"/>
        <v/>
      </c>
      <c r="F102" s="77" t="str">
        <f t="shared" si="46"/>
        <v/>
      </c>
      <c r="G102" s="77" t="str">
        <f t="shared" si="46"/>
        <v/>
      </c>
      <c r="H102" s="77" t="str">
        <f t="shared" si="46"/>
        <v/>
      </c>
      <c r="I102" s="77" t="str">
        <f t="shared" si="46"/>
        <v/>
      </c>
      <c r="J102" s="77" t="str">
        <f t="shared" si="46"/>
        <v/>
      </c>
      <c r="K102" s="77" t="str">
        <f t="shared" si="46"/>
        <v/>
      </c>
      <c r="L102" s="77" t="str">
        <f t="shared" si="46"/>
        <v/>
      </c>
      <c r="N102" t="str">
        <f t="shared" si="43"/>
        <v/>
      </c>
    </row>
    <row r="103" spans="1:14" x14ac:dyDescent="0.35">
      <c r="C103"/>
    </row>
    <row r="104" spans="1:14" x14ac:dyDescent="0.35">
      <c r="A104" s="82" t="s">
        <v>194</v>
      </c>
      <c r="B104" s="83"/>
      <c r="C104" s="83"/>
      <c r="D104" s="83"/>
      <c r="E104" s="83"/>
      <c r="F104" s="83"/>
      <c r="G104" s="83"/>
      <c r="H104" s="83"/>
      <c r="I104" s="83"/>
      <c r="J104" s="83"/>
      <c r="K104" s="83"/>
      <c r="L104" s="83"/>
      <c r="M104" s="83"/>
      <c r="N104" s="83"/>
    </row>
    <row r="105" spans="1:14" x14ac:dyDescent="0.35">
      <c r="A105" s="1" t="s">
        <v>155</v>
      </c>
      <c r="C105"/>
      <c r="M105" t="s">
        <v>193</v>
      </c>
      <c r="N105" t="s">
        <v>156</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t="str">
        <f t="shared" ca="1" si="48"/>
        <v/>
      </c>
      <c r="I106" s="78" t="str">
        <f t="shared" ca="1" si="48"/>
        <v/>
      </c>
      <c r="J106" s="78" t="str">
        <f t="shared" ca="1" si="48"/>
        <v/>
      </c>
      <c r="K106" s="78" t="str">
        <f t="shared" ca="1" si="48"/>
        <v/>
      </c>
      <c r="L106" s="78" t="str">
        <f t="shared" ca="1" si="48"/>
        <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t="str">
        <f t="shared" ca="1" si="48"/>
        <v/>
      </c>
      <c r="I107" s="78" t="str">
        <f t="shared" ca="1" si="48"/>
        <v/>
      </c>
      <c r="J107" s="78" t="str">
        <f t="shared" ca="1" si="48"/>
        <v/>
      </c>
      <c r="K107" s="78" t="str">
        <f t="shared" ca="1" si="48"/>
        <v/>
      </c>
      <c r="L107" s="78" t="str">
        <f t="shared" ca="1" si="48"/>
        <v/>
      </c>
      <c r="M107" s="78">
        <f t="shared" ref="M107:M111" ca="1" si="49">IF(OR($A107=""),"",SUM(C107:L107))</f>
        <v>0</v>
      </c>
      <c r="N107" s="75">
        <f>IF(OR($A107=""),"",M66)</f>
        <v>0</v>
      </c>
    </row>
    <row r="108" spans="1:14" x14ac:dyDescent="0.35">
      <c r="A108" t="str">
        <f t="shared" si="47"/>
        <v xml:space="preserve">    Mexico</v>
      </c>
      <c r="B108" s="1"/>
      <c r="C108" s="78">
        <f t="shared" ca="1" si="48"/>
        <v>0</v>
      </c>
      <c r="D108" s="78">
        <f t="shared" ca="1" si="48"/>
        <v>0</v>
      </c>
      <c r="E108" s="78">
        <f t="shared" ca="1" si="48"/>
        <v>0</v>
      </c>
      <c r="F108" s="78">
        <f t="shared" ca="1" si="48"/>
        <v>0</v>
      </c>
      <c r="G108" s="78">
        <f t="shared" ca="1" si="48"/>
        <v>0</v>
      </c>
      <c r="H108" s="78" t="str">
        <f t="shared" ca="1" si="48"/>
        <v/>
      </c>
      <c r="I108" s="78" t="str">
        <f t="shared" ca="1" si="48"/>
        <v/>
      </c>
      <c r="J108" s="78" t="str">
        <f t="shared" ca="1" si="48"/>
        <v/>
      </c>
      <c r="K108" s="78" t="str">
        <f t="shared" ca="1" si="48"/>
        <v/>
      </c>
      <c r="L108" s="78" t="str">
        <f t="shared" ca="1" si="48"/>
        <v/>
      </c>
      <c r="M108" s="78">
        <f t="shared" ca="1" si="49"/>
        <v>0</v>
      </c>
      <c r="N108" s="75">
        <f>IF(OR($A108=""),"",M74)</f>
        <v>0</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t="str">
        <f t="shared" ca="1" si="48"/>
        <v/>
      </c>
      <c r="I109" s="78" t="str">
        <f t="shared" ca="1" si="48"/>
        <v/>
      </c>
      <c r="J109" s="78" t="str">
        <f t="shared" ca="1" si="48"/>
        <v/>
      </c>
      <c r="K109" s="78" t="str">
        <f t="shared" ca="1" si="48"/>
        <v/>
      </c>
      <c r="L109" s="78" t="str">
        <f t="shared" ca="1" si="48"/>
        <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t="str">
        <f t="shared" ca="1" si="48"/>
        <v/>
      </c>
      <c r="I110" s="78" t="str">
        <f t="shared" ca="1" si="48"/>
        <v/>
      </c>
      <c r="J110" s="78" t="str">
        <f t="shared" ca="1" si="48"/>
        <v/>
      </c>
      <c r="K110" s="78" t="str">
        <f t="shared" ca="1" si="48"/>
        <v/>
      </c>
      <c r="L110" s="78" t="str">
        <f t="shared" ca="1" si="48"/>
        <v/>
      </c>
      <c r="M110" s="78">
        <f t="shared" ca="1" si="49"/>
        <v>0</v>
      </c>
      <c r="N110" s="75">
        <f>IF(OR($A110=""),"",M90)</f>
        <v>0</v>
      </c>
    </row>
    <row r="111" spans="1:14" x14ac:dyDescent="0.35">
      <c r="A111" t="str">
        <f t="shared" si="47"/>
        <v/>
      </c>
      <c r="B111" s="1"/>
      <c r="C111" s="78" t="str">
        <f t="shared" ca="1" si="48"/>
        <v/>
      </c>
      <c r="D111" s="78" t="str">
        <f t="shared" ca="1" si="48"/>
        <v/>
      </c>
      <c r="E111" s="78" t="str">
        <f t="shared" ca="1" si="48"/>
        <v/>
      </c>
      <c r="F111" s="78" t="str">
        <f t="shared" ca="1" si="48"/>
        <v/>
      </c>
      <c r="G111" s="78" t="str">
        <f t="shared" ca="1" si="48"/>
        <v/>
      </c>
      <c r="H111" s="78" t="str">
        <f t="shared" ca="1" si="48"/>
        <v/>
      </c>
      <c r="I111" s="78" t="str">
        <f t="shared" ca="1" si="48"/>
        <v/>
      </c>
      <c r="J111" s="78" t="str">
        <f t="shared" ca="1" si="48"/>
        <v/>
      </c>
      <c r="K111" s="78" t="str">
        <f t="shared" ca="1" si="48"/>
        <v/>
      </c>
      <c r="L111" s="78" t="str">
        <f t="shared" ca="1" si="48"/>
        <v/>
      </c>
      <c r="M111" s="78" t="str">
        <f t="shared" si="49"/>
        <v/>
      </c>
      <c r="N111" s="75" t="str">
        <f>IF(OR($A111=""),"",M98)</f>
        <v/>
      </c>
    </row>
    <row r="112" spans="1:14" x14ac:dyDescent="0.35">
      <c r="A112" t="s">
        <v>151</v>
      </c>
      <c r="B112" s="1"/>
      <c r="C112" s="52">
        <f ca="1">IF(C$27&lt;&gt;"",SUM(C106:C111),"")</f>
        <v>0</v>
      </c>
      <c r="D112" s="52">
        <f t="shared" ref="D112:L112" ca="1" si="50">IF(D$27&lt;&gt;"",SUM(D106:D111),"")</f>
        <v>0</v>
      </c>
      <c r="E112" s="52">
        <f t="shared" ca="1" si="50"/>
        <v>0</v>
      </c>
      <c r="F112" s="52">
        <f t="shared" ca="1" si="50"/>
        <v>0</v>
      </c>
      <c r="G112" s="52">
        <f t="shared" ca="1" si="50"/>
        <v>0</v>
      </c>
      <c r="H112" s="52" t="str">
        <f t="shared" si="50"/>
        <v/>
      </c>
      <c r="I112" s="52" t="str">
        <f t="shared" si="50"/>
        <v/>
      </c>
      <c r="J112" s="52" t="str">
        <f t="shared" si="50"/>
        <v/>
      </c>
      <c r="K112" s="52" t="str">
        <f t="shared" si="50"/>
        <v/>
      </c>
      <c r="L112" s="52" t="str">
        <f t="shared" si="50"/>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3.6870358615244161</v>
      </c>
      <c r="F114" s="78">
        <f t="shared" ca="1" si="51"/>
        <v>2.4850477962271711</v>
      </c>
      <c r="G114" s="78">
        <f t="shared" ca="1" si="51"/>
        <v>2.4824317929602273</v>
      </c>
      <c r="H114" s="78" t="str">
        <f t="shared" ca="1" si="51"/>
        <v/>
      </c>
      <c r="I114" s="78" t="str">
        <f t="shared" ca="1" si="51"/>
        <v/>
      </c>
      <c r="J114" s="78" t="str">
        <f t="shared" ca="1" si="51"/>
        <v/>
      </c>
      <c r="K114" s="78" t="str">
        <f t="shared" ca="1" si="51"/>
        <v/>
      </c>
      <c r="L114" s="78" t="str">
        <f t="shared" ca="1" si="51"/>
        <v/>
      </c>
    </row>
    <row r="115" spans="1:12" x14ac:dyDescent="0.35">
      <c r="A115" t="str">
        <f>IF(A7="","","    "&amp;A7&amp;" - Release from Mead")</f>
        <v xml:space="preserve">    Lower Basin - Release from Mead</v>
      </c>
      <c r="C115" s="78">
        <f t="shared" ca="1" si="51"/>
        <v>7.2590000000000003</v>
      </c>
      <c r="D115" s="78">
        <f t="shared" ca="1" si="51"/>
        <v>6.8870000000000005</v>
      </c>
      <c r="E115" s="78">
        <f t="shared" ca="1" si="51"/>
        <v>6.8870000000000005</v>
      </c>
      <c r="F115" s="78">
        <f t="shared" ca="1" si="51"/>
        <v>6.7789999999999999</v>
      </c>
      <c r="G115" s="78">
        <f t="shared" ca="1" si="51"/>
        <v>6.7789999999999999</v>
      </c>
      <c r="H115" s="78" t="str">
        <f t="shared" ca="1" si="51"/>
        <v/>
      </c>
      <c r="I115" s="78" t="str">
        <f t="shared" ca="1" si="51"/>
        <v/>
      </c>
      <c r="J115" s="78" t="str">
        <f t="shared" ca="1" si="51"/>
        <v/>
      </c>
      <c r="K115" s="78" t="str">
        <f t="shared" ca="1" si="51"/>
        <v/>
      </c>
      <c r="L115" s="78" t="str">
        <f t="shared" ca="1" si="51"/>
        <v/>
      </c>
    </row>
    <row r="116" spans="1:12" x14ac:dyDescent="0.35">
      <c r="A116" t="str">
        <f>IF(A8="","","    "&amp;A8&amp;" - Release from Mead")</f>
        <v xml:space="preserve">    Mexico - Release from Mead</v>
      </c>
      <c r="C116" s="78">
        <f t="shared" ca="1" si="51"/>
        <v>1.4473333333333334</v>
      </c>
      <c r="D116" s="78">
        <f t="shared" ca="1" si="51"/>
        <v>1.4083333333333332</v>
      </c>
      <c r="E116" s="78">
        <f t="shared" ca="1" si="51"/>
        <v>1.4083333333333332</v>
      </c>
      <c r="F116" s="78">
        <f t="shared" ca="1" si="51"/>
        <v>1.3843333333333332</v>
      </c>
      <c r="G116" s="78">
        <f t="shared" ca="1" si="51"/>
        <v>1.3843333333333332</v>
      </c>
      <c r="H116" s="78" t="str">
        <f t="shared" ca="1" si="51"/>
        <v/>
      </c>
      <c r="I116" s="78" t="str">
        <f t="shared" ca="1" si="51"/>
        <v/>
      </c>
      <c r="J116" s="78" t="str">
        <f t="shared" ca="1" si="51"/>
        <v/>
      </c>
      <c r="K116" s="78" t="str">
        <f t="shared" ca="1" si="51"/>
        <v/>
      </c>
      <c r="L116" s="78" t="str">
        <f t="shared" ca="1" si="51"/>
        <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t="str">
        <f t="shared" ca="1" si="51"/>
        <v/>
      </c>
      <c r="I117" s="78" t="str">
        <f t="shared" ca="1" si="51"/>
        <v/>
      </c>
      <c r="J117" s="78" t="str">
        <f t="shared" ca="1" si="51"/>
        <v/>
      </c>
      <c r="K117" s="78" t="str">
        <f t="shared" ca="1" si="51"/>
        <v/>
      </c>
      <c r="L117" s="78" t="str">
        <f t="shared" ca="1" si="51"/>
        <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t="str">
        <f t="shared" ca="1" si="51"/>
        <v/>
      </c>
      <c r="I118" s="78" t="str">
        <f t="shared" ca="1" si="51"/>
        <v/>
      </c>
      <c r="J118" s="78" t="str">
        <f t="shared" ca="1" si="51"/>
        <v/>
      </c>
      <c r="K118" s="78" t="str">
        <f t="shared" ca="1" si="51"/>
        <v/>
      </c>
      <c r="L118" s="78" t="str">
        <f t="shared" ca="1" si="51"/>
        <v/>
      </c>
    </row>
    <row r="119" spans="1:12" x14ac:dyDescent="0.35">
      <c r="A119" t="str">
        <f>IF(A11="","","    "&amp;A11&amp;" - Release from Mead")</f>
        <v/>
      </c>
      <c r="C119" s="78" t="str">
        <f t="shared" ca="1" si="51"/>
        <v/>
      </c>
      <c r="D119" s="78" t="str">
        <f t="shared" ca="1" si="51"/>
        <v/>
      </c>
      <c r="E119" s="78" t="str">
        <f t="shared" ca="1" si="51"/>
        <v/>
      </c>
      <c r="F119" s="78" t="str">
        <f t="shared" ca="1" si="51"/>
        <v/>
      </c>
      <c r="G119" s="78" t="str">
        <f t="shared" ca="1" si="51"/>
        <v/>
      </c>
      <c r="H119" s="78" t="str">
        <f t="shared" ca="1" si="51"/>
        <v/>
      </c>
      <c r="I119" s="78" t="str">
        <f t="shared" ca="1" si="51"/>
        <v/>
      </c>
      <c r="J119" s="78" t="str">
        <f t="shared" ca="1" si="51"/>
        <v/>
      </c>
      <c r="K119" s="78" t="str">
        <f t="shared" ca="1" si="51"/>
        <v/>
      </c>
      <c r="L119" s="78" t="str">
        <f t="shared" ca="1" si="51"/>
        <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3.1233582945981313</v>
      </c>
      <c r="D121" s="78">
        <f t="shared" ca="1" si="53"/>
        <v>1.2672910663844705</v>
      </c>
      <c r="E121" s="78">
        <f t="shared" ca="1" si="53"/>
        <v>0</v>
      </c>
      <c r="F121" s="78">
        <f t="shared" ca="1" si="53"/>
        <v>0</v>
      </c>
      <c r="G121" s="78">
        <f t="shared" ca="1" si="53"/>
        <v>0</v>
      </c>
      <c r="H121" s="78" t="str">
        <f t="shared" ca="1" si="53"/>
        <v/>
      </c>
      <c r="I121" s="78" t="str">
        <f t="shared" ca="1" si="53"/>
        <v/>
      </c>
      <c r="J121" s="78" t="str">
        <f t="shared" ca="1" si="53"/>
        <v/>
      </c>
      <c r="K121" s="78" t="str">
        <f t="shared" ca="1" si="53"/>
        <v/>
      </c>
      <c r="L121" s="78" t="str">
        <f t="shared" ca="1" si="53"/>
        <v/>
      </c>
    </row>
    <row r="122" spans="1:12" x14ac:dyDescent="0.35">
      <c r="A122" t="str">
        <f t="shared" si="52"/>
        <v xml:space="preserve">    Lower Basin</v>
      </c>
      <c r="C122" s="78">
        <f t="shared" ca="1" si="53"/>
        <v>4.0083315344091641</v>
      </c>
      <c r="D122" s="78">
        <f t="shared" ca="1" si="53"/>
        <v>3.6204249224669756</v>
      </c>
      <c r="E122" s="78">
        <f t="shared" ca="1" si="53"/>
        <v>3.2278685356553556</v>
      </c>
      <c r="F122" s="78">
        <f t="shared" ca="1" si="53"/>
        <v>2.954139942371242</v>
      </c>
      <c r="G122" s="78">
        <f t="shared" ca="1" si="53"/>
        <v>2.6917072453922284</v>
      </c>
      <c r="H122" s="78" t="str">
        <f t="shared" ca="1" si="53"/>
        <v/>
      </c>
      <c r="I122" s="78" t="str">
        <f t="shared" ca="1" si="53"/>
        <v/>
      </c>
      <c r="J122" s="78" t="str">
        <f t="shared" ca="1" si="53"/>
        <v/>
      </c>
      <c r="K122" s="78" t="str">
        <f t="shared" ca="1" si="53"/>
        <v/>
      </c>
      <c r="L122" s="78" t="str">
        <f t="shared" ca="1" si="53"/>
        <v/>
      </c>
    </row>
    <row r="123" spans="1:12" x14ac:dyDescent="0.35">
      <c r="A123" t="str">
        <f t="shared" si="52"/>
        <v xml:space="preserve">    Mexico</v>
      </c>
      <c r="C123" s="78">
        <f t="shared" ca="1" si="53"/>
        <v>0.16557297647772518</v>
      </c>
      <c r="D123" s="78">
        <f t="shared" ca="1" si="53"/>
        <v>0.15718380729906833</v>
      </c>
      <c r="E123" s="78">
        <f t="shared" ca="1" si="53"/>
        <v>0.14881398303798332</v>
      </c>
      <c r="F123" s="78">
        <f t="shared" ca="1" si="53"/>
        <v>0.14052577666159505</v>
      </c>
      <c r="G123" s="78">
        <f t="shared" ca="1" si="53"/>
        <v>0.13263575224705026</v>
      </c>
      <c r="H123" s="78" t="str">
        <f t="shared" ca="1" si="53"/>
        <v/>
      </c>
      <c r="I123" s="78" t="str">
        <f t="shared" ca="1" si="53"/>
        <v/>
      </c>
      <c r="J123" s="78" t="str">
        <f t="shared" ca="1" si="53"/>
        <v/>
      </c>
      <c r="K123" s="78" t="str">
        <f t="shared" ca="1" si="53"/>
        <v/>
      </c>
      <c r="L123" s="78" t="str">
        <f t="shared" ca="1" si="53"/>
        <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t="str">
        <f t="shared" ca="1" si="53"/>
        <v/>
      </c>
      <c r="I124" s="78" t="str">
        <f t="shared" ca="1" si="53"/>
        <v/>
      </c>
      <c r="J124" s="78" t="str">
        <f t="shared" ca="1" si="53"/>
        <v/>
      </c>
      <c r="K124" s="78" t="str">
        <f t="shared" ca="1" si="53"/>
        <v/>
      </c>
      <c r="L124" s="78" t="str">
        <f t="shared" ca="1" si="53"/>
        <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t="str">
        <f t="shared" ca="1" si="53"/>
        <v/>
      </c>
      <c r="I125" s="78" t="str">
        <f t="shared" ca="1" si="53"/>
        <v/>
      </c>
      <c r="J125" s="78" t="str">
        <f t="shared" ca="1" si="53"/>
        <v/>
      </c>
      <c r="K125" s="78" t="str">
        <f t="shared" ca="1" si="53"/>
        <v/>
      </c>
      <c r="L125" s="78" t="str">
        <f t="shared" ca="1" si="53"/>
        <v/>
      </c>
    </row>
    <row r="126" spans="1:12" x14ac:dyDescent="0.35">
      <c r="A126" t="str">
        <f t="shared" si="52"/>
        <v/>
      </c>
      <c r="C126" s="78" t="str">
        <f t="shared" ca="1" si="53"/>
        <v/>
      </c>
      <c r="D126" s="78" t="str">
        <f t="shared" ca="1" si="53"/>
        <v/>
      </c>
      <c r="E126" s="78" t="str">
        <f t="shared" ca="1" si="53"/>
        <v/>
      </c>
      <c r="F126" s="78" t="str">
        <f t="shared" ca="1" si="53"/>
        <v/>
      </c>
      <c r="G126" s="78" t="str">
        <f t="shared" ca="1" si="53"/>
        <v/>
      </c>
      <c r="H126" s="78" t="str">
        <f t="shared" ca="1" si="53"/>
        <v/>
      </c>
      <c r="I126" s="78" t="str">
        <f t="shared" ca="1" si="53"/>
        <v/>
      </c>
      <c r="J126" s="78" t="str">
        <f t="shared" ca="1" si="53"/>
        <v/>
      </c>
      <c r="K126" s="78" t="str">
        <f t="shared" ca="1" si="53"/>
        <v/>
      </c>
      <c r="L126" s="78" t="str">
        <f t="shared" ca="1" si="53"/>
        <v/>
      </c>
    </row>
    <row r="127" spans="1:12" x14ac:dyDescent="0.35">
      <c r="A127" s="1" t="s">
        <v>123</v>
      </c>
      <c r="B127" s="1"/>
      <c r="C127" s="14">
        <f ca="1">IF(C$27&lt;&gt;"",SUM(C121:C126),"")</f>
        <v>18.888432055485019</v>
      </c>
      <c r="D127" s="14">
        <f t="shared" ref="D127:L127" ca="1" si="54">IF(D$27&lt;&gt;"",SUM(D121:D126),"")</f>
        <v>16.636069046150514</v>
      </c>
      <c r="E127" s="14">
        <f t="shared" ca="1" si="54"/>
        <v>14.96785176869334</v>
      </c>
      <c r="F127" s="14">
        <f t="shared" ca="1" si="54"/>
        <v>14.685834969032836</v>
      </c>
      <c r="G127" s="14">
        <f t="shared" ca="1" si="54"/>
        <v>14.415512247639278</v>
      </c>
      <c r="H127" s="14" t="str">
        <f t="shared" si="54"/>
        <v/>
      </c>
      <c r="I127" s="14" t="str">
        <f t="shared" si="54"/>
        <v/>
      </c>
      <c r="J127" s="14" t="str">
        <f t="shared" si="54"/>
        <v/>
      </c>
      <c r="K127" s="14" t="str">
        <f t="shared" si="54"/>
        <v/>
      </c>
      <c r="L127" s="14" t="str">
        <f t="shared" si="54"/>
        <v/>
      </c>
    </row>
    <row r="128" spans="1:12" x14ac:dyDescent="0.35">
      <c r="A128" s="1" t="s">
        <v>214</v>
      </c>
      <c r="B128" s="1"/>
      <c r="C128" s="87">
        <v>0.5</v>
      </c>
      <c r="D128" s="87">
        <v>0.5</v>
      </c>
      <c r="E128" s="87">
        <v>0.5</v>
      </c>
      <c r="F128" s="87">
        <v>0.5</v>
      </c>
      <c r="G128" s="87">
        <v>0.5</v>
      </c>
      <c r="H128" s="87"/>
      <c r="I128" s="87"/>
      <c r="J128" s="87"/>
      <c r="K128" s="87"/>
      <c r="L128" s="87"/>
    </row>
    <row r="129" spans="1:14" x14ac:dyDescent="0.35">
      <c r="A129" s="1" t="s">
        <v>210</v>
      </c>
      <c r="B129" s="1"/>
      <c r="C129" s="14">
        <f ca="1">IF(C27="","",C$128*C$127)</f>
        <v>9.4442160277425096</v>
      </c>
      <c r="D129" s="14">
        <f t="shared" ref="D129:L129" ca="1" si="55">IF(D27="","",D$128*D$127)</f>
        <v>8.3180345230752568</v>
      </c>
      <c r="E129" s="14">
        <f t="shared" ca="1" si="55"/>
        <v>7.4839258843466698</v>
      </c>
      <c r="F129" s="14">
        <f t="shared" ca="1" si="55"/>
        <v>7.342917484516418</v>
      </c>
      <c r="G129" s="14">
        <f t="shared" ca="1" si="55"/>
        <v>7.2077561238196388</v>
      </c>
      <c r="H129" s="14" t="str">
        <f t="shared" si="55"/>
        <v/>
      </c>
      <c r="I129" s="14" t="str">
        <f t="shared" si="55"/>
        <v/>
      </c>
      <c r="J129" s="14" t="str">
        <f t="shared" si="55"/>
        <v/>
      </c>
      <c r="K129" s="14" t="str">
        <f t="shared" si="55"/>
        <v/>
      </c>
      <c r="L129" s="14" t="str">
        <f t="shared" si="55"/>
        <v/>
      </c>
    </row>
    <row r="130" spans="1:14" x14ac:dyDescent="0.35">
      <c r="A130" s="1" t="s">
        <v>211</v>
      </c>
      <c r="B130" s="1"/>
      <c r="C130" s="14">
        <f ca="1">IF(C28="","",(1-C$128)*C$127)</f>
        <v>9.4442160277425096</v>
      </c>
      <c r="D130" s="14">
        <f t="shared" ref="D130:L130" ca="1" si="56">IF(D28="","",(1-D$128)*D$127)</f>
        <v>8.3180345230752568</v>
      </c>
      <c r="E130" s="14">
        <f t="shared" ca="1" si="56"/>
        <v>7.4839258843466698</v>
      </c>
      <c r="F130" s="14">
        <f t="shared" ca="1" si="56"/>
        <v>7.342917484516418</v>
      </c>
      <c r="G130" s="14">
        <f t="shared" ca="1" si="56"/>
        <v>7.2077561238196388</v>
      </c>
      <c r="H130" s="14" t="str">
        <f t="shared" si="56"/>
        <v/>
      </c>
      <c r="I130" s="14" t="str">
        <f t="shared" si="56"/>
        <v/>
      </c>
      <c r="J130" s="14" t="str">
        <f t="shared" si="56"/>
        <v/>
      </c>
      <c r="K130" s="14" t="str">
        <f t="shared" si="56"/>
        <v/>
      </c>
      <c r="L130" s="14" t="str">
        <f t="shared" si="56"/>
        <v/>
      </c>
    </row>
    <row r="131" spans="1:14" x14ac:dyDescent="0.35">
      <c r="A131" s="1" t="s">
        <v>145</v>
      </c>
      <c r="B131" s="1"/>
      <c r="C131" s="14">
        <f ca="1">IF(C$27&lt;&gt;"",-C129+C37+C27-C61-VLOOKUP(C37*1000000,'Powell-Elevation-Area'!$B$5:$D$689,3)*$B$21/1000000,"")</f>
        <v>7.832887092256918</v>
      </c>
      <c r="D131" s="14">
        <f ca="1">IF(D$27&lt;&gt;"",-D129+D37+D27-D61-VLOOKUP(D37*1000000,'Powell-Elevation-Area'!$B$5:$D$689,3)*$B$21/1000000,"")</f>
        <v>7.4519598286666797</v>
      </c>
      <c r="E131" s="14">
        <f ca="1">IF(E$27&lt;&gt;"",-E129+E37+E27-E61-VLOOKUP(E37*1000000,'Powell-Elevation-Area'!$B$5:$D$689,3)*$B$21/1000000,"")</f>
        <v>7.7129586946047439</v>
      </c>
      <c r="F131" s="14">
        <f ca="1">IF(F$27&lt;&gt;"",-F129+F37+F27-F61-VLOOKUP(F37*1000000,'Powell-Elevation-Area'!$B$5:$D$689,3)*$B$21/1000000,"")</f>
        <v>8.2495009335030804</v>
      </c>
      <c r="G131" s="14">
        <f ca="1">IF(G$27&lt;&gt;"",-G129+G37+G27-G61-VLOOKUP(G37*1000000,'Powell-Elevation-Area'!$B$5:$D$689,3)*$B$21/1000000,"")</f>
        <v>8.2512979726365518</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212</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t="str">
        <f t="shared" si="57"/>
        <v/>
      </c>
      <c r="I133" s="12" t="str">
        <f t="shared" si="57"/>
        <v/>
      </c>
      <c r="J133" s="12" t="str">
        <f t="shared" si="57"/>
        <v/>
      </c>
      <c r="K133" s="12" t="str">
        <f t="shared" si="57"/>
        <v/>
      </c>
      <c r="L133" s="12" t="str">
        <f t="shared" si="57"/>
        <v/>
      </c>
    </row>
    <row r="134" spans="1:14" x14ac:dyDescent="0.35">
      <c r="A134" t="s">
        <v>126</v>
      </c>
      <c r="C134" s="14">
        <f t="shared" ref="C134:L134" ca="1" si="58">IF(C$27&lt;&gt;"",C115+C133,"")</f>
        <v>7.4590000000000005</v>
      </c>
      <c r="D134" s="14">
        <f t="shared" ca="1" si="58"/>
        <v>7.0870000000000006</v>
      </c>
      <c r="E134" s="14">
        <f t="shared" ca="1" si="58"/>
        <v>7.0870000000000006</v>
      </c>
      <c r="F134" s="14">
        <f t="shared" ca="1" si="58"/>
        <v>6.9790000000000001</v>
      </c>
      <c r="G134" s="14">
        <f t="shared" ca="1" si="58"/>
        <v>6.9790000000000001</v>
      </c>
      <c r="H134" s="14" t="str">
        <f t="shared" si="58"/>
        <v/>
      </c>
      <c r="I134" s="14" t="str">
        <f t="shared" si="58"/>
        <v/>
      </c>
      <c r="J134" s="14" t="str">
        <f t="shared" si="58"/>
        <v/>
      </c>
      <c r="K134" s="14" t="str">
        <f t="shared" si="58"/>
        <v/>
      </c>
      <c r="L134" s="14" t="str">
        <f t="shared" si="58"/>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49" priority="68" operator="greaterThan">
      <formula>$C$60</formula>
    </cfRule>
  </conditionalFormatting>
  <conditionalFormatting sqref="H61">
    <cfRule type="cellIs" dxfId="148" priority="63" operator="greaterThan">
      <formula>$H$60</formula>
    </cfRule>
  </conditionalFormatting>
  <conditionalFormatting sqref="I61">
    <cfRule type="cellIs" dxfId="147" priority="62" operator="greaterThan">
      <formula>$I$60</formula>
    </cfRule>
  </conditionalFormatting>
  <conditionalFormatting sqref="J61">
    <cfRule type="cellIs" dxfId="146" priority="61" operator="greaterThan">
      <formula>$J$60</formula>
    </cfRule>
  </conditionalFormatting>
  <conditionalFormatting sqref="K61">
    <cfRule type="cellIs" dxfId="145" priority="60" operator="greaterThan">
      <formula>$K$60</formula>
    </cfRule>
  </conditionalFormatting>
  <conditionalFormatting sqref="L61">
    <cfRule type="cellIs" dxfId="144" priority="59" operator="greaterThan">
      <formula>$L$60</formula>
    </cfRule>
  </conditionalFormatting>
  <conditionalFormatting sqref="C69:L69">
    <cfRule type="cellIs" dxfId="143" priority="51" operator="greaterThan">
      <formula>$C$68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workbookViewId="0">
      <selection activeCell="U41" sqref="U41"/>
    </sheetView>
  </sheetViews>
  <sheetFormatPr defaultRowHeight="14.5" x14ac:dyDescent="0.35"/>
  <sheetData>
    <row r="1" spans="7:24" ht="36" x14ac:dyDescent="0.8">
      <c r="G1" s="48" t="s">
        <v>39</v>
      </c>
      <c r="P1" s="48" t="s">
        <v>40</v>
      </c>
      <c r="X1" s="48" t="s">
        <v>237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36"/>
  <sheetViews>
    <sheetView topLeftCell="A29"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157</v>
      </c>
      <c r="B3" s="117"/>
      <c r="C3" s="117"/>
      <c r="D3" s="117"/>
      <c r="E3" s="117"/>
      <c r="F3" s="117"/>
      <c r="G3" s="117"/>
      <c r="H3" s="92"/>
      <c r="I3" s="92"/>
      <c r="J3" s="92"/>
      <c r="K3" s="92"/>
    </row>
    <row r="4" spans="1:11" x14ac:dyDescent="0.35">
      <c r="A4" s="59" t="s">
        <v>38</v>
      </c>
      <c r="B4" s="59" t="s">
        <v>42</v>
      </c>
      <c r="C4" s="118" t="s">
        <v>43</v>
      </c>
      <c r="D4" s="119"/>
      <c r="E4" s="119"/>
      <c r="F4" s="119"/>
      <c r="G4" s="120"/>
    </row>
    <row r="5" spans="1:11" x14ac:dyDescent="0.35">
      <c r="A5" s="93" t="s">
        <v>51</v>
      </c>
      <c r="B5" s="93"/>
      <c r="C5" s="121"/>
      <c r="D5" s="121"/>
      <c r="E5" s="121"/>
      <c r="F5" s="121"/>
      <c r="G5" s="121"/>
    </row>
    <row r="6" spans="1:11" x14ac:dyDescent="0.35">
      <c r="A6" s="91" t="s">
        <v>39</v>
      </c>
      <c r="B6" s="91" t="s">
        <v>161</v>
      </c>
      <c r="C6" s="115" t="s">
        <v>158</v>
      </c>
      <c r="D6" s="115"/>
      <c r="E6" s="115"/>
      <c r="F6" s="115"/>
      <c r="G6" s="115"/>
    </row>
    <row r="7" spans="1:11" x14ac:dyDescent="0.35">
      <c r="A7" s="91" t="s">
        <v>40</v>
      </c>
      <c r="B7" s="91" t="s">
        <v>161</v>
      </c>
      <c r="C7" s="115" t="s">
        <v>158</v>
      </c>
      <c r="D7" s="115"/>
      <c r="E7" s="115"/>
      <c r="F7" s="115"/>
      <c r="G7" s="115"/>
    </row>
    <row r="8" spans="1:11" x14ac:dyDescent="0.35">
      <c r="A8" s="91" t="s">
        <v>41</v>
      </c>
      <c r="B8" s="91" t="s">
        <v>161</v>
      </c>
      <c r="C8" s="115" t="s">
        <v>158</v>
      </c>
      <c r="D8" s="115"/>
      <c r="E8" s="115"/>
      <c r="F8" s="115"/>
      <c r="G8" s="115"/>
    </row>
    <row r="9" spans="1:11" x14ac:dyDescent="0.35">
      <c r="A9" s="91" t="s">
        <v>153</v>
      </c>
      <c r="B9" s="91" t="s">
        <v>161</v>
      </c>
      <c r="C9" s="115" t="s">
        <v>159</v>
      </c>
      <c r="D9" s="115"/>
      <c r="E9" s="115"/>
      <c r="F9" s="115"/>
      <c r="G9" s="115"/>
    </row>
    <row r="10" spans="1:11" x14ac:dyDescent="0.35">
      <c r="A10" s="91" t="s">
        <v>166</v>
      </c>
      <c r="B10" s="91" t="s">
        <v>161</v>
      </c>
      <c r="C10" s="116" t="s">
        <v>195</v>
      </c>
      <c r="D10" s="116"/>
      <c r="E10" s="116"/>
      <c r="F10" s="116"/>
      <c r="G10" s="116"/>
    </row>
    <row r="11" spans="1:11" x14ac:dyDescent="0.35">
      <c r="A11" s="91"/>
      <c r="B11" s="91"/>
      <c r="C11" s="116"/>
      <c r="D11" s="116"/>
      <c r="E11" s="116"/>
      <c r="F11" s="116"/>
      <c r="G11" s="116"/>
    </row>
    <row r="12" spans="1:11" x14ac:dyDescent="0.35">
      <c r="A12" s="16"/>
      <c r="B12" s="2"/>
      <c r="C12"/>
    </row>
    <row r="13" spans="1:11" x14ac:dyDescent="0.35">
      <c r="A13" s="19" t="s">
        <v>45</v>
      </c>
      <c r="B13" s="2"/>
      <c r="C13"/>
    </row>
    <row r="14" spans="1:11" x14ac:dyDescent="0.35">
      <c r="A14" s="20" t="s">
        <v>215</v>
      </c>
    </row>
    <row r="15" spans="1:11" x14ac:dyDescent="0.35">
      <c r="A15" s="22" t="s">
        <v>196</v>
      </c>
      <c r="B15" s="19"/>
    </row>
    <row r="16" spans="1:11" x14ac:dyDescent="0.35">
      <c r="A16" s="21" t="s">
        <v>46</v>
      </c>
    </row>
    <row r="18" spans="1:14" x14ac:dyDescent="0.35">
      <c r="A18" s="1" t="s">
        <v>53</v>
      </c>
      <c r="D18" s="20" t="s">
        <v>244</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203</v>
      </c>
      <c r="B23" s="70">
        <v>3525</v>
      </c>
      <c r="C23" s="70">
        <v>1020</v>
      </c>
      <c r="D23" s="11"/>
    </row>
    <row r="24" spans="1:14" x14ac:dyDescent="0.35">
      <c r="A24" t="s">
        <v>186</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183</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188</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185</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184</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187</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213</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292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197</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152</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199</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198</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192</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183</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183</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183</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183</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183</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183</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194</v>
      </c>
      <c r="B104" s="83"/>
      <c r="C104" s="83"/>
      <c r="D104" s="83"/>
      <c r="E104" s="83"/>
      <c r="F104" s="83"/>
      <c r="G104" s="83"/>
      <c r="H104" s="83"/>
      <c r="I104" s="83"/>
      <c r="J104" s="83"/>
      <c r="K104" s="83"/>
      <c r="L104" s="83"/>
      <c r="M104" s="83"/>
      <c r="N104" s="83"/>
    </row>
    <row r="105" spans="1:14" x14ac:dyDescent="0.35">
      <c r="A105" s="1" t="s">
        <v>155</v>
      </c>
      <c r="C105"/>
      <c r="M105" t="s">
        <v>193</v>
      </c>
      <c r="N105" t="s">
        <v>156</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151</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214</v>
      </c>
      <c r="B128" s="1"/>
      <c r="C128" s="87">
        <v>0.5</v>
      </c>
      <c r="D128" s="87">
        <v>0.5</v>
      </c>
      <c r="E128" s="87">
        <v>0.5</v>
      </c>
      <c r="F128" s="87">
        <v>0.5</v>
      </c>
      <c r="G128" s="87">
        <v>0.5</v>
      </c>
      <c r="H128" s="87">
        <v>0.5</v>
      </c>
      <c r="I128" s="87">
        <v>0.5</v>
      </c>
      <c r="J128" s="87">
        <v>0.5</v>
      </c>
      <c r="K128" s="87">
        <v>0.5</v>
      </c>
      <c r="L128" s="87">
        <v>0.5</v>
      </c>
    </row>
    <row r="129" spans="1:14" x14ac:dyDescent="0.35">
      <c r="A129" s="1" t="s">
        <v>210</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211</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212</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126</v>
      </c>
      <c r="C134" s="14">
        <f t="shared" ref="C134:L134" ca="1" si="63">IF(C$27&lt;&gt;"",C115+C133,"")</f>
        <v>7.4590000000000005</v>
      </c>
      <c r="D134" s="14">
        <f t="shared" ca="1" si="63"/>
        <v>7.4590000000000005</v>
      </c>
      <c r="E134" s="14">
        <f t="shared" ca="1" si="63"/>
        <v>7.0870000000000006</v>
      </c>
      <c r="F134" s="14">
        <f t="shared" ca="1" si="63"/>
        <v>7.0870000000000006</v>
      </c>
      <c r="G134" s="14">
        <f t="shared" ca="1" si="63"/>
        <v>7.0870000000000006</v>
      </c>
      <c r="H134" s="14">
        <f t="shared" ca="1" si="63"/>
        <v>7.0870000000000006</v>
      </c>
      <c r="I134" s="14">
        <f t="shared" ca="1" si="63"/>
        <v>6.9790000000000001</v>
      </c>
      <c r="J134" s="14">
        <f t="shared" ca="1" si="63"/>
        <v>7.0870000000000006</v>
      </c>
      <c r="K134" s="14">
        <f t="shared" ca="1" si="63"/>
        <v>7.0870000000000006</v>
      </c>
      <c r="L134" s="14">
        <f t="shared" ca="1" si="63"/>
        <v>7.0870000000000006</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54" operator="greaterThan">
      <formula>$C$60</formula>
    </cfRule>
  </conditionalFormatting>
  <conditionalFormatting sqref="C69:L69">
    <cfRule type="cellIs" dxfId="105" priority="43" operator="greaterThan">
      <formula>$C$68</formula>
    </cfRule>
  </conditionalFormatting>
  <conditionalFormatting sqref="C77:L77">
    <cfRule type="cellIs" dxfId="104" priority="37" operator="greaterThan">
      <formula>$C$76</formula>
    </cfRule>
  </conditionalFormatting>
  <conditionalFormatting sqref="C85">
    <cfRule type="cellIs" dxfId="103" priority="31" operator="greaterThan">
      <formula>$C$84</formula>
    </cfRule>
  </conditionalFormatting>
  <conditionalFormatting sqref="D85">
    <cfRule type="cellIs" dxfId="102" priority="30" operator="greaterThan">
      <formula>$D$84</formula>
    </cfRule>
  </conditionalFormatting>
  <conditionalFormatting sqref="E85">
    <cfRule type="cellIs" dxfId="101" priority="29" operator="greaterThan">
      <formula>$E$84</formula>
    </cfRule>
  </conditionalFormatting>
  <conditionalFormatting sqref="F85">
    <cfRule type="cellIs" dxfId="100" priority="28" operator="greaterThan">
      <formula>$F$84</formula>
    </cfRule>
  </conditionalFormatting>
  <conditionalFormatting sqref="G85:L85">
    <cfRule type="cellIs" dxfId="99" priority="27" operator="greaterThan">
      <formula>$G$84</formula>
    </cfRule>
  </conditionalFormatting>
  <conditionalFormatting sqref="C93">
    <cfRule type="cellIs" dxfId="98" priority="21" operator="greaterThan">
      <formula>$C$92</formula>
    </cfRule>
  </conditionalFormatting>
  <conditionalFormatting sqref="D93">
    <cfRule type="cellIs" dxfId="97" priority="20" operator="greaterThan">
      <formula>$D$92</formula>
    </cfRule>
  </conditionalFormatting>
  <conditionalFormatting sqref="E93">
    <cfRule type="cellIs" dxfId="96" priority="19" operator="greaterThan">
      <formula>$E$92</formula>
    </cfRule>
  </conditionalFormatting>
  <conditionalFormatting sqref="F93">
    <cfRule type="cellIs" dxfId="95" priority="18" operator="greaterThan">
      <formula>$F$92</formula>
    </cfRule>
  </conditionalFormatting>
  <conditionalFormatting sqref="G93">
    <cfRule type="cellIs" dxfId="94" priority="17" operator="greaterThan">
      <formula>$G$92</formula>
    </cfRule>
  </conditionalFormatting>
  <conditionalFormatting sqref="H93">
    <cfRule type="cellIs" dxfId="93" priority="16" operator="greaterThan">
      <formula>$H$92</formula>
    </cfRule>
  </conditionalFormatting>
  <conditionalFormatting sqref="I93">
    <cfRule type="cellIs" dxfId="92" priority="15" operator="greaterThan">
      <formula>$I$92</formula>
    </cfRule>
  </conditionalFormatting>
  <conditionalFormatting sqref="J93">
    <cfRule type="cellIs" dxfId="91" priority="14" operator="greaterThan">
      <formula>$J$92</formula>
    </cfRule>
  </conditionalFormatting>
  <conditionalFormatting sqref="K93">
    <cfRule type="cellIs" dxfId="90" priority="13" operator="greaterThan">
      <formula>$K$92</formula>
    </cfRule>
  </conditionalFormatting>
  <conditionalFormatting sqref="L93">
    <cfRule type="cellIs" dxfId="89" priority="12" operator="greaterThan">
      <formula>$L$92</formula>
    </cfRule>
  </conditionalFormatting>
  <conditionalFormatting sqref="C101">
    <cfRule type="cellIs" dxfId="88" priority="11" operator="greaterThan">
      <formula>$C$100</formula>
    </cfRule>
  </conditionalFormatting>
  <conditionalFormatting sqref="D101">
    <cfRule type="cellIs" dxfId="87" priority="10" operator="greaterThan">
      <formula>$D$100</formula>
    </cfRule>
  </conditionalFormatting>
  <conditionalFormatting sqref="E101">
    <cfRule type="cellIs" dxfId="86" priority="9" operator="greaterThan">
      <formula>$E$100</formula>
    </cfRule>
  </conditionalFormatting>
  <conditionalFormatting sqref="F101">
    <cfRule type="cellIs" dxfId="85" priority="8" operator="greaterThan">
      <formula>$F$100</formula>
    </cfRule>
  </conditionalFormatting>
  <conditionalFormatting sqref="G101">
    <cfRule type="cellIs" dxfId="84" priority="7" operator="greaterThan">
      <formula>$G$100</formula>
    </cfRule>
  </conditionalFormatting>
  <conditionalFormatting sqref="H101">
    <cfRule type="cellIs" dxfId="83" priority="6" operator="greaterThan">
      <formula>$H$100</formula>
    </cfRule>
  </conditionalFormatting>
  <conditionalFormatting sqref="I101">
    <cfRule type="cellIs" dxfId="82" priority="5" operator="greaterThan">
      <formula>$I$100</formula>
    </cfRule>
  </conditionalFormatting>
  <conditionalFormatting sqref="J101">
    <cfRule type="cellIs" dxfId="81" priority="4" operator="greaterThan">
      <formula>$J$100</formula>
    </cfRule>
  </conditionalFormatting>
  <conditionalFormatting sqref="K101">
    <cfRule type="cellIs" dxfId="80" priority="3" operator="greaterThan">
      <formula>$K$100</formula>
    </cfRule>
  </conditionalFormatting>
  <conditionalFormatting sqref="L101">
    <cfRule type="cellIs" dxfId="79"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36"/>
  <sheetViews>
    <sheetView topLeftCell="A36"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7" t="s">
        <v>157</v>
      </c>
      <c r="B3" s="117"/>
      <c r="C3" s="117"/>
      <c r="D3" s="117"/>
      <c r="E3" s="117"/>
      <c r="F3" s="117"/>
      <c r="G3" s="117"/>
      <c r="H3" s="92"/>
      <c r="I3" s="92"/>
      <c r="J3" s="92"/>
      <c r="K3" s="92"/>
    </row>
    <row r="4" spans="1:11" x14ac:dyDescent="0.35">
      <c r="A4" s="59" t="s">
        <v>38</v>
      </c>
      <c r="B4" s="59" t="s">
        <v>42</v>
      </c>
      <c r="C4" s="118" t="s">
        <v>43</v>
      </c>
      <c r="D4" s="119"/>
      <c r="E4" s="119"/>
      <c r="F4" s="119"/>
      <c r="G4" s="120"/>
    </row>
    <row r="5" spans="1:11" x14ac:dyDescent="0.35">
      <c r="A5" s="93" t="s">
        <v>51</v>
      </c>
      <c r="B5" s="93"/>
      <c r="C5" s="121"/>
      <c r="D5" s="121"/>
      <c r="E5" s="121"/>
      <c r="F5" s="121"/>
      <c r="G5" s="121"/>
    </row>
    <row r="6" spans="1:11" x14ac:dyDescent="0.35">
      <c r="A6" s="91" t="s">
        <v>39</v>
      </c>
      <c r="B6" s="91" t="s">
        <v>161</v>
      </c>
      <c r="C6" s="115" t="s">
        <v>245</v>
      </c>
      <c r="D6" s="115"/>
      <c r="E6" s="115"/>
      <c r="F6" s="115"/>
      <c r="G6" s="115"/>
    </row>
    <row r="7" spans="1:11" x14ac:dyDescent="0.35">
      <c r="A7" s="91" t="s">
        <v>40</v>
      </c>
      <c r="B7" s="91" t="s">
        <v>161</v>
      </c>
      <c r="C7" s="115" t="s">
        <v>246</v>
      </c>
      <c r="D7" s="115"/>
      <c r="E7" s="115"/>
      <c r="F7" s="115"/>
      <c r="G7" s="115"/>
    </row>
    <row r="8" spans="1:11" x14ac:dyDescent="0.35">
      <c r="A8" s="91" t="s">
        <v>41</v>
      </c>
      <c r="B8" s="91" t="s">
        <v>161</v>
      </c>
      <c r="C8" s="115" t="s">
        <v>158</v>
      </c>
      <c r="D8" s="115"/>
      <c r="E8" s="115"/>
      <c r="F8" s="115"/>
      <c r="G8" s="115"/>
    </row>
    <row r="9" spans="1:11" x14ac:dyDescent="0.35">
      <c r="A9" s="91" t="s">
        <v>153</v>
      </c>
      <c r="B9" s="91" t="s">
        <v>161</v>
      </c>
      <c r="C9" s="115" t="s">
        <v>159</v>
      </c>
      <c r="D9" s="115"/>
      <c r="E9" s="115"/>
      <c r="F9" s="115"/>
      <c r="G9" s="115"/>
    </row>
    <row r="10" spans="1:11" x14ac:dyDescent="0.35">
      <c r="A10" s="91" t="s">
        <v>166</v>
      </c>
      <c r="B10" s="91" t="s">
        <v>161</v>
      </c>
      <c r="C10" s="116" t="s">
        <v>195</v>
      </c>
      <c r="D10" s="116"/>
      <c r="E10" s="116"/>
      <c r="F10" s="116"/>
      <c r="G10" s="116"/>
    </row>
    <row r="11" spans="1:11" x14ac:dyDescent="0.35">
      <c r="A11" s="91"/>
      <c r="B11" s="91"/>
      <c r="C11" s="116"/>
      <c r="D11" s="116"/>
      <c r="E11" s="116"/>
      <c r="F11" s="116"/>
      <c r="G11" s="116"/>
    </row>
    <row r="12" spans="1:11" x14ac:dyDescent="0.35">
      <c r="A12" s="16"/>
      <c r="B12" s="2"/>
      <c r="C12"/>
    </row>
    <row r="13" spans="1:11" x14ac:dyDescent="0.35">
      <c r="A13" s="19" t="s">
        <v>45</v>
      </c>
      <c r="B13" s="2"/>
      <c r="C13"/>
    </row>
    <row r="14" spans="1:11" x14ac:dyDescent="0.35">
      <c r="A14" s="20" t="s">
        <v>215</v>
      </c>
    </row>
    <row r="15" spans="1:11" x14ac:dyDescent="0.35">
      <c r="A15" s="22" t="s">
        <v>196</v>
      </c>
      <c r="B15" s="19"/>
    </row>
    <row r="16" spans="1:11" x14ac:dyDescent="0.35">
      <c r="A16" s="21" t="s">
        <v>46</v>
      </c>
    </row>
    <row r="18" spans="1:14" x14ac:dyDescent="0.35">
      <c r="A18" s="1" t="s">
        <v>53</v>
      </c>
      <c r="D18" s="122" t="s">
        <v>244</v>
      </c>
      <c r="E18" s="123"/>
      <c r="F18" s="123"/>
      <c r="G18" s="123"/>
      <c r="H18" s="123"/>
      <c r="I18" s="123"/>
      <c r="J18" s="123"/>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203</v>
      </c>
      <c r="B23" s="70">
        <v>3525</v>
      </c>
      <c r="C23" s="70">
        <v>1020</v>
      </c>
      <c r="D23" s="11"/>
    </row>
    <row r="24" spans="1:14" x14ac:dyDescent="0.35">
      <c r="A24" t="s">
        <v>186</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183</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188</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185</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184</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187</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213</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292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197</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152</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199</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198</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192</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183</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183</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183</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183</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183</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183</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194</v>
      </c>
      <c r="B104" s="83"/>
      <c r="C104" s="83"/>
      <c r="D104" s="83"/>
      <c r="E104" s="83"/>
      <c r="F104" s="83"/>
      <c r="G104" s="83"/>
      <c r="H104" s="83"/>
      <c r="I104" s="83"/>
      <c r="J104" s="83"/>
      <c r="K104" s="83"/>
      <c r="L104" s="83"/>
      <c r="M104" s="83"/>
      <c r="N104" s="83"/>
    </row>
    <row r="105" spans="1:14" x14ac:dyDescent="0.35">
      <c r="A105" s="1" t="s">
        <v>155</v>
      </c>
      <c r="C105"/>
      <c r="M105" t="s">
        <v>193</v>
      </c>
      <c r="N105" t="s">
        <v>156</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151</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214</v>
      </c>
      <c r="B128" s="1"/>
      <c r="C128" s="87">
        <v>0.5</v>
      </c>
      <c r="D128" s="87">
        <v>0.5</v>
      </c>
      <c r="E128" s="87">
        <v>0.5</v>
      </c>
      <c r="F128" s="87">
        <v>0.5</v>
      </c>
      <c r="G128" s="87">
        <v>0.5</v>
      </c>
      <c r="H128" s="87">
        <v>0.5</v>
      </c>
      <c r="I128" s="87">
        <v>0.5</v>
      </c>
      <c r="J128" s="87">
        <v>0.5</v>
      </c>
      <c r="K128" s="87">
        <v>0.5</v>
      </c>
      <c r="L128" s="87">
        <v>0.5</v>
      </c>
    </row>
    <row r="129" spans="1:14" x14ac:dyDescent="0.35">
      <c r="A129" s="1" t="s">
        <v>210</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211</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1" t="s">
        <v>145</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212</v>
      </c>
    </row>
    <row r="132" spans="1:14" x14ac:dyDescent="0.35">
      <c r="C132" s="29"/>
    </row>
    <row r="133" spans="1:14" x14ac:dyDescent="0.35">
      <c r="A133" s="1" t="s">
        <v>125</v>
      </c>
      <c r="C133" s="12">
        <f>IF(C$27&lt;&gt;"",0.2,"")</f>
        <v>0.2</v>
      </c>
      <c r="D133" s="12">
        <f t="shared" ref="D133:L133" si="61">IF(D$27&lt;&gt;"",0.2,"")</f>
        <v>0.2</v>
      </c>
      <c r="E133" s="12">
        <f t="shared" si="61"/>
        <v>0.2</v>
      </c>
      <c r="F133" s="12">
        <f t="shared" si="61"/>
        <v>0.2</v>
      </c>
      <c r="G133" s="12">
        <f t="shared" si="61"/>
        <v>0.2</v>
      </c>
      <c r="H133" s="12">
        <f t="shared" si="61"/>
        <v>0.2</v>
      </c>
      <c r="I133" s="12">
        <f t="shared" si="61"/>
        <v>0.2</v>
      </c>
      <c r="J133" s="12">
        <f t="shared" si="61"/>
        <v>0.2</v>
      </c>
      <c r="K133" s="12">
        <f t="shared" si="61"/>
        <v>0.2</v>
      </c>
      <c r="L133" s="12">
        <f t="shared" si="61"/>
        <v>0.2</v>
      </c>
    </row>
    <row r="134" spans="1:14" x14ac:dyDescent="0.35">
      <c r="A134" t="s">
        <v>126</v>
      </c>
      <c r="C134" s="14">
        <f t="shared" ref="C134:L134" ca="1" si="62">IF(C$27&lt;&gt;"",C115+C133,"")</f>
        <v>7.4590000000000005</v>
      </c>
      <c r="D134" s="14">
        <f t="shared" ca="1" si="62"/>
        <v>7.4590000000000005</v>
      </c>
      <c r="E134" s="14">
        <f t="shared" ca="1" si="62"/>
        <v>7.0870000000000006</v>
      </c>
      <c r="F134" s="14">
        <f t="shared" ca="1" si="62"/>
        <v>7.0870000000000006</v>
      </c>
      <c r="G134" s="14">
        <f t="shared" ca="1" si="62"/>
        <v>7.0870000000000006</v>
      </c>
      <c r="H134" s="14">
        <f t="shared" ca="1" si="62"/>
        <v>7.0870000000000006</v>
      </c>
      <c r="I134" s="14">
        <f t="shared" ca="1" si="62"/>
        <v>6.9790000000000001</v>
      </c>
      <c r="J134" s="14">
        <f t="shared" ca="1" si="62"/>
        <v>7.0870000000000006</v>
      </c>
      <c r="K134" s="14">
        <f t="shared" ca="1" si="62"/>
        <v>7.0870000000000006</v>
      </c>
      <c r="L134" s="14">
        <f t="shared" ca="1" si="62"/>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78" priority="29" operator="greaterThan">
      <formula>$C$60</formula>
    </cfRule>
  </conditionalFormatting>
  <conditionalFormatting sqref="C69:L69">
    <cfRule type="cellIs" dxfId="77" priority="27" operator="greaterThan">
      <formula>$C$68</formula>
    </cfRule>
  </conditionalFormatting>
  <conditionalFormatting sqref="C77:L77">
    <cfRule type="cellIs" dxfId="76" priority="26" operator="greaterThan">
      <formula>$C$76</formula>
    </cfRule>
  </conditionalFormatting>
  <conditionalFormatting sqref="C85">
    <cfRule type="cellIs" dxfId="75" priority="25" operator="greaterThan">
      <formula>$C$84</formula>
    </cfRule>
  </conditionalFormatting>
  <conditionalFormatting sqref="D85">
    <cfRule type="cellIs" dxfId="74" priority="24" operator="greaterThan">
      <formula>$D$84</formula>
    </cfRule>
  </conditionalFormatting>
  <conditionalFormatting sqref="E85">
    <cfRule type="cellIs" dxfId="73" priority="23" operator="greaterThan">
      <formula>$E$84</formula>
    </cfRule>
  </conditionalFormatting>
  <conditionalFormatting sqref="F85">
    <cfRule type="cellIs" dxfId="72" priority="22" operator="greaterThan">
      <formula>$F$84</formula>
    </cfRule>
  </conditionalFormatting>
  <conditionalFormatting sqref="G85:L85">
    <cfRule type="cellIs" dxfId="71" priority="21" operator="greaterThan">
      <formula>$G$84</formula>
    </cfRule>
  </conditionalFormatting>
  <conditionalFormatting sqref="C93">
    <cfRule type="cellIs" dxfId="70" priority="20" operator="greaterThan">
      <formula>$C$92</formula>
    </cfRule>
  </conditionalFormatting>
  <conditionalFormatting sqref="D93">
    <cfRule type="cellIs" dxfId="69" priority="19" operator="greaterThan">
      <formula>$D$92</formula>
    </cfRule>
  </conditionalFormatting>
  <conditionalFormatting sqref="E93">
    <cfRule type="cellIs" dxfId="68" priority="18" operator="greaterThan">
      <formula>$E$92</formula>
    </cfRule>
  </conditionalFormatting>
  <conditionalFormatting sqref="F93">
    <cfRule type="cellIs" dxfId="67" priority="17" operator="greaterThan">
      <formula>$F$92</formula>
    </cfRule>
  </conditionalFormatting>
  <conditionalFormatting sqref="G93">
    <cfRule type="cellIs" dxfId="66" priority="16" operator="greaterThan">
      <formula>$G$92</formula>
    </cfRule>
  </conditionalFormatting>
  <conditionalFormatting sqref="H93">
    <cfRule type="cellIs" dxfId="65" priority="15" operator="greaterThan">
      <formula>$H$92</formula>
    </cfRule>
  </conditionalFormatting>
  <conditionalFormatting sqref="I93">
    <cfRule type="cellIs" dxfId="64" priority="14" operator="greaterThan">
      <formula>$I$92</formula>
    </cfRule>
  </conditionalFormatting>
  <conditionalFormatting sqref="J93">
    <cfRule type="cellIs" dxfId="63" priority="13" operator="greaterThan">
      <formula>$J$92</formula>
    </cfRule>
  </conditionalFormatting>
  <conditionalFormatting sqref="K93">
    <cfRule type="cellIs" dxfId="62" priority="12" operator="greaterThan">
      <formula>$K$92</formula>
    </cfRule>
  </conditionalFormatting>
  <conditionalFormatting sqref="L93">
    <cfRule type="cellIs" dxfId="61" priority="11" operator="greaterThan">
      <formula>$L$92</formula>
    </cfRule>
  </conditionalFormatting>
  <conditionalFormatting sqref="C101">
    <cfRule type="cellIs" dxfId="60" priority="10" operator="greaterThan">
      <formula>$C$100</formula>
    </cfRule>
  </conditionalFormatting>
  <conditionalFormatting sqref="D101">
    <cfRule type="cellIs" dxfId="59" priority="9" operator="greaterThan">
      <formula>$D$100</formula>
    </cfRule>
  </conditionalFormatting>
  <conditionalFormatting sqref="E101">
    <cfRule type="cellIs" dxfId="58" priority="8" operator="greaterThan">
      <formula>$E$100</formula>
    </cfRule>
  </conditionalFormatting>
  <conditionalFormatting sqref="F101">
    <cfRule type="cellIs" dxfId="57" priority="7" operator="greaterThan">
      <formula>$F$100</formula>
    </cfRule>
  </conditionalFormatting>
  <conditionalFormatting sqref="G101">
    <cfRule type="cellIs" dxfId="56" priority="6" operator="greaterThan">
      <formula>$G$100</formula>
    </cfRule>
  </conditionalFormatting>
  <conditionalFormatting sqref="H101">
    <cfRule type="cellIs" dxfId="55" priority="5" operator="greaterThan">
      <formula>$H$100</formula>
    </cfRule>
  </conditionalFormatting>
  <conditionalFormatting sqref="I101">
    <cfRule type="cellIs" dxfId="54" priority="4" operator="greaterThan">
      <formula>$I$100</formula>
    </cfRule>
  </conditionalFormatting>
  <conditionalFormatting sqref="J101">
    <cfRule type="cellIs" dxfId="53" priority="3" operator="greaterThan">
      <formula>$J$100</formula>
    </cfRule>
  </conditionalFormatting>
  <conditionalFormatting sqref="K101">
    <cfRule type="cellIs" dxfId="52" priority="2" operator="greaterThan">
      <formula>$K$100</formula>
    </cfRule>
  </conditionalFormatting>
  <conditionalFormatting sqref="L101">
    <cfRule type="cellIs" dxfId="51"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24" t="s">
        <v>40</v>
      </c>
      <c r="Q1" s="124"/>
      <c r="R1" s="124"/>
      <c r="S1" s="124"/>
      <c r="T1" s="124"/>
      <c r="U1" s="124"/>
      <c r="V1" s="124"/>
      <c r="W1" s="124"/>
      <c r="X1" s="124"/>
      <c r="Y1" s="124"/>
      <c r="AA1" s="124" t="s">
        <v>237</v>
      </c>
      <c r="AB1" s="124"/>
      <c r="AC1" s="124"/>
      <c r="AD1" s="124"/>
      <c r="AE1" s="124"/>
      <c r="AF1" s="124"/>
      <c r="AG1" s="124"/>
      <c r="AH1" s="124"/>
      <c r="AI1" s="124"/>
      <c r="AJ1" s="124"/>
    </row>
  </sheetData>
  <mergeCells count="2">
    <mergeCell ref="P1:Y1"/>
    <mergeCell ref="AA1:A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ReadMe-Directions</vt:lpstr>
      <vt:lpstr>Versions</vt:lpstr>
      <vt:lpstr>Master</vt:lpstr>
      <vt:lpstr>11.0-Trade</vt:lpstr>
      <vt:lpstr>11.0-LawOfRiver</vt:lpstr>
      <vt:lpstr>11.0-Plots</vt:lpstr>
      <vt:lpstr>MillenniumRecover-LawOfRiver</vt:lpstr>
      <vt:lpstr>MillenniumRecover-Trade</vt:lpstr>
      <vt:lpstr>Millennium-Plots</vt:lpstr>
      <vt:lpstr>MillenniumRecover-Delta</vt:lpstr>
      <vt:lpstr>LowerBasinCuts</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2021-07-13T03:51:58Z</dcterms:modified>
</cp:coreProperties>
</file>