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DA439AE4-AD62-4A18-BC40-6DA7E4A91DD8}"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47" l="1"/>
  <c r="B25" i="47"/>
  <c r="E50" i="47" l="1"/>
  <c r="F50" i="47"/>
  <c r="G50" i="47"/>
  <c r="H50" i="47"/>
  <c r="I50" i="47"/>
  <c r="J50" i="47"/>
  <c r="K50" i="47"/>
  <c r="L50" i="47"/>
  <c r="E51" i="47"/>
  <c r="F51" i="47"/>
  <c r="G51" i="47"/>
  <c r="H51" i="47"/>
  <c r="I51" i="47"/>
  <c r="J51" i="47"/>
  <c r="K51" i="47"/>
  <c r="L51" i="47"/>
  <c r="E52" i="47"/>
  <c r="F52" i="47"/>
  <c r="G52" i="47"/>
  <c r="H52" i="47"/>
  <c r="I52" i="47"/>
  <c r="J52" i="47"/>
  <c r="K52" i="47"/>
  <c r="L52" i="47"/>
  <c r="E53" i="47"/>
  <c r="F53" i="47"/>
  <c r="G53" i="47"/>
  <c r="H53" i="47"/>
  <c r="I53" i="47"/>
  <c r="J53" i="47"/>
  <c r="K53" i="47"/>
  <c r="L53" i="47"/>
  <c r="E54" i="47"/>
  <c r="F54" i="47"/>
  <c r="G54" i="47"/>
  <c r="H54" i="47"/>
  <c r="I54" i="47"/>
  <c r="J54" i="47"/>
  <c r="K54" i="47"/>
  <c r="L54" i="47"/>
  <c r="E56" i="47"/>
  <c r="F56" i="47"/>
  <c r="G56" i="47"/>
  <c r="H56" i="47"/>
  <c r="I56" i="47"/>
  <c r="J56" i="47"/>
  <c r="K56" i="47"/>
  <c r="L56" i="47"/>
  <c r="E57"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D50" i="47" s="1"/>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125" i="52" l="1"/>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B52"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1" i="47" l="1"/>
  <c r="C58" i="47" s="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6"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56" i="47" s="1"/>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7" i="47" l="1"/>
  <c r="D55" i="47" s="1"/>
  <c r="D54" i="47" s="1"/>
  <c r="D53" i="47" s="1"/>
  <c r="D52" i="47" s="1"/>
  <c r="D51" i="47" s="1"/>
  <c r="D58" i="47" s="1"/>
  <c r="D104" i="47"/>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<sst xmlns="http://schemas.openxmlformats.org/spreadsheetml/2006/main" count="1225" uniqueCount="478">
  <si>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</si>
  <si>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</si>
  <si>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</si>
  <si>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</si>
  <si>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</si>
  <si>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</si>
  <si>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</si>
  <si>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</si>
  <si>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</si>
  <si>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</si>
  <si>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</si>
  <si>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</si>
  <si>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</si>
  <si>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</si>
  <si>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</si>
  <si>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</si>
  <si>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</si>
  <si>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</si>
  <si>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</si>
  <si>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</si>
  <si>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</si>
  <si>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</si>
  <si>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</si>
  <si>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</si>
  <si>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</si>
  <si>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</si>
  <si>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</si>
  <si>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</si>
  <si>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</si>
  <si>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</si>
  <si>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</si>
  <si>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</si>
  <si>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</si>
  <si>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</si>
  <si>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</si>
  <si>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</si>
  <si>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</si>
  <si>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</si>
  <si>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</si>
  <si>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</si>
  <si>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</si>
  <si>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</si>
  <si>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</si>
  <si>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</si>
  <si>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</si>
  <si>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</si>
  <si>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</si>
  <si>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</si>
  <si>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</si>
  <si>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</si>
  <si>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</si>
  <si>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</si>
  <si>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</si>
  <si>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</si>
  <si>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</si>
  <si>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</si>
  <si>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</si>
  <si>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</si>
  <si>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</si>
  <si>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</si>
  <si>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</si>
  <si>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</si>
  <si>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</si>
  <si>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</si>
  <si>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</si>
  <si>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</si>
  <si>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</si>
  <si>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</si>
  <si>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</si>
  <si>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</si>
  <si>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</si>
  <si>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</si>
  <si>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</si>
  <si>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</si>
  <si>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</si>
  <si>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</si>
  <si>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</si>
  <si>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</si>
  <si>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</si>
  <si>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</si>
  <si>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</si>
  <si>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</si>
  <si>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</si>
  <si>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</si>
  <si>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</si>
  <si>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</si>
  <si>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</si>
  <si>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</si>
  <si>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</si>
  <si>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</si>
  <si>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</si>
  <si>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</si>
  <si>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</si>
  <si>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</si>
  <si>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</si>
  <si>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</si>
  <si>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</si>
  <si>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</si>
  <si>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</si>
  <si>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</si>
  <si>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</si>
  <si>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</si>
  <si>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</si>
  <si>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</si>
  <si>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</si>
  <si>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</si>
  <si>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</si>
  <si>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</si>
  <si>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</si>
  <si>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</si>
  <si>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</si>
  <si>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</si>
  <si>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</si>
  <si>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</si>
  <si>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</si>
  <si>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</si>
  <si>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</si>
  <si>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</si>
  <si>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</si>
  <si>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</si>
  <si>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</si>
  <si>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</si>
  <si>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</si>
  <si>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</si>
  <si>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</si>
  <si>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</si>
  <si>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</si>
  <si>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</si>
  <si>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</si>
  <si>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</si>
  <si>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</si>
  <si>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</si>
  <si>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</si>
  <si>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</si>
  <si>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</si>
  <si>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</si>
  <si>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</si>
  <si>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</si>
  <si>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</si>
  <si>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</si>
  <si>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</si>
  <si>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</si>
  <si>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</si>
  <si>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</si>
  <si>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</si>
  <si>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</si>
  <si>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</si>
  <si>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</si>
  <si>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</si>
  <si>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</si>
  <si>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</si>
  <si>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</si>
  <si>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</si>
  <si>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</si>
  <si>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</si>
  <si>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</si>
  <si>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</si>
  <si>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</si>
  <si>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</si>
  <si>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</si>
  <si>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</si>
  <si>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</si>
  <si>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</si>
  <si>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</si>
  <si>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</si>
  <si>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</si>
  <si>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</si>
  <si>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</si>
  <si>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</si>
  <si>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</si>
  <si>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</si>
  <si>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</si>
  <si>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</si>
  <si>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</si>
  <si>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</si>
  <si>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</si>
  <si>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</si>
  <si>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</si>
  <si>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</si>
  <si>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</si>
  <si>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</si>
  <si>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</si>
  <si>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</si>
  <si>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</si>
  <si>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</si>
  <si>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</si>
  <si>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</si>
  <si>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</si>
  <si>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</si>
  <si>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</si>
  <si>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</si>
  <si>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</si>
  <si>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</si>
  <si>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</si>
  <si>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</si>
  <si>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</si>
  <si>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</si>
  <si>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</si>
  <si>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</si>
  <si>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</si>
  <si>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</si>
  <si>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</si>
  <si>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</si>
  <si>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</si>
  <si>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</si>
  <si>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</si>
  <si>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</si>
  <si>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</si>
  <si>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</si>
  <si>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</si>
  <si>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</si>
  <si>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</si>
  <si>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</si>
  <si>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</si>
  <si>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</si>
  <si>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</si>
  <si>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</si>
  <si>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</si>
  <si>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</si>
  <si>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</si>
  <si>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</si>
  <si>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</si>
  <si>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</si>
  <si>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</si>
  <si>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</si>
  <si>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</si>
  <si>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</si>
  <si>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</si>
  <si>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</si>
  <si>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</si>
  <si>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</si>
  <si>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</si>
  <si>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</si>
  <si>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</si>
  <si>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</si>
  <si>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</si>
  <si>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</si>
  <si>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</si>
  <si>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</si>
  <si>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</si>
  <si>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</si>
  <si>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</si>
  <si>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</si>
  <si>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</si>
  <si>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</si>
  <si>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</si>
  <si>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</si>
  <si>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</si>
  <si>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</si>
  <si>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</si>
  <si>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</si>
  <si>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</si>
  <si>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</si>
  <si>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</si>
  <si>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</si>
  <si>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</si>
  <si>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</si>
  <si>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</si>
  <si>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</si>
  <si>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</si>
  <si>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</si>
  <si>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</si>
  <si>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</si>
  <si>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</si>
  <si>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</si>
  <si>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</si>
  <si>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</si>
  <si>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</si>
  <si>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</si>
  <si>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</si>
  <si>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</si>
  <si>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</si>
  <si>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</si>
  <si>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</si>
  <si>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</si>
  <si>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</si>
  <si>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</si>
  <si>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</si>
  <si>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</si>
  <si>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</si>
  <si>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</si>
  <si>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</si>
  <si>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</si>
  <si>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</si>
  <si>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</si>
  <si>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</si>
  <si>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</si>
  <si>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</si>
  <si>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</si>
  <si>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</si>
  <si>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</si>
  <si>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</si>
  <si>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</si>
  <si>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</si>
  <si>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</si>
  <si>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</si>
  <si>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</si>
  <si>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</si>
  <si>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</si>
  <si>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</si>
  <si>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</si>
  <si>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</si>
  <si>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</si>
  <si>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</si>
  <si>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</si>
  <si>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</si>
  <si>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</si>
  <si>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</si>
  <si>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</si>
  <si>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</si>
  <si>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</si>
  <si>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</si>
  <si>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</si>
  <si>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</si>
  <si>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</si>
  <si>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</si>
  <si>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</si>
  <si>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</si>
  <si>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</si>
  <si>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</si>
  <si>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</si>
  <si>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</si>
  <si>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</si>
  <si>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</si>
  <si>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</si>
  <si>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</si>
  <si>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</si>
  <si>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</si>
  <si>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</si>
  <si>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</si>
  <si>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</si>
  <si>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</si>
  <si>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</si>
  <si>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</si>
  <si>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</si>
  <si>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</si>
  <si>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</si>
  <si>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</si>
  <si>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</si>
  <si>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</si>
  <si>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</si>
  <si>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</si>
  <si>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</si>
  <si>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</si>
  <si>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</si>
  <si>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</si>
  <si>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</si>
  <si>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</si>
  <si>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</si>
  <si>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</si>
  <si>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</si>
  <si>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</si>
  <si>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</si>
  <si>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</si>
  <si>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</si>
  <si>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</si>
  <si>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</si>
  <si>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</si>
  <si>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</si>
  <si>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</si>
  <si>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</si>
  <si>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</si>
  <si>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</si>
  <si>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</si>
  <si>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</si>
  <si>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</si>
  <si>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</si>
  <si>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</si>
  <si>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</si>
  <si>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</si>
  <si>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</si>
  <si>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</si>
  <si>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</si>
  <si>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</si>
  <si>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</si>
  <si>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</si>
  <si>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</si>
  <si>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</si>
  <si>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</si>
  <si>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</si>
  <si>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</si>
  <si>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</si>
  <si>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</si>
  <si>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</si>
  <si>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</si>
  <si>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</si>
  <si>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</si>
  <si>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</si>
  <si>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</si>
  <si>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</si>
  <si>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</si>
  <si>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</si>
  <si>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</si>
  <si>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</si>
  <si>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</si>
  <si>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</si>
  <si>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</si>
  <si>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</si>
  <si>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</si>
  <si>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</si>
  <si>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</si>
  <si>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</si>
  <si>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</si>
  <si>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</si>
  <si>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</si>
  <si>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</si>
  <si>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</si>
  <si>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</si>
  <si>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</si>
  <si>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</si>
  <si>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</si>
  <si>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</si>
  <si>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</si>
  <si>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</si>
  <si>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</si>
  <si>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</si>
  <si>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</si>
  <si>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</si>
  <si>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</si>
  <si>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</si>
  <si>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</si>
  <si>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</si>
  <si>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</si>
  <si>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</si>
  <si>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</si>
  <si>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</si>
  <si>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</si>
  <si>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</si>
  <si>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</si>
  <si>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</si>
  <si>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</si>
  <si>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</si>
  <si>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</si>
  <si>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</si>
  <si>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</si>
  <si>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</si>
  <si>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</si>
  <si>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</si>
  <si>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</si>
  <si>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</si>
  <si>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</si>
  <si>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</si>
  <si>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</si>
  <si>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</si>
  <si>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</si>
  <si>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</si>
  <si>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</si>
  <si>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</si>
  <si>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</si>
  <si>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</si>
  <si>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</si>
  <si>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</si>
  <si>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</si>
  <si>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</si>
  <si>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</si>
  <si>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</si>
  <si>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</si>
  <si>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</si>
  <si>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</si>
  <si>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</si>
  <si>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</si>
  <si>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</si>
  <si>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</si>
  <si>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</si>
  <si>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</si>
  <si>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</si>
  <si>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</si>
  <si>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</si>
  <si>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</si>
  <si>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</si>
  <si>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</si>
  <si>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r>
      <rPr>
        <b/>
        <sz val="11"/>
        <color theme="1"/>
        <rFont val="Calibri"/>
        <family val="2"/>
        <scheme val="minor"/>
      </rPr>
      <t>1. Move this Excel workbook into your Google Drive. Invite p</t>
    </r>
    <r>
      <rPr>
        <sz val="11"/>
        <color theme="1"/>
        <rFont val="Calibri"/>
        <family val="2"/>
        <scheme val="minor"/>
      </rPr>
      <t>articipants to colaborate.</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</si>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</sst>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5">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3" fontId="5" fillId="5" borderId="9" xfId="6" applyNumberFormat="1" applyBorder="1" applyAlignment="1">
      <alignment horizontal="center"/>
    </xf>
    <xf numFmtId="0" fontId="7" fillId="20" borderId="0" xfId="7" applyFill="1" applyAlignment="1">
      <alignment horizontal="center" vertical="top"/>
    </xf>
    <xf numFmtId="0" fontId="10" fillId="6" borderId="0" xfId="0" applyFont="1" applyFill="1" applyAlignment="1">
      <alignment horizontal="center"/>
    </xf>
    <xf numFmtId="0" fontId="0" fillId="20" borderId="19" xfId="0" applyFont="1" applyFill="1" applyBorder="1" applyAlignment="1">
      <alignment horizontal="left" vertical="top" wrapText="1"/>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0" fillId="20" borderId="5" xfId="0" applyFont="1" applyFill="1" applyBorder="1" applyAlignment="1">
      <alignment horizontal="left" vertical="top" wrapText="1"/>
    </xf>
    <xf numFmtId="0" fontId="0" fillId="20" borderId="0" xfId="0" applyFont="1" applyFill="1" applyBorder="1" applyAlignment="1">
      <alignment horizontal="left" vertical="top" wrapText="1"/>
    </xf>
    <xf numFmtId="0" fontId="0" fillId="20" borderId="6" xfId="0" applyFont="1" applyFill="1" applyBorder="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zoomScale="150" zoomScaleNormal="150" workbookViewId="0">
      <selection sqref="A1:L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0" t="s">
        <v>198</v>
      </c>
      <c r="B1" s="210"/>
      <c r="C1" s="210"/>
      <c r="D1" s="210"/>
      <c r="E1" s="210"/>
      <c r="F1" s="210"/>
      <c r="G1" s="210"/>
      <c r="H1" s="210"/>
      <c r="I1" s="210"/>
      <c r="J1" s="210"/>
      <c r="K1" s="210"/>
      <c r="L1" s="210"/>
    </row>
    <row r="2" spans="1:18" x14ac:dyDescent="0.35">
      <c r="A2" s="1"/>
      <c r="B2" s="1"/>
      <c r="C2" s="2"/>
      <c r="D2"/>
    </row>
    <row r="3" spans="1:18" x14ac:dyDescent="0.35">
      <c r="A3" s="203" t="s">
        <v>398</v>
      </c>
      <c r="B3" s="204"/>
      <c r="C3" s="205"/>
      <c r="D3" s="206"/>
      <c r="E3" s="206"/>
      <c r="F3" s="206"/>
      <c r="G3" s="206"/>
      <c r="H3" s="206"/>
      <c r="I3" s="206"/>
      <c r="J3" s="206"/>
      <c r="K3" s="206"/>
      <c r="L3" s="207"/>
      <c r="N3" s="1" t="s">
        <v>306</v>
      </c>
    </row>
    <row r="4" spans="1:18" s="77" customFormat="1" ht="66" customHeight="1" x14ac:dyDescent="0.35">
      <c r="A4" s="232" t="s">
        <v>470</v>
      </c>
      <c r="B4" s="233"/>
      <c r="C4" s="233"/>
      <c r="D4" s="233"/>
      <c r="E4" s="233"/>
      <c r="F4" s="233"/>
      <c r="G4" s="233"/>
      <c r="H4" s="233"/>
      <c r="I4" s="233"/>
      <c r="J4" s="233"/>
      <c r="K4" s="233"/>
      <c r="L4" s="234"/>
      <c r="N4" s="231" t="s">
        <v>307</v>
      </c>
      <c r="O4" s="231"/>
      <c r="P4" s="231"/>
      <c r="Q4" s="231"/>
      <c r="R4" s="231"/>
    </row>
    <row r="5" spans="1:18" s="115" customFormat="1" ht="16" customHeight="1" x14ac:dyDescent="0.35">
      <c r="A5" s="232" t="s">
        <v>340</v>
      </c>
      <c r="B5" s="233"/>
      <c r="C5" s="233"/>
      <c r="D5" s="233"/>
      <c r="E5" s="233"/>
      <c r="F5" s="233"/>
      <c r="G5" s="233"/>
      <c r="H5" s="233"/>
      <c r="I5" s="233"/>
      <c r="J5" s="233"/>
      <c r="K5" s="233"/>
      <c r="L5" s="234"/>
    </row>
    <row r="6" spans="1:18" s="115" customFormat="1" ht="32.5" customHeight="1" x14ac:dyDescent="0.35">
      <c r="A6" s="214" t="s">
        <v>222</v>
      </c>
      <c r="B6" s="215"/>
      <c r="C6" s="215"/>
      <c r="D6" s="215"/>
      <c r="E6" s="215"/>
      <c r="F6" s="215"/>
      <c r="G6" s="215"/>
      <c r="H6" s="215"/>
      <c r="I6" s="215"/>
      <c r="J6" s="215"/>
      <c r="K6" s="215"/>
      <c r="L6" s="216"/>
      <c r="N6" s="141" t="s">
        <v>396</v>
      </c>
    </row>
    <row r="7" spans="1:18" s="115" customFormat="1" ht="20.25" customHeight="1" x14ac:dyDescent="0.35">
      <c r="A7" s="214" t="s">
        <v>341</v>
      </c>
      <c r="B7" s="215"/>
      <c r="C7" s="215"/>
      <c r="D7" s="215"/>
      <c r="E7" s="215"/>
      <c r="F7" s="215"/>
      <c r="G7" s="215"/>
      <c r="H7" s="215"/>
      <c r="I7" s="215"/>
      <c r="J7" s="215"/>
      <c r="K7" s="215"/>
      <c r="L7" s="216"/>
    </row>
    <row r="8" spans="1:18" s="115" customFormat="1" ht="16.5" customHeight="1" x14ac:dyDescent="0.35">
      <c r="A8" s="214" t="s">
        <v>342</v>
      </c>
      <c r="B8" s="215"/>
      <c r="C8" s="215"/>
      <c r="D8" s="215"/>
      <c r="E8" s="215"/>
      <c r="F8" s="215"/>
      <c r="G8" s="215"/>
      <c r="H8" s="215"/>
      <c r="I8" s="215"/>
      <c r="J8" s="215"/>
      <c r="K8" s="215"/>
      <c r="L8" s="216"/>
      <c r="N8" s="141" t="s">
        <v>397</v>
      </c>
    </row>
    <row r="9" spans="1:18" s="115" customFormat="1" ht="15" customHeight="1" x14ac:dyDescent="0.35">
      <c r="A9" s="214" t="s">
        <v>343</v>
      </c>
      <c r="B9" s="215"/>
      <c r="C9" s="215"/>
      <c r="D9" s="215"/>
      <c r="E9" s="215"/>
      <c r="F9" s="215"/>
      <c r="G9" s="215"/>
      <c r="H9" s="215"/>
      <c r="I9" s="215"/>
      <c r="J9" s="215"/>
      <c r="K9" s="215"/>
      <c r="L9" s="216"/>
    </row>
    <row r="10" spans="1:18" s="115" customFormat="1" ht="32.15" customHeight="1" x14ac:dyDescent="0.35">
      <c r="A10" s="214" t="s">
        <v>365</v>
      </c>
      <c r="B10" s="215"/>
      <c r="C10" s="215"/>
      <c r="D10" s="215"/>
      <c r="E10" s="215"/>
      <c r="F10" s="215"/>
      <c r="G10" s="215"/>
      <c r="H10" s="215"/>
      <c r="I10" s="215"/>
      <c r="J10" s="215"/>
      <c r="K10" s="215"/>
      <c r="L10" s="216"/>
      <c r="N10" s="115" t="s">
        <v>344</v>
      </c>
    </row>
    <row r="11" spans="1:18" s="83" customFormat="1" ht="15" customHeight="1" x14ac:dyDescent="0.35">
      <c r="A11" s="214" t="s">
        <v>366</v>
      </c>
      <c r="B11" s="215"/>
      <c r="C11" s="215"/>
      <c r="D11" s="215"/>
      <c r="E11" s="215"/>
      <c r="F11" s="215"/>
      <c r="G11" s="215"/>
      <c r="H11" s="215"/>
      <c r="I11" s="215"/>
      <c r="J11" s="215"/>
      <c r="K11" s="215"/>
      <c r="L11" s="216"/>
    </row>
    <row r="12" spans="1:18" s="83" customFormat="1" ht="17.25" customHeight="1" x14ac:dyDescent="0.35">
      <c r="A12" s="211" t="s">
        <v>367</v>
      </c>
      <c r="B12" s="212"/>
      <c r="C12" s="212"/>
      <c r="D12" s="212"/>
      <c r="E12" s="212"/>
      <c r="F12" s="212"/>
      <c r="G12" s="212"/>
      <c r="H12" s="212"/>
      <c r="I12" s="212"/>
      <c r="J12" s="212"/>
      <c r="K12" s="212"/>
      <c r="L12" s="213"/>
    </row>
    <row r="13" spans="1:18" ht="20.25" customHeight="1" x14ac:dyDescent="0.35">
      <c r="A13" s="152"/>
      <c r="B13" s="152"/>
      <c r="C13" s="152"/>
      <c r="D13" s="152"/>
      <c r="E13" s="152"/>
      <c r="F13" s="152"/>
      <c r="G13" s="152"/>
      <c r="H13" s="152"/>
      <c r="I13" s="152"/>
      <c r="J13" s="152"/>
      <c r="K13" s="152"/>
      <c r="L13" s="152"/>
    </row>
    <row r="14" spans="1:18" ht="20.25" customHeight="1" x14ac:dyDescent="0.35">
      <c r="A14" s="227" t="s">
        <v>399</v>
      </c>
      <c r="B14" s="228"/>
      <c r="C14" s="228"/>
      <c r="D14" s="228"/>
      <c r="E14" s="228"/>
      <c r="F14" s="228"/>
      <c r="G14" s="228"/>
      <c r="H14" s="228"/>
      <c r="I14" s="228"/>
      <c r="J14" s="228"/>
      <c r="K14" s="228"/>
      <c r="L14" s="229"/>
      <c r="N14" s="1" t="s">
        <v>403</v>
      </c>
    </row>
    <row r="15" spans="1:18" ht="16.5" customHeight="1" x14ac:dyDescent="0.35">
      <c r="A15" s="224" t="s">
        <v>471</v>
      </c>
      <c r="B15" s="225"/>
      <c r="C15" s="225"/>
      <c r="D15" s="225"/>
      <c r="E15" s="225"/>
      <c r="F15" s="225"/>
      <c r="G15" s="225"/>
      <c r="H15" s="225"/>
      <c r="I15" s="225"/>
      <c r="J15" s="225"/>
      <c r="K15" s="225"/>
      <c r="L15" s="226"/>
      <c r="N15" s="141" t="s">
        <v>404</v>
      </c>
    </row>
    <row r="16" spans="1:18" ht="15" customHeight="1" x14ac:dyDescent="0.35">
      <c r="A16" s="224" t="s">
        <v>400</v>
      </c>
      <c r="B16" s="225"/>
      <c r="C16" s="225"/>
      <c r="D16" s="225"/>
      <c r="E16" s="225"/>
      <c r="F16" s="225"/>
      <c r="G16" s="225"/>
      <c r="H16" s="225"/>
      <c r="I16" s="225"/>
      <c r="J16" s="225"/>
      <c r="K16" s="225"/>
      <c r="L16" s="226"/>
    </row>
    <row r="17" spans="1:12" ht="36.75" customHeight="1" x14ac:dyDescent="0.35">
      <c r="A17" s="230" t="s">
        <v>395</v>
      </c>
      <c r="B17" s="225"/>
      <c r="C17" s="225"/>
      <c r="D17" s="225"/>
      <c r="E17" s="225"/>
      <c r="F17" s="225"/>
      <c r="G17" s="225"/>
      <c r="H17" s="225"/>
      <c r="I17" s="225"/>
      <c r="J17" s="225"/>
      <c r="K17" s="225"/>
      <c r="L17" s="226"/>
    </row>
    <row r="18" spans="1:12" s="82" customFormat="1" ht="20.25" customHeight="1" x14ac:dyDescent="0.35">
      <c r="A18" s="218" t="s">
        <v>401</v>
      </c>
      <c r="B18" s="219"/>
      <c r="C18" s="219"/>
      <c r="D18" s="219"/>
      <c r="E18" s="219"/>
      <c r="F18" s="219"/>
      <c r="G18" s="219"/>
      <c r="H18" s="219"/>
      <c r="I18" s="219"/>
      <c r="J18" s="219"/>
      <c r="K18" s="219"/>
      <c r="L18" s="220"/>
    </row>
    <row r="19" spans="1:12" s="83" customFormat="1" x14ac:dyDescent="0.35">
      <c r="A19" s="221" t="s">
        <v>402</v>
      </c>
      <c r="B19" s="222"/>
      <c r="C19" s="222"/>
      <c r="D19" s="222"/>
      <c r="E19" s="222"/>
      <c r="F19" s="222"/>
      <c r="G19" s="222"/>
      <c r="H19" s="222"/>
      <c r="I19" s="222"/>
      <c r="J19" s="222"/>
      <c r="K19" s="222"/>
      <c r="L19" s="223"/>
    </row>
    <row r="20" spans="1:12" x14ac:dyDescent="0.35">
      <c r="B20" s="176"/>
      <c r="C20" s="176"/>
      <c r="D20" s="176"/>
      <c r="E20" s="176"/>
      <c r="F20" s="176"/>
      <c r="G20" s="176"/>
      <c r="H20" s="176"/>
      <c r="I20" s="176"/>
      <c r="J20" s="176"/>
      <c r="K20" s="176"/>
      <c r="L20" s="176"/>
    </row>
    <row r="21" spans="1:12" x14ac:dyDescent="0.35">
      <c r="A21" s="1" t="s">
        <v>405</v>
      </c>
    </row>
    <row r="22" spans="1:12" x14ac:dyDescent="0.35">
      <c r="B22" s="2" t="s">
        <v>92</v>
      </c>
      <c r="C22" t="s">
        <v>152</v>
      </c>
    </row>
    <row r="23" spans="1:12" x14ac:dyDescent="0.35">
      <c r="B23" s="2" t="s">
        <v>155</v>
      </c>
      <c r="C23" t="s">
        <v>197</v>
      </c>
    </row>
    <row r="24" spans="1:12" x14ac:dyDescent="0.35">
      <c r="B24" s="2" t="s">
        <v>92</v>
      </c>
      <c r="C24" t="s">
        <v>331</v>
      </c>
    </row>
    <row r="25" spans="1:12" x14ac:dyDescent="0.35">
      <c r="B25" s="2" t="s">
        <v>329</v>
      </c>
      <c r="C25" t="s">
        <v>332</v>
      </c>
    </row>
    <row r="26" spans="1:12" x14ac:dyDescent="0.35">
      <c r="B26" s="2" t="s">
        <v>330</v>
      </c>
      <c r="C26" t="s">
        <v>333</v>
      </c>
    </row>
    <row r="27" spans="1:12" x14ac:dyDescent="0.35">
      <c r="B27" s="2" t="s">
        <v>317</v>
      </c>
      <c r="C27" t="s">
        <v>320</v>
      </c>
    </row>
    <row r="28" spans="1:12" x14ac:dyDescent="0.35">
      <c r="B28" s="2" t="s">
        <v>318</v>
      </c>
      <c r="C28" t="s">
        <v>252</v>
      </c>
    </row>
    <row r="29" spans="1:12" x14ac:dyDescent="0.35">
      <c r="B29" s="2" t="s">
        <v>319</v>
      </c>
      <c r="C29" t="s">
        <v>251</v>
      </c>
    </row>
    <row r="30" spans="1:12" x14ac:dyDescent="0.35">
      <c r="B30" s="2" t="s">
        <v>210</v>
      </c>
      <c r="C30" t="s">
        <v>212</v>
      </c>
    </row>
    <row r="31" spans="1:12" x14ac:dyDescent="0.35">
      <c r="B31" s="2" t="s">
        <v>211</v>
      </c>
      <c r="C31" t="s">
        <v>140</v>
      </c>
    </row>
    <row r="32" spans="1:12" x14ac:dyDescent="0.35">
      <c r="B32" s="2" t="s">
        <v>153</v>
      </c>
      <c r="C32" t="s">
        <v>213</v>
      </c>
    </row>
    <row r="33" spans="1:3" x14ac:dyDescent="0.35">
      <c r="B33" s="2" t="s">
        <v>214</v>
      </c>
      <c r="C33" t="s">
        <v>215</v>
      </c>
    </row>
    <row r="34" spans="1:3" x14ac:dyDescent="0.35">
      <c r="B34" s="2" t="s">
        <v>242</v>
      </c>
      <c r="C34" t="s">
        <v>243</v>
      </c>
    </row>
    <row r="35" spans="1:3" x14ac:dyDescent="0.35">
      <c r="B35" s="2" t="s">
        <v>93</v>
      </c>
      <c r="C35" t="s">
        <v>94</v>
      </c>
    </row>
    <row r="36" spans="1:3" x14ac:dyDescent="0.35">
      <c r="B36" s="2" t="s">
        <v>95</v>
      </c>
      <c r="C36" t="s">
        <v>96</v>
      </c>
    </row>
    <row r="37" spans="1:3" x14ac:dyDescent="0.35">
      <c r="B37" s="2" t="s">
        <v>141</v>
      </c>
      <c r="C37" t="s">
        <v>142</v>
      </c>
    </row>
    <row r="38" spans="1:3" x14ac:dyDescent="0.35">
      <c r="B38" s="2" t="s">
        <v>384</v>
      </c>
      <c r="C38" t="s">
        <v>385</v>
      </c>
    </row>
    <row r="40" spans="1:3" x14ac:dyDescent="0.35">
      <c r="A40" s="1" t="s">
        <v>201</v>
      </c>
    </row>
    <row r="41" spans="1:3" x14ac:dyDescent="0.35">
      <c r="A41" t="s">
        <v>202</v>
      </c>
    </row>
    <row r="42" spans="1:3" x14ac:dyDescent="0.35">
      <c r="A42" t="s">
        <v>203</v>
      </c>
    </row>
    <row r="43" spans="1:3" x14ac:dyDescent="0.35">
      <c r="A43" s="67" t="s">
        <v>204</v>
      </c>
    </row>
    <row r="44" spans="1:3" x14ac:dyDescent="0.35">
      <c r="A44" s="67" t="s">
        <v>206</v>
      </c>
    </row>
    <row r="45" spans="1:3" x14ac:dyDescent="0.35">
      <c r="A45" s="67"/>
    </row>
    <row r="46" spans="1:3" x14ac:dyDescent="0.35">
      <c r="A46" s="1" t="s">
        <v>205</v>
      </c>
    </row>
    <row r="47" spans="1:3" x14ac:dyDescent="0.35">
      <c r="A47" t="s">
        <v>224</v>
      </c>
    </row>
    <row r="49" spans="1:12" ht="16" customHeight="1" x14ac:dyDescent="0.35">
      <c r="A49" s="1" t="s">
        <v>49</v>
      </c>
    </row>
    <row r="50" spans="1:12" ht="29.25" customHeight="1" x14ac:dyDescent="0.35">
      <c r="A50" s="217" t="s">
        <v>223</v>
      </c>
      <c r="B50" s="217"/>
      <c r="C50" s="217"/>
      <c r="D50" s="217"/>
      <c r="E50" s="217"/>
      <c r="F50" s="217"/>
      <c r="G50" s="217"/>
      <c r="H50" s="217"/>
      <c r="I50" s="217"/>
      <c r="J50" s="217"/>
      <c r="K50" s="217"/>
      <c r="L50" s="217"/>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7" t="s">
        <v>148</v>
      </c>
      <c r="B3" s="257"/>
      <c r="C3" s="257"/>
      <c r="D3" s="257"/>
      <c r="E3" s="257"/>
      <c r="F3" s="257"/>
      <c r="G3" s="257"/>
      <c r="H3" s="112"/>
      <c r="I3" s="112"/>
      <c r="J3" s="112"/>
      <c r="K3" s="112"/>
    </row>
    <row r="4" spans="1:13" x14ac:dyDescent="0.35">
      <c r="A4" s="51" t="s">
        <v>38</v>
      </c>
      <c r="B4" s="51" t="s">
        <v>42</v>
      </c>
      <c r="C4" s="258" t="s">
        <v>43</v>
      </c>
      <c r="D4" s="259"/>
      <c r="E4" s="259"/>
      <c r="F4" s="259"/>
      <c r="G4" s="260"/>
      <c r="M4" s="1" t="s">
        <v>294</v>
      </c>
    </row>
    <row r="5" spans="1:13" x14ac:dyDescent="0.35">
      <c r="A5" s="122" t="s">
        <v>39</v>
      </c>
      <c r="B5" s="122"/>
      <c r="C5" s="248" t="s">
        <v>207</v>
      </c>
      <c r="D5" s="243"/>
      <c r="E5" s="243"/>
      <c r="F5" s="243"/>
      <c r="G5" s="243"/>
      <c r="M5" t="s">
        <v>295</v>
      </c>
    </row>
    <row r="6" spans="1:13" x14ac:dyDescent="0.35">
      <c r="A6" s="122" t="s">
        <v>40</v>
      </c>
      <c r="B6" s="122"/>
      <c r="C6" s="248" t="s">
        <v>208</v>
      </c>
      <c r="D6" s="243"/>
      <c r="E6" s="243"/>
      <c r="F6" s="243"/>
      <c r="G6" s="243"/>
      <c r="M6" t="s">
        <v>300</v>
      </c>
    </row>
    <row r="7" spans="1:13" x14ac:dyDescent="0.35">
      <c r="A7" s="122" t="s">
        <v>41</v>
      </c>
      <c r="B7" s="122"/>
      <c r="C7" s="248" t="s">
        <v>149</v>
      </c>
      <c r="D7" s="243"/>
      <c r="E7" s="243"/>
      <c r="F7" s="243"/>
      <c r="G7" s="243"/>
      <c r="M7" t="s">
        <v>301</v>
      </c>
    </row>
    <row r="8" spans="1:13" x14ac:dyDescent="0.35">
      <c r="A8" s="111" t="s">
        <v>154</v>
      </c>
      <c r="B8" s="111"/>
      <c r="C8" s="250" t="s">
        <v>305</v>
      </c>
      <c r="D8" s="250"/>
      <c r="E8" s="250"/>
      <c r="F8" s="250"/>
      <c r="G8" s="250"/>
    </row>
    <row r="9" spans="1:13" x14ac:dyDescent="0.35">
      <c r="A9" s="122"/>
      <c r="B9" s="122"/>
      <c r="C9" s="249"/>
      <c r="D9" s="249"/>
      <c r="E9" s="249"/>
      <c r="F9" s="249"/>
      <c r="G9" s="249"/>
    </row>
    <row r="10" spans="1:13" x14ac:dyDescent="0.35">
      <c r="A10" s="122"/>
      <c r="B10" s="122"/>
      <c r="C10" s="249"/>
      <c r="D10" s="249"/>
      <c r="E10" s="249"/>
      <c r="F10" s="249"/>
      <c r="G10" s="249"/>
    </row>
    <row r="11" spans="1:13" x14ac:dyDescent="0.35">
      <c r="A11" s="15"/>
      <c r="B11" s="2"/>
      <c r="C11"/>
    </row>
    <row r="12" spans="1:13" x14ac:dyDescent="0.35">
      <c r="A12" s="18" t="s">
        <v>45</v>
      </c>
      <c r="B12" s="261" t="s">
        <v>195</v>
      </c>
      <c r="C12" s="261"/>
      <c r="D12" s="261"/>
      <c r="E12" s="261"/>
      <c r="F12" s="261"/>
    </row>
    <row r="13" spans="1:13" x14ac:dyDescent="0.35">
      <c r="B13" s="262" t="s">
        <v>314</v>
      </c>
      <c r="C13" s="263"/>
      <c r="D13" s="263"/>
      <c r="E13" s="263"/>
      <c r="F13" s="263"/>
    </row>
    <row r="14" spans="1:13" x14ac:dyDescent="0.35">
      <c r="B14" s="264" t="s">
        <v>303</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4.5" x14ac:dyDescent="0.35"/>
  <cols>
    <col min="7" max="7" width="7.81640625" customWidth="1"/>
  </cols>
  <sheetData>
    <row r="1" spans="7:36" ht="36" x14ac:dyDescent="0.8">
      <c r="G1" s="45" t="s">
        <v>39</v>
      </c>
      <c r="P1" s="267" t="s">
        <v>40</v>
      </c>
      <c r="Q1" s="267"/>
      <c r="R1" s="267"/>
      <c r="S1" s="267"/>
      <c r="T1" s="267"/>
      <c r="U1" s="267"/>
      <c r="V1" s="267"/>
      <c r="W1" s="267"/>
      <c r="X1" s="267"/>
      <c r="Y1" s="267"/>
      <c r="AA1" s="267" t="s">
        <v>200</v>
      </c>
      <c r="AB1" s="267"/>
      <c r="AC1" s="267"/>
      <c r="AD1" s="267"/>
      <c r="AE1" s="267"/>
      <c r="AF1" s="267"/>
      <c r="AG1" s="267"/>
      <c r="AH1" s="267"/>
      <c r="AI1" s="267"/>
      <c r="AJ1" s="26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7" t="s">
        <v>148</v>
      </c>
      <c r="B3" s="257"/>
      <c r="C3" s="257"/>
      <c r="D3" s="257"/>
      <c r="E3" s="257"/>
      <c r="F3" s="257"/>
      <c r="G3" s="257"/>
      <c r="H3" s="112"/>
      <c r="I3" s="112"/>
      <c r="J3" s="112"/>
      <c r="K3" s="112"/>
    </row>
    <row r="4" spans="1:13" x14ac:dyDescent="0.35">
      <c r="A4" s="51" t="s">
        <v>38</v>
      </c>
      <c r="B4" s="51" t="s">
        <v>42</v>
      </c>
      <c r="C4" s="258" t="s">
        <v>43</v>
      </c>
      <c r="D4" s="259"/>
      <c r="E4" s="259"/>
      <c r="F4" s="259"/>
      <c r="G4" s="260"/>
      <c r="M4" s="1" t="s">
        <v>294</v>
      </c>
    </row>
    <row r="5" spans="1:13" x14ac:dyDescent="0.35">
      <c r="A5" s="122" t="s">
        <v>39</v>
      </c>
      <c r="B5" s="122"/>
      <c r="C5" s="248" t="s">
        <v>207</v>
      </c>
      <c r="D5" s="243"/>
      <c r="E5" s="243"/>
      <c r="F5" s="243"/>
      <c r="G5" s="243"/>
      <c r="M5" t="s">
        <v>295</v>
      </c>
    </row>
    <row r="6" spans="1:13" x14ac:dyDescent="0.35">
      <c r="A6" s="122" t="s">
        <v>40</v>
      </c>
      <c r="B6" s="122"/>
      <c r="C6" s="248" t="s">
        <v>208</v>
      </c>
      <c r="D6" s="243"/>
      <c r="E6" s="243"/>
      <c r="F6" s="243"/>
      <c r="G6" s="243"/>
      <c r="M6" t="s">
        <v>300</v>
      </c>
    </row>
    <row r="7" spans="1:13" x14ac:dyDescent="0.35">
      <c r="A7" s="122" t="s">
        <v>41</v>
      </c>
      <c r="B7" s="122"/>
      <c r="C7" s="248" t="s">
        <v>149</v>
      </c>
      <c r="D7" s="243"/>
      <c r="E7" s="243"/>
      <c r="F7" s="243"/>
      <c r="G7" s="243"/>
      <c r="M7" t="s">
        <v>301</v>
      </c>
    </row>
    <row r="8" spans="1:13" x14ac:dyDescent="0.35">
      <c r="A8" s="111" t="s">
        <v>154</v>
      </c>
      <c r="B8" s="111"/>
      <c r="C8" s="250" t="s">
        <v>305</v>
      </c>
      <c r="D8" s="250"/>
      <c r="E8" s="250"/>
      <c r="F8" s="250"/>
      <c r="G8" s="250"/>
    </row>
    <row r="9" spans="1:13" x14ac:dyDescent="0.35">
      <c r="A9" s="126" t="s">
        <v>145</v>
      </c>
      <c r="B9" s="122"/>
      <c r="C9" s="243" t="s">
        <v>209</v>
      </c>
      <c r="D9" s="243"/>
      <c r="E9" s="243"/>
      <c r="F9" s="243"/>
      <c r="G9" s="243"/>
    </row>
    <row r="10" spans="1:13" x14ac:dyDescent="0.35">
      <c r="A10" s="122"/>
      <c r="B10" s="122"/>
      <c r="C10" s="249"/>
      <c r="D10" s="249"/>
      <c r="E10" s="249"/>
      <c r="F10" s="249"/>
      <c r="G10" s="249"/>
    </row>
    <row r="11" spans="1:13" x14ac:dyDescent="0.35">
      <c r="A11" s="15"/>
      <c r="B11" s="2"/>
      <c r="C11"/>
    </row>
    <row r="12" spans="1:13" x14ac:dyDescent="0.35">
      <c r="A12" s="18" t="s">
        <v>45</v>
      </c>
      <c r="B12" s="261" t="s">
        <v>195</v>
      </c>
      <c r="C12" s="261"/>
      <c r="D12" s="261"/>
      <c r="E12" s="261"/>
      <c r="F12" s="261"/>
    </row>
    <row r="13" spans="1:13" x14ac:dyDescent="0.35">
      <c r="B13" s="262" t="s">
        <v>302</v>
      </c>
      <c r="C13" s="263"/>
      <c r="D13" s="263"/>
      <c r="E13" s="263"/>
      <c r="F13" s="263"/>
    </row>
    <row r="14" spans="1:13" x14ac:dyDescent="0.35">
      <c r="B14" s="264" t="s">
        <v>303</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225</v>
      </c>
    </row>
    <row r="3" spans="1:16" s="1" customFormat="1" x14ac:dyDescent="0.35">
      <c r="D3" s="268" t="s">
        <v>226</v>
      </c>
      <c r="E3" s="268"/>
      <c r="F3" s="268" t="s">
        <v>227</v>
      </c>
      <c r="G3" s="268"/>
      <c r="H3" s="268"/>
      <c r="I3" s="268" t="s">
        <v>228</v>
      </c>
      <c r="J3" s="268"/>
      <c r="K3" s="268"/>
      <c r="L3" s="179"/>
      <c r="M3" s="268" t="s">
        <v>41</v>
      </c>
      <c r="N3" s="268"/>
      <c r="O3" s="268"/>
    </row>
    <row r="4" spans="1:16" s="69" customFormat="1" ht="42.65" customHeight="1" x14ac:dyDescent="0.3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236</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257</v>
      </c>
    </row>
    <row r="2" spans="1:9" x14ac:dyDescent="0.35">
      <c r="A2" s="83" t="s">
        <v>258</v>
      </c>
    </row>
    <row r="3" spans="1:9" x14ac:dyDescent="0.35">
      <c r="I3" s="1" t="s">
        <v>392</v>
      </c>
    </row>
    <row r="4" spans="1:9" s="76" customFormat="1" ht="43.5" x14ac:dyDescent="0.35">
      <c r="A4" s="54" t="s">
        <v>259</v>
      </c>
      <c r="B4" s="54" t="s">
        <v>264</v>
      </c>
      <c r="C4" s="54" t="s">
        <v>265</v>
      </c>
      <c r="D4" s="55" t="s">
        <v>260</v>
      </c>
      <c r="E4" s="54" t="s">
        <v>285</v>
      </c>
      <c r="F4" s="54" t="s">
        <v>286</v>
      </c>
      <c r="G4" s="163" t="s">
        <v>345</v>
      </c>
    </row>
    <row r="5" spans="1:9" s="76" customFormat="1" ht="58" x14ac:dyDescent="0.3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58" x14ac:dyDescent="0.3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58" x14ac:dyDescent="0.35">
      <c r="A7" s="91">
        <v>3490</v>
      </c>
      <c r="B7" s="92" t="s">
        <v>273</v>
      </c>
      <c r="C7" s="92" t="s">
        <v>266</v>
      </c>
      <c r="D7" s="93" t="s">
        <v>263</v>
      </c>
      <c r="E7" s="118" t="str">
        <f>E6</f>
        <v>Highly uncertain</v>
      </c>
      <c r="F7" s="117" t="s">
        <v>287</v>
      </c>
      <c r="G7" s="164">
        <f>VLOOKUP(A7,'Powell-Elevation-Area'!$A$5:$B$689,2)/1000000</f>
        <v>3.9971625</v>
      </c>
    </row>
    <row r="8" spans="1:9" ht="72.5" x14ac:dyDescent="0.35">
      <c r="A8" s="94">
        <v>3525</v>
      </c>
      <c r="B8" s="95" t="s">
        <v>272</v>
      </c>
      <c r="C8" s="95" t="s">
        <v>266</v>
      </c>
      <c r="D8" s="96" t="s">
        <v>262</v>
      </c>
      <c r="E8" s="119" t="s">
        <v>289</v>
      </c>
      <c r="F8" s="119" t="s">
        <v>292</v>
      </c>
      <c r="G8" s="165">
        <f>VLOOKUP(A8,'Powell-Elevation-Area'!$A$5:$B$689,2)/1000000</f>
        <v>5.9265762500000001</v>
      </c>
    </row>
    <row r="9" spans="1:9" ht="43.5" x14ac:dyDescent="0.35">
      <c r="A9" s="97">
        <v>3600</v>
      </c>
      <c r="B9" s="98" t="s">
        <v>271</v>
      </c>
      <c r="C9" s="98" t="s">
        <v>266</v>
      </c>
      <c r="D9" s="99" t="s">
        <v>281</v>
      </c>
      <c r="E9" s="120" t="s">
        <v>282</v>
      </c>
      <c r="F9" s="120" t="str">
        <f>F8</f>
        <v>Help grow + incubate</v>
      </c>
      <c r="G9" s="166">
        <f>VLOOKUP(A9,'Powell-Elevation-Area'!$A$5:$B$689,2)/1000000</f>
        <v>11.750075000000001</v>
      </c>
    </row>
    <row r="10" spans="1:9" ht="101.5" x14ac:dyDescent="0.35">
      <c r="A10" s="100">
        <v>3675</v>
      </c>
      <c r="B10" s="101" t="s">
        <v>270</v>
      </c>
      <c r="C10" s="101" t="s">
        <v>266</v>
      </c>
      <c r="D10" s="102" t="s">
        <v>261</v>
      </c>
      <c r="E10" s="121" t="s">
        <v>291</v>
      </c>
      <c r="F10" s="121" t="s">
        <v>293</v>
      </c>
      <c r="G10" s="167">
        <f>VLOOKUP(A10,'Powell-Elevation-Area'!$A$5:$B$689,2)/1000000</f>
        <v>20.539037499999999</v>
      </c>
    </row>
    <row r="11" spans="1:9" ht="101.5" x14ac:dyDescent="0.3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69"/>
      <c r="D5" s="269"/>
      <c r="E5" s="269"/>
      <c r="F5" s="269"/>
      <c r="G5" s="269"/>
      <c r="H5" s="269"/>
    </row>
    <row r="6" spans="1:11" x14ac:dyDescent="0.35">
      <c r="A6" s="15" t="s">
        <v>39</v>
      </c>
      <c r="B6" s="44"/>
      <c r="C6" s="269"/>
      <c r="D6" s="269"/>
      <c r="E6" s="269"/>
      <c r="F6" s="269"/>
      <c r="G6" s="269"/>
      <c r="H6" s="269"/>
    </row>
    <row r="7" spans="1:11" x14ac:dyDescent="0.35">
      <c r="A7" s="15" t="s">
        <v>40</v>
      </c>
      <c r="B7" s="44"/>
      <c r="C7" s="269"/>
      <c r="D7" s="269"/>
      <c r="E7" s="269"/>
      <c r="F7" s="269"/>
      <c r="G7" s="269"/>
      <c r="H7" s="269"/>
    </row>
    <row r="8" spans="1:11" x14ac:dyDescent="0.35">
      <c r="A8" s="15" t="s">
        <v>41</v>
      </c>
      <c r="B8" s="44"/>
      <c r="C8" s="269"/>
      <c r="D8" s="269"/>
      <c r="E8" s="269"/>
      <c r="F8" s="269"/>
      <c r="G8" s="269"/>
      <c r="H8" s="269"/>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3"/>
    <col min="4" max="4" width="46.54296875" style="83" customWidth="1"/>
  </cols>
  <sheetData>
    <row r="1" spans="1:4" x14ac:dyDescent="0.35">
      <c r="A1" s="83" t="s">
        <v>383</v>
      </c>
    </row>
    <row r="3" spans="1:4" s="1" customFormat="1" x14ac:dyDescent="0.35">
      <c r="A3" s="274" t="s">
        <v>380</v>
      </c>
      <c r="B3" s="274"/>
      <c r="C3" s="274"/>
      <c r="D3" s="172" t="s">
        <v>379</v>
      </c>
    </row>
    <row r="4" spans="1:4" ht="29" x14ac:dyDescent="0.35">
      <c r="A4" s="270" t="s">
        <v>373</v>
      </c>
      <c r="B4" s="270"/>
      <c r="C4" s="270"/>
      <c r="D4" s="56" t="s">
        <v>378</v>
      </c>
    </row>
    <row r="5" spans="1:4" ht="43.5" x14ac:dyDescent="0.35">
      <c r="A5" s="271" t="s">
        <v>374</v>
      </c>
      <c r="B5" s="271"/>
      <c r="C5" s="271"/>
      <c r="D5" s="56" t="s">
        <v>394</v>
      </c>
    </row>
    <row r="6" spans="1:4" ht="58" x14ac:dyDescent="0.35">
      <c r="A6" s="272" t="s">
        <v>375</v>
      </c>
      <c r="B6" s="272"/>
      <c r="C6" s="272"/>
      <c r="D6" s="56" t="s">
        <v>377</v>
      </c>
    </row>
    <row r="7" spans="1:4" ht="29" x14ac:dyDescent="0.35">
      <c r="A7" s="273" t="s">
        <v>46</v>
      </c>
      <c r="B7" s="273"/>
      <c r="C7" s="273"/>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9"/>
  <sheetViews>
    <sheetView zoomScale="150" zoomScaleNormal="150" workbookViewId="0">
      <selection activeCell="E1" sqref="E1"/>
    </sheetView>
  </sheetViews>
  <sheetFormatPr defaultRowHeight="14.5" x14ac:dyDescent="0.35"/>
  <cols>
    <col min="1" max="1" width="12.54296875" style="57" customWidth="1"/>
    <col min="2" max="2" width="7.81640625" style="199" customWidth="1"/>
    <col min="3" max="3" width="29.81640625" style="56" customWidth="1"/>
    <col min="4" max="4" width="12.453125" style="59" customWidth="1"/>
    <col min="5" max="5" width="15.1796875" style="59" customWidth="1"/>
    <col min="6" max="6" width="12" style="57" customWidth="1"/>
    <col min="8" max="8" width="32.453125" style="77" customWidth="1"/>
    <col min="9" max="9" width="12.453125" style="77" customWidth="1"/>
    <col min="10" max="10" width="11" style="147" customWidth="1"/>
  </cols>
  <sheetData>
    <row r="1" spans="1:10" s="53" customFormat="1" ht="30.65" customHeight="1" x14ac:dyDescent="0.35">
      <c r="A1" s="54" t="s">
        <v>156</v>
      </c>
      <c r="B1" s="197" t="s">
        <v>175</v>
      </c>
      <c r="C1" s="55" t="s">
        <v>157</v>
      </c>
      <c r="D1" s="54" t="s">
        <v>159</v>
      </c>
      <c r="E1" s="54" t="s">
        <v>158</v>
      </c>
      <c r="F1" s="54" t="s">
        <v>160</v>
      </c>
      <c r="H1" s="144" t="s">
        <v>220</v>
      </c>
      <c r="I1" s="144" t="s">
        <v>158</v>
      </c>
      <c r="J1" s="145" t="s">
        <v>160</v>
      </c>
    </row>
    <row r="2" spans="1:10" x14ac:dyDescent="0.35">
      <c r="A2" s="80"/>
      <c r="B2" s="198"/>
      <c r="C2" s="79"/>
      <c r="D2" s="78"/>
      <c r="E2" s="78"/>
      <c r="F2" s="80"/>
      <c r="H2" s="56"/>
      <c r="I2" s="56"/>
      <c r="J2" s="57"/>
    </row>
    <row r="3" spans="1:10" ht="29" x14ac:dyDescent="0.35">
      <c r="A3" s="80">
        <v>44501</v>
      </c>
      <c r="B3" s="198" t="s">
        <v>476</v>
      </c>
      <c r="C3" s="79" t="s">
        <v>477</v>
      </c>
      <c r="D3" s="78" t="s">
        <v>150</v>
      </c>
      <c r="E3" s="78" t="s">
        <v>150</v>
      </c>
      <c r="F3" s="80"/>
      <c r="H3" s="56"/>
      <c r="I3" s="56"/>
      <c r="J3" s="57"/>
    </row>
    <row r="4" spans="1:10" ht="72.5" x14ac:dyDescent="0.35">
      <c r="A4" s="80">
        <v>44500</v>
      </c>
      <c r="B4" s="198" t="s">
        <v>474</v>
      </c>
      <c r="C4" s="79" t="s">
        <v>475</v>
      </c>
      <c r="D4" s="78" t="s">
        <v>150</v>
      </c>
      <c r="E4" s="78" t="s">
        <v>150</v>
      </c>
      <c r="F4" s="80"/>
      <c r="H4" s="56"/>
      <c r="I4" s="56"/>
      <c r="J4" s="58"/>
    </row>
    <row r="5" spans="1:10" ht="40.5" customHeight="1" x14ac:dyDescent="0.35">
      <c r="A5" s="80">
        <v>44496</v>
      </c>
      <c r="B5" s="198" t="s">
        <v>467</v>
      </c>
      <c r="C5" s="79" t="s">
        <v>468</v>
      </c>
      <c r="D5" s="78" t="s">
        <v>150</v>
      </c>
      <c r="E5" s="78" t="s">
        <v>458</v>
      </c>
      <c r="F5" s="80"/>
      <c r="H5" s="56"/>
      <c r="I5" s="56"/>
      <c r="J5" s="58"/>
    </row>
    <row r="6" spans="1:10" ht="38.5" customHeight="1" x14ac:dyDescent="0.35">
      <c r="A6" s="80">
        <v>44496</v>
      </c>
      <c r="B6" s="198" t="s">
        <v>464</v>
      </c>
      <c r="C6" s="79" t="s">
        <v>465</v>
      </c>
      <c r="D6" s="78" t="s">
        <v>150</v>
      </c>
      <c r="E6" s="78" t="s">
        <v>466</v>
      </c>
      <c r="F6" s="80">
        <v>44495</v>
      </c>
      <c r="H6" s="56" t="s">
        <v>221</v>
      </c>
      <c r="I6" s="56" t="s">
        <v>150</v>
      </c>
      <c r="J6" s="57"/>
    </row>
    <row r="7" spans="1:10" ht="29" x14ac:dyDescent="0.35">
      <c r="A7" s="80">
        <v>44480</v>
      </c>
      <c r="B7" s="198" t="s">
        <v>457</v>
      </c>
      <c r="C7" s="79" t="s">
        <v>454</v>
      </c>
      <c r="D7" s="78" t="s">
        <v>150</v>
      </c>
      <c r="E7" s="78"/>
      <c r="F7" s="80"/>
      <c r="H7" s="56" t="s">
        <v>459</v>
      </c>
      <c r="I7" s="146" t="s">
        <v>245</v>
      </c>
      <c r="J7" s="58">
        <v>44482</v>
      </c>
    </row>
    <row r="8" spans="1:10" ht="29" x14ac:dyDescent="0.35">
      <c r="A8" s="80">
        <v>44480</v>
      </c>
      <c r="B8" s="198" t="s">
        <v>456</v>
      </c>
      <c r="C8" s="79" t="s">
        <v>452</v>
      </c>
      <c r="D8" s="78" t="s">
        <v>150</v>
      </c>
      <c r="E8" s="78" t="s">
        <v>150</v>
      </c>
      <c r="F8" s="80"/>
      <c r="H8" s="56" t="s">
        <v>460</v>
      </c>
      <c r="I8" s="146" t="s">
        <v>150</v>
      </c>
      <c r="J8" s="58"/>
    </row>
    <row r="9" spans="1:10" ht="29" x14ac:dyDescent="0.35">
      <c r="A9" s="80">
        <v>44480</v>
      </c>
      <c r="B9" s="198" t="s">
        <v>455</v>
      </c>
      <c r="C9" s="79" t="s">
        <v>451</v>
      </c>
      <c r="D9" s="78" t="s">
        <v>150</v>
      </c>
      <c r="E9" s="78" t="s">
        <v>406</v>
      </c>
      <c r="F9" s="80" t="s">
        <v>407</v>
      </c>
      <c r="H9" s="56" t="s">
        <v>250</v>
      </c>
      <c r="I9" s="56" t="s">
        <v>245</v>
      </c>
      <c r="J9" s="58">
        <v>44385</v>
      </c>
    </row>
    <row r="10" spans="1:10" ht="43.5" x14ac:dyDescent="0.35">
      <c r="A10" s="80">
        <v>44474</v>
      </c>
      <c r="B10" s="78">
        <v>3.7</v>
      </c>
      <c r="C10" s="79" t="s">
        <v>386</v>
      </c>
      <c r="D10" s="78" t="s">
        <v>150</v>
      </c>
      <c r="E10" s="78" t="s">
        <v>150</v>
      </c>
      <c r="F10" s="80"/>
      <c r="H10" s="56" t="s">
        <v>323</v>
      </c>
      <c r="I10" s="146" t="s">
        <v>312</v>
      </c>
      <c r="J10" s="58">
        <v>44391</v>
      </c>
    </row>
    <row r="11" spans="1:10" ht="72.5" x14ac:dyDescent="0.35">
      <c r="A11" s="80">
        <v>44463</v>
      </c>
      <c r="B11" s="78" t="s">
        <v>473</v>
      </c>
      <c r="C11" s="79" t="s">
        <v>364</v>
      </c>
      <c r="D11" s="78" t="s">
        <v>150</v>
      </c>
      <c r="E11" s="78" t="s">
        <v>346</v>
      </c>
      <c r="F11" s="80">
        <v>44432</v>
      </c>
      <c r="H11" s="56" t="s">
        <v>248</v>
      </c>
      <c r="I11" s="146" t="s">
        <v>312</v>
      </c>
      <c r="J11" s="58">
        <v>44391</v>
      </c>
    </row>
    <row r="12" spans="1:10" ht="58" x14ac:dyDescent="0.35">
      <c r="A12" s="80">
        <v>44459</v>
      </c>
      <c r="B12" s="78" t="s">
        <v>337</v>
      </c>
      <c r="C12" s="79" t="s">
        <v>338</v>
      </c>
      <c r="D12" s="78" t="s">
        <v>150</v>
      </c>
      <c r="E12" s="78" t="s">
        <v>150</v>
      </c>
      <c r="F12" s="80"/>
      <c r="H12" s="56" t="s">
        <v>249</v>
      </c>
      <c r="I12" s="146" t="s">
        <v>312</v>
      </c>
      <c r="J12" s="58">
        <v>44391</v>
      </c>
    </row>
    <row r="13" spans="1:10" ht="43.5" x14ac:dyDescent="0.35">
      <c r="A13" s="80">
        <v>44459</v>
      </c>
      <c r="B13" s="78">
        <v>3.6</v>
      </c>
      <c r="C13" s="79" t="s">
        <v>339</v>
      </c>
      <c r="D13" s="78" t="s">
        <v>150</v>
      </c>
      <c r="E13" s="78" t="s">
        <v>150</v>
      </c>
      <c r="F13" s="80"/>
      <c r="H13" s="56"/>
      <c r="I13" s="56"/>
      <c r="J13" s="57"/>
    </row>
    <row r="14" spans="1:10" ht="58" x14ac:dyDescent="0.35">
      <c r="A14" s="80">
        <v>44432</v>
      </c>
      <c r="B14" s="78">
        <v>3.5</v>
      </c>
      <c r="C14" s="79" t="s">
        <v>328</v>
      </c>
      <c r="D14" s="78" t="s">
        <v>150</v>
      </c>
      <c r="E14" s="78" t="s">
        <v>150</v>
      </c>
      <c r="F14" s="80">
        <v>44424</v>
      </c>
      <c r="H14" s="56"/>
      <c r="I14" s="56"/>
      <c r="J14" s="57"/>
    </row>
    <row r="15" spans="1:10" ht="101.5" x14ac:dyDescent="0.35">
      <c r="A15" s="80">
        <v>44432</v>
      </c>
      <c r="B15" s="78">
        <v>3.5</v>
      </c>
      <c r="C15" s="79" t="s">
        <v>334</v>
      </c>
      <c r="D15" s="78" t="s">
        <v>150</v>
      </c>
      <c r="E15" s="78" t="s">
        <v>324</v>
      </c>
      <c r="F15" s="80">
        <v>44424</v>
      </c>
      <c r="H15" s="56"/>
      <c r="I15" s="56"/>
      <c r="J15" s="57"/>
    </row>
    <row r="16" spans="1:10" ht="87" x14ac:dyDescent="0.35">
      <c r="A16" s="80">
        <v>44432</v>
      </c>
      <c r="B16" s="78">
        <v>3.5</v>
      </c>
      <c r="C16" s="79" t="s">
        <v>325</v>
      </c>
      <c r="D16" s="78" t="s">
        <v>150</v>
      </c>
      <c r="E16" s="78"/>
      <c r="F16" s="80"/>
      <c r="H16" s="56"/>
      <c r="I16" s="56"/>
      <c r="J16" s="57"/>
    </row>
    <row r="17" spans="1:6" ht="43.5" x14ac:dyDescent="0.35">
      <c r="A17" s="80">
        <v>44423</v>
      </c>
      <c r="B17" s="78" t="s">
        <v>315</v>
      </c>
      <c r="C17" s="79" t="s">
        <v>316</v>
      </c>
      <c r="D17" s="78" t="s">
        <v>150</v>
      </c>
      <c r="E17" s="78" t="s">
        <v>150</v>
      </c>
      <c r="F17" s="80"/>
    </row>
    <row r="18" spans="1:6" ht="43.5" x14ac:dyDescent="0.35">
      <c r="A18" s="80">
        <v>44405</v>
      </c>
      <c r="B18" s="78" t="s">
        <v>311</v>
      </c>
      <c r="C18" s="56" t="s">
        <v>313</v>
      </c>
      <c r="D18" s="78" t="s">
        <v>150</v>
      </c>
      <c r="E18" s="78" t="s">
        <v>312</v>
      </c>
      <c r="F18" s="80">
        <v>44405</v>
      </c>
    </row>
    <row r="19" spans="1:6" ht="29" x14ac:dyDescent="0.35">
      <c r="A19" s="80">
        <v>44405</v>
      </c>
      <c r="B19" s="78" t="s">
        <v>309</v>
      </c>
      <c r="C19" s="79" t="s">
        <v>310</v>
      </c>
      <c r="D19" s="78" t="s">
        <v>150</v>
      </c>
      <c r="E19" s="78" t="s">
        <v>150</v>
      </c>
      <c r="F19" s="80">
        <v>44405</v>
      </c>
    </row>
    <row r="20" spans="1:6" ht="72.5" x14ac:dyDescent="0.35">
      <c r="A20" s="80">
        <v>44405</v>
      </c>
      <c r="B20" s="78" t="s">
        <v>280</v>
      </c>
      <c r="C20" s="79" t="s">
        <v>308</v>
      </c>
      <c r="D20" s="78" t="s">
        <v>150</v>
      </c>
      <c r="E20" s="78" t="s">
        <v>312</v>
      </c>
      <c r="F20" s="80">
        <v>44391</v>
      </c>
    </row>
    <row r="21" spans="1:6" ht="43.5" x14ac:dyDescent="0.35">
      <c r="A21" s="78" t="s">
        <v>276</v>
      </c>
      <c r="B21" s="78" t="s">
        <v>275</v>
      </c>
      <c r="C21" s="56" t="s">
        <v>277</v>
      </c>
      <c r="D21" s="78" t="s">
        <v>150</v>
      </c>
      <c r="E21" s="78" t="s">
        <v>312</v>
      </c>
      <c r="F21" s="80">
        <v>44391</v>
      </c>
    </row>
    <row r="22" spans="1:6" ht="29" x14ac:dyDescent="0.35">
      <c r="A22" s="78" t="s">
        <v>276</v>
      </c>
      <c r="B22" s="78" t="s">
        <v>275</v>
      </c>
      <c r="C22" s="56" t="s">
        <v>247</v>
      </c>
      <c r="D22" s="78" t="s">
        <v>150</v>
      </c>
      <c r="E22" s="78" t="s">
        <v>312</v>
      </c>
      <c r="F22" s="80">
        <v>44391</v>
      </c>
    </row>
    <row r="23" spans="1:6" ht="101.5" x14ac:dyDescent="0.35">
      <c r="A23" s="80">
        <v>44403</v>
      </c>
      <c r="B23" s="78" t="s">
        <v>253</v>
      </c>
      <c r="C23" s="79" t="s">
        <v>254</v>
      </c>
      <c r="D23" s="78" t="s">
        <v>150</v>
      </c>
      <c r="E23" s="78" t="s">
        <v>312</v>
      </c>
      <c r="F23" s="80">
        <v>44391</v>
      </c>
    </row>
    <row r="24" spans="1:6" ht="58" x14ac:dyDescent="0.35">
      <c r="A24" s="58">
        <v>44389</v>
      </c>
      <c r="B24" s="57" t="s">
        <v>240</v>
      </c>
      <c r="C24" s="56" t="s">
        <v>241</v>
      </c>
      <c r="D24" s="59" t="s">
        <v>150</v>
      </c>
      <c r="E24" s="59" t="s">
        <v>150</v>
      </c>
      <c r="F24" s="58">
        <v>44389</v>
      </c>
    </row>
    <row r="25" spans="1:6" ht="29" x14ac:dyDescent="0.35">
      <c r="A25" s="58">
        <v>44389</v>
      </c>
      <c r="B25" s="57" t="s">
        <v>238</v>
      </c>
      <c r="C25" s="56" t="s">
        <v>239</v>
      </c>
      <c r="D25" s="59" t="s">
        <v>150</v>
      </c>
      <c r="E25" s="59" t="s">
        <v>245</v>
      </c>
      <c r="F25" s="58">
        <v>44385</v>
      </c>
    </row>
    <row r="26" spans="1:6" ht="58" x14ac:dyDescent="0.35">
      <c r="A26" s="58">
        <v>44385</v>
      </c>
      <c r="B26" s="57" t="s">
        <v>216</v>
      </c>
      <c r="C26" s="56" t="s">
        <v>217</v>
      </c>
      <c r="D26" s="59" t="s">
        <v>150</v>
      </c>
      <c r="E26" s="59" t="s">
        <v>150</v>
      </c>
      <c r="F26" s="58">
        <f>A26</f>
        <v>44385</v>
      </c>
    </row>
    <row r="27" spans="1:6" ht="29" x14ac:dyDescent="0.35">
      <c r="A27" s="58">
        <v>44384</v>
      </c>
      <c r="B27" s="57" t="s">
        <v>199</v>
      </c>
      <c r="C27" s="56" t="s">
        <v>218</v>
      </c>
      <c r="D27" s="59" t="s">
        <v>150</v>
      </c>
      <c r="E27" s="59" t="s">
        <v>150</v>
      </c>
      <c r="F27" s="58">
        <v>44384</v>
      </c>
    </row>
    <row r="28" spans="1:6" ht="43.5" x14ac:dyDescent="0.35">
      <c r="A28" s="58">
        <v>44384</v>
      </c>
      <c r="B28" s="57" t="s">
        <v>196</v>
      </c>
      <c r="C28" s="56" t="s">
        <v>219</v>
      </c>
      <c r="D28" s="59" t="s">
        <v>150</v>
      </c>
      <c r="E28" s="59" t="s">
        <v>150</v>
      </c>
      <c r="F28" s="58">
        <v>44384</v>
      </c>
    </row>
    <row r="29" spans="1:6" ht="43.5" x14ac:dyDescent="0.35">
      <c r="A29" s="58">
        <v>44378</v>
      </c>
      <c r="B29" s="57" t="s">
        <v>187</v>
      </c>
      <c r="C29" s="56" t="s">
        <v>188</v>
      </c>
      <c r="D29" s="59" t="s">
        <v>150</v>
      </c>
      <c r="E29" s="59" t="s">
        <v>150</v>
      </c>
      <c r="F29" s="58">
        <v>44378</v>
      </c>
    </row>
    <row r="30" spans="1:6" x14ac:dyDescent="0.35">
      <c r="A30" s="58">
        <v>44377</v>
      </c>
      <c r="B30" s="57" t="s">
        <v>185</v>
      </c>
      <c r="C30" s="56" t="s">
        <v>189</v>
      </c>
      <c r="D30" s="59" t="s">
        <v>150</v>
      </c>
      <c r="E30" s="59" t="s">
        <v>150</v>
      </c>
      <c r="F30" s="58">
        <v>44377</v>
      </c>
    </row>
    <row r="31" spans="1:6" ht="72.5" x14ac:dyDescent="0.35">
      <c r="A31" s="58">
        <v>44377</v>
      </c>
      <c r="B31" s="57" t="s">
        <v>183</v>
      </c>
      <c r="C31" s="56" t="s">
        <v>184</v>
      </c>
      <c r="D31" s="59" t="s">
        <v>150</v>
      </c>
      <c r="E31" s="59" t="s">
        <v>246</v>
      </c>
      <c r="F31" s="58">
        <v>44372</v>
      </c>
    </row>
    <row r="32" spans="1:6" ht="43.5" x14ac:dyDescent="0.35">
      <c r="A32" s="58">
        <v>44377</v>
      </c>
      <c r="B32" s="57">
        <v>3.3</v>
      </c>
      <c r="C32" s="56" t="s">
        <v>177</v>
      </c>
      <c r="D32" s="59" t="s">
        <v>150</v>
      </c>
      <c r="E32" s="59" t="s">
        <v>246</v>
      </c>
      <c r="F32" s="58">
        <v>44372</v>
      </c>
    </row>
    <row r="33" spans="1:6" ht="29" x14ac:dyDescent="0.35">
      <c r="A33" s="58">
        <v>44377</v>
      </c>
      <c r="B33" s="57" t="s">
        <v>176</v>
      </c>
      <c r="C33" s="56" t="s">
        <v>161</v>
      </c>
      <c r="D33" s="59" t="s">
        <v>150</v>
      </c>
      <c r="E33" s="59" t="s">
        <v>150</v>
      </c>
      <c r="F33" s="58">
        <v>44377</v>
      </c>
    </row>
    <row r="34" spans="1:6" ht="116" x14ac:dyDescent="0.35">
      <c r="A34" s="58">
        <v>44367</v>
      </c>
      <c r="B34" s="57">
        <v>3.2</v>
      </c>
      <c r="C34" s="56" t="s">
        <v>168</v>
      </c>
      <c r="D34" s="59" t="s">
        <v>150</v>
      </c>
      <c r="E34" s="59" t="s">
        <v>150</v>
      </c>
      <c r="F34" s="58">
        <v>44367</v>
      </c>
    </row>
    <row r="35" spans="1:6" ht="29" x14ac:dyDescent="0.35">
      <c r="A35" s="58">
        <v>44331</v>
      </c>
      <c r="B35" s="57">
        <v>3.1</v>
      </c>
      <c r="C35" s="56" t="s">
        <v>167</v>
      </c>
      <c r="D35" s="59" t="s">
        <v>150</v>
      </c>
      <c r="E35" s="59" t="s">
        <v>150</v>
      </c>
      <c r="F35" s="58">
        <v>44331</v>
      </c>
    </row>
    <row r="36" spans="1:6" ht="72.5" x14ac:dyDescent="0.35">
      <c r="A36" s="58">
        <v>44319</v>
      </c>
      <c r="B36" s="57">
        <v>3</v>
      </c>
      <c r="C36" s="56" t="s">
        <v>166</v>
      </c>
      <c r="D36" s="59" t="s">
        <v>150</v>
      </c>
      <c r="E36" s="59" t="s">
        <v>162</v>
      </c>
      <c r="F36" s="58">
        <v>44315</v>
      </c>
    </row>
    <row r="37" spans="1:6" ht="29" x14ac:dyDescent="0.35">
      <c r="A37" s="58">
        <v>44307</v>
      </c>
      <c r="B37" s="57">
        <v>2</v>
      </c>
      <c r="C37" s="56" t="s">
        <v>163</v>
      </c>
      <c r="D37" s="59" t="s">
        <v>150</v>
      </c>
      <c r="E37" s="59" t="s">
        <v>245</v>
      </c>
      <c r="F37" s="58">
        <v>44294</v>
      </c>
    </row>
    <row r="38" spans="1:6" ht="29" x14ac:dyDescent="0.35">
      <c r="A38" s="58">
        <v>44293</v>
      </c>
      <c r="B38" s="61">
        <v>1</v>
      </c>
      <c r="C38" s="56" t="s">
        <v>165</v>
      </c>
      <c r="D38" s="59" t="s">
        <v>150</v>
      </c>
      <c r="E38" s="59" t="s">
        <v>164</v>
      </c>
      <c r="F38" s="58">
        <v>44291</v>
      </c>
    </row>
    <row r="39" spans="1:6" x14ac:dyDescent="0.35">
      <c r="A39" s="58">
        <v>44291</v>
      </c>
      <c r="B39" s="61">
        <v>0.5</v>
      </c>
      <c r="C39" s="56" t="s">
        <v>472</v>
      </c>
      <c r="D39" s="59" t="s">
        <v>150</v>
      </c>
      <c r="E39" s="59" t="s">
        <v>150</v>
      </c>
      <c r="F39"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topLeftCell="A16" zoomScale="150" zoomScaleNormal="150" workbookViewId="0">
      <selection activeCell="N25" sqref="N25"/>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8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row>
    <row r="2" spans="1:14" x14ac:dyDescent="0.35">
      <c r="A2" s="1" t="s">
        <v>368</v>
      </c>
      <c r="B2" s="1"/>
    </row>
    <row r="3" spans="1:14" ht="32.15" customHeight="1" x14ac:dyDescent="0.35">
      <c r="A3" s="244" t="s">
        <v>393</v>
      </c>
      <c r="B3" s="244"/>
      <c r="C3" s="244"/>
      <c r="D3" s="244"/>
      <c r="E3" s="244"/>
      <c r="F3" s="244"/>
      <c r="G3" s="244"/>
      <c r="H3" s="112"/>
      <c r="I3" s="112"/>
      <c r="J3" s="112"/>
      <c r="K3" s="112"/>
      <c r="N3" s="184" t="s">
        <v>448</v>
      </c>
    </row>
    <row r="4" spans="1:14" x14ac:dyDescent="0.35">
      <c r="A4" s="171" t="s">
        <v>370</v>
      </c>
      <c r="B4" s="171" t="s">
        <v>42</v>
      </c>
      <c r="C4" s="245" t="s">
        <v>43</v>
      </c>
      <c r="D4" s="246"/>
      <c r="E4" s="246"/>
      <c r="F4" s="246"/>
      <c r="G4" s="247"/>
      <c r="N4" s="186" t="s">
        <v>412</v>
      </c>
    </row>
    <row r="5" spans="1:14" x14ac:dyDescent="0.35">
      <c r="A5" s="122" t="s">
        <v>39</v>
      </c>
      <c r="B5" s="122"/>
      <c r="C5" s="248"/>
      <c r="D5" s="243"/>
      <c r="E5" s="243"/>
      <c r="F5" s="243"/>
      <c r="G5" s="243"/>
      <c r="N5" s="190"/>
    </row>
    <row r="6" spans="1:14" x14ac:dyDescent="0.35">
      <c r="A6" s="122" t="s">
        <v>40</v>
      </c>
      <c r="B6" s="122"/>
      <c r="C6" s="248"/>
      <c r="D6" s="243"/>
      <c r="E6" s="243"/>
      <c r="F6" s="243"/>
      <c r="G6" s="243"/>
      <c r="N6" s="190"/>
    </row>
    <row r="7" spans="1:14" x14ac:dyDescent="0.35">
      <c r="A7" s="122" t="s">
        <v>41</v>
      </c>
      <c r="B7" s="122"/>
      <c r="C7" s="248"/>
      <c r="D7" s="243"/>
      <c r="E7" s="243"/>
      <c r="F7" s="243"/>
      <c r="G7" s="243"/>
      <c r="N7" s="190"/>
    </row>
    <row r="8" spans="1:14" x14ac:dyDescent="0.35">
      <c r="A8" s="154" t="s">
        <v>145</v>
      </c>
      <c r="B8" s="153"/>
      <c r="C8" s="243"/>
      <c r="D8" s="243"/>
      <c r="E8" s="243"/>
      <c r="F8" s="243"/>
      <c r="G8" s="243"/>
      <c r="N8" s="190"/>
    </row>
    <row r="9" spans="1:14" x14ac:dyDescent="0.35">
      <c r="A9" s="183" t="s">
        <v>453</v>
      </c>
      <c r="B9" s="122"/>
      <c r="C9" s="249"/>
      <c r="D9" s="249"/>
      <c r="E9" s="249"/>
      <c r="F9" s="249"/>
      <c r="G9" s="249"/>
      <c r="N9" s="190"/>
    </row>
    <row r="10" spans="1:14" x14ac:dyDescent="0.35">
      <c r="A10" s="155" t="s">
        <v>154</v>
      </c>
      <c r="B10" s="155"/>
      <c r="C10" s="250"/>
      <c r="D10" s="250"/>
      <c r="E10" s="250"/>
      <c r="F10" s="250"/>
      <c r="G10" s="250"/>
      <c r="N10" s="190"/>
    </row>
    <row r="11" spans="1:14" x14ac:dyDescent="0.35">
      <c r="A11" s="15"/>
      <c r="B11" s="2"/>
      <c r="C11"/>
      <c r="N11" s="190"/>
    </row>
    <row r="12" spans="1:14" x14ac:dyDescent="0.35">
      <c r="A12" s="18" t="s">
        <v>371</v>
      </c>
      <c r="B12" s="251" t="s">
        <v>373</v>
      </c>
      <c r="C12" s="252"/>
      <c r="D12" s="253"/>
      <c r="N12" s="189" t="s">
        <v>413</v>
      </c>
    </row>
    <row r="13" spans="1:14" x14ac:dyDescent="0.35">
      <c r="B13" s="254" t="s">
        <v>374</v>
      </c>
      <c r="C13" s="255"/>
      <c r="D13" s="256"/>
      <c r="N13" s="190"/>
    </row>
    <row r="14" spans="1:14" x14ac:dyDescent="0.35">
      <c r="B14" s="235" t="s">
        <v>375</v>
      </c>
      <c r="C14" s="236"/>
      <c r="D14" s="237"/>
      <c r="N14" s="190"/>
    </row>
    <row r="15" spans="1:14" x14ac:dyDescent="0.35">
      <c r="B15" s="238" t="s">
        <v>46</v>
      </c>
      <c r="C15" s="239"/>
      <c r="D15" s="240"/>
      <c r="N15" s="190"/>
    </row>
    <row r="16" spans="1:14" x14ac:dyDescent="0.35">
      <c r="N16" s="190"/>
    </row>
    <row r="17" spans="1:14" x14ac:dyDescent="0.35">
      <c r="A17" s="1" t="s">
        <v>372</v>
      </c>
      <c r="B17" s="1" t="s">
        <v>108</v>
      </c>
      <c r="C17" s="13" t="s">
        <v>109</v>
      </c>
      <c r="N17" s="189" t="s">
        <v>414</v>
      </c>
    </row>
    <row r="18" spans="1:14" x14ac:dyDescent="0.35">
      <c r="A18" t="s">
        <v>107</v>
      </c>
      <c r="B18" s="148">
        <v>5.73</v>
      </c>
      <c r="C18" s="148">
        <v>6</v>
      </c>
      <c r="D18" s="22"/>
      <c r="N18" s="189" t="s">
        <v>416</v>
      </c>
    </row>
    <row r="19" spans="1:14" x14ac:dyDescent="0.35">
      <c r="A19" t="s">
        <v>408</v>
      </c>
      <c r="B19" s="148">
        <v>7.2</v>
      </c>
      <c r="C19" s="148">
        <v>9</v>
      </c>
      <c r="D19" s="173" t="s">
        <v>382</v>
      </c>
      <c r="F19" s="43"/>
      <c r="N19" s="189" t="s">
        <v>415</v>
      </c>
    </row>
    <row r="20" spans="1:14" x14ac:dyDescent="0.35">
      <c r="A20" t="s">
        <v>186</v>
      </c>
      <c r="B20" s="208">
        <v>3525</v>
      </c>
      <c r="C20" s="208">
        <v>1020</v>
      </c>
      <c r="D20" s="11"/>
      <c r="N20" s="189" t="s">
        <v>417</v>
      </c>
    </row>
    <row r="21" spans="1:14" x14ac:dyDescent="0.35">
      <c r="A21" t="s">
        <v>172</v>
      </c>
      <c r="B21" s="148">
        <f>VLOOKUP(B20,'Powell-Elevation-Area'!$A$5:$B$689,2)/1000000</f>
        <v>5.9265762500000001</v>
      </c>
      <c r="C21" s="148">
        <f>VLOOKUP(C20,'Mead-Elevation-Area'!$A$5:$B$689,2)/1000000</f>
        <v>5.664593</v>
      </c>
      <c r="D21" s="11"/>
      <c r="E21" s="43"/>
      <c r="N21" s="189" t="s">
        <v>419</v>
      </c>
    </row>
    <row r="22" spans="1:14" x14ac:dyDescent="0.35">
      <c r="A22" t="s">
        <v>388</v>
      </c>
      <c r="B22" s="148">
        <f>78.1</f>
        <v>78.099999999999994</v>
      </c>
      <c r="C22"/>
      <c r="D22" s="150"/>
      <c r="E22" s="43"/>
      <c r="N22" s="189" t="s">
        <v>418</v>
      </c>
    </row>
    <row r="23" spans="1:14" x14ac:dyDescent="0.35">
      <c r="A23" t="s">
        <v>389</v>
      </c>
      <c r="B23" s="174">
        <v>0.17</v>
      </c>
      <c r="C23"/>
      <c r="D23" s="150"/>
      <c r="E23" s="43"/>
      <c r="N23" s="189" t="s">
        <v>420</v>
      </c>
    </row>
    <row r="24" spans="1:14" x14ac:dyDescent="0.35">
      <c r="A24" t="s">
        <v>387</v>
      </c>
      <c r="B24" s="148">
        <f>10*(7.5+1.5/2)-B22-B23</f>
        <v>4.2300000000000058</v>
      </c>
      <c r="C24"/>
      <c r="D24" s="150"/>
      <c r="E24" s="43"/>
      <c r="N24" s="189" t="s">
        <v>421</v>
      </c>
    </row>
    <row r="25" spans="1:14" x14ac:dyDescent="0.35">
      <c r="A25" t="s">
        <v>461</v>
      </c>
      <c r="B25" s="148">
        <f>2.7 + 0.3 - IF(A9&lt;&gt;"",1.06,0)</f>
        <v>1.94</v>
      </c>
      <c r="C25"/>
      <c r="D25" s="150"/>
      <c r="E25" s="43"/>
      <c r="N25" s="209" t="s">
        <v>469</v>
      </c>
    </row>
    <row r="26" spans="1:14" x14ac:dyDescent="0.35">
      <c r="B26" s="43"/>
      <c r="N26" s="190"/>
    </row>
    <row r="27" spans="1:14" s="1" customFormat="1" x14ac:dyDescent="0.35">
      <c r="A27" s="135" t="s">
        <v>359</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35">
      <c r="A28" s="168" t="s">
        <v>355</v>
      </c>
      <c r="B28" s="1"/>
      <c r="C28" s="130"/>
      <c r="D28" s="130"/>
      <c r="E28" s="130"/>
      <c r="F28" s="130"/>
      <c r="G28" s="130"/>
      <c r="H28" s="130"/>
      <c r="I28" s="130"/>
      <c r="J28" s="130"/>
      <c r="K28" s="130"/>
      <c r="L28" s="130"/>
      <c r="N28" s="186" t="s">
        <v>422</v>
      </c>
    </row>
    <row r="29" spans="1:14" x14ac:dyDescent="0.35">
      <c r="A29" s="1" t="s">
        <v>119</v>
      </c>
      <c r="B29" s="1"/>
      <c r="C29" s="129" t="str">
        <f>IF(C$28&lt;&gt;"",0.8,"")</f>
        <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423</v>
      </c>
    </row>
    <row r="30" spans="1:14" x14ac:dyDescent="0.35">
      <c r="A30" s="1" t="s">
        <v>322</v>
      </c>
      <c r="B30" s="1"/>
      <c r="C30" s="129" t="str">
        <f>IF(C$28&lt;&gt;"",0.2,"")</f>
        <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424</v>
      </c>
    </row>
    <row r="31" spans="1:14" x14ac:dyDescent="0.35">
      <c r="A31" s="1" t="s">
        <v>278</v>
      </c>
      <c r="B31" s="1"/>
      <c r="C31" s="129" t="str">
        <f>IF(C$28&lt;&gt;"",0.6,"")</f>
        <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425</v>
      </c>
    </row>
    <row r="32" spans="1:14" x14ac:dyDescent="0.35">
      <c r="A32" s="168" t="s">
        <v>356</v>
      </c>
      <c r="C32" s="14" t="str">
        <f>IF(C$28&lt;&gt;"",SUM(B19:C19),"")</f>
        <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426</v>
      </c>
    </row>
    <row r="33" spans="1:14" x14ac:dyDescent="0.35">
      <c r="A33" t="str">
        <f t="shared" ref="A33:A38" si="4">IF(A5="","","    "&amp;A5&amp;" Balance")</f>
        <v xml:space="preserve">    Upper Basin Balance</v>
      </c>
      <c r="B33" s="109">
        <f>B19-B21</f>
        <v>1.2734237500000001</v>
      </c>
      <c r="C33" s="106" t="str">
        <f>IF(OR(C$28="",$A33=""),"",B33)</f>
        <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35">
      <c r="A34" t="str">
        <f t="shared" si="4"/>
        <v xml:space="preserve">    Lower Basin Balance</v>
      </c>
      <c r="B34" s="109">
        <f>C19-C21-B35</f>
        <v>3.1614070000000001</v>
      </c>
      <c r="C34" s="106" t="str">
        <f t="shared" ref="C34:C38" si="7">IF(OR(C$28="",$A34=""),"",B34)</f>
        <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35">
      <c r="A35" t="str">
        <f t="shared" si="4"/>
        <v xml:space="preserve">    Mexico Balance</v>
      </c>
      <c r="B35" s="110">
        <v>0.17399999999999999</v>
      </c>
      <c r="C35" s="107" t="str">
        <f t="shared" si="7"/>
        <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35">
      <c r="A36" t="str">
        <f t="shared" si="4"/>
        <v xml:space="preserve">    Colorado River Delta Balance</v>
      </c>
      <c r="B36" s="109">
        <v>0</v>
      </c>
      <c r="C36" s="106" t="str">
        <f t="shared" si="7"/>
        <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35">
      <c r="A37" t="str">
        <f t="shared" si="4"/>
        <v xml:space="preserve">    First Nations Balance</v>
      </c>
      <c r="B37" s="109">
        <f>IF(A37&lt;&gt;"",0,"")</f>
        <v>0</v>
      </c>
      <c r="C37" s="106" t="str">
        <f t="shared" si="7"/>
        <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35">
      <c r="A38" t="str">
        <f t="shared" si="4"/>
        <v xml:space="preserve">    Shared, Reserve Balance</v>
      </c>
      <c r="B38" s="109">
        <f>SUM(B21:C21)</f>
        <v>11.59116925</v>
      </c>
      <c r="C38" s="106" t="str">
        <f t="shared" si="7"/>
        <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35">
      <c r="A39" s="1" t="s">
        <v>369</v>
      </c>
      <c r="C39"/>
      <c r="N39" s="189" t="s">
        <v>446</v>
      </c>
    </row>
    <row r="40" spans="1:14" x14ac:dyDescent="0.35">
      <c r="A40" t="s">
        <v>111</v>
      </c>
      <c r="C40" s="14" t="str">
        <f>IF(C$28&lt;&gt;"",IF(COLUMN(C27)=COLUMN($C27),$B$19,B133),"")</f>
        <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35">
      <c r="A41" t="s">
        <v>112</v>
      </c>
      <c r="C41" s="14" t="str">
        <f>IF(C$28&lt;&gt;"",IF(COLUMN(C28)=COLUMN($C28),$C$19,B134),"")</f>
        <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35">
      <c r="A42" s="1" t="s">
        <v>357</v>
      </c>
      <c r="B42" s="1"/>
      <c r="C42" s="14" t="str">
        <f>IF(C$28&lt;&gt;"",VLOOKUP(C40*1000000,'Powell-Elevation-Area'!$B$5:$D$689,3)*$B$18/1000000 + VLOOKUP(C41*1000000,'Mead-Elevation-Area'!$B$5:$D$676,3)*$C$18/1000000,"")</f>
        <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427</v>
      </c>
    </row>
    <row r="43" spans="1:14" x14ac:dyDescent="0.35">
      <c r="A43" t="str">
        <f t="shared" ref="A43:A48" si="11">IF(A5="","","    "&amp;A5&amp;" Share")</f>
        <v xml:space="preserve">    Upper Basin Share</v>
      </c>
      <c r="B43" s="1"/>
      <c r="C43" s="14" t="str">
        <f t="shared" ref="C43:L43" si="12">IF(OR(C$28="",$A43=""),"",C$42*C33/C$32)</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35">
      <c r="A44" t="str">
        <f t="shared" si="11"/>
        <v xml:space="preserve">    Lower Basin Share</v>
      </c>
      <c r="B44" s="1"/>
      <c r="C44" s="14" t="str">
        <f t="shared" ref="C44:L44" si="13">IF(OR(C$28="",$A44=""),"",C$42*C34/C$32)</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35">
      <c r="A45" t="str">
        <f t="shared" si="11"/>
        <v xml:space="preserve">    Mexico Share</v>
      </c>
      <c r="B45" s="1"/>
      <c r="C45" s="14" t="str">
        <f t="shared" ref="C45:L45" si="14">IF(OR(C$28="",$A45=""),"",C$42*C35/C$32)</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35">
      <c r="A46" t="str">
        <f t="shared" si="11"/>
        <v xml:space="preserve">    Colorado River Delta Share</v>
      </c>
      <c r="B46" s="1"/>
      <c r="C46" s="14" t="str">
        <f t="shared" ref="C46:L46" si="15">IF(OR(C$28="",$A46=""),"",C$42*C36/C$32)</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35">
      <c r="A47" t="str">
        <f t="shared" si="11"/>
        <v xml:space="preserve">    First Nations Share</v>
      </c>
      <c r="B47" s="1"/>
      <c r="C47" s="14" t="str">
        <f t="shared" ref="C47:L47" si="16">IF(OR(C$28="",$A47=""),"",C$42*C37/C$32)</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35">
      <c r="A48" t="str">
        <f t="shared" si="11"/>
        <v xml:space="preserve">    Shared, Reserve Share</v>
      </c>
      <c r="B48" s="1"/>
      <c r="C48" s="14" t="str">
        <f t="shared" ref="C48:L48" si="17">IF(OR(C$28="",$A48=""),"",C$42*C38/C$32)</f>
        <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35">
      <c r="A49" s="1" t="s">
        <v>358</v>
      </c>
      <c r="B49" s="72"/>
      <c r="C49" s="47" t="str">
        <f>IF(C$28&lt;&gt;"",1.5-0.21/9/2-VLOOKUP(C41,MandatoryConservation!$C$5:$P$13,13),"")</f>
        <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428</v>
      </c>
    </row>
    <row r="50" spans="1:16" x14ac:dyDescent="0.35">
      <c r="A50" s="168" t="s">
        <v>390</v>
      </c>
      <c r="B50" s="1"/>
      <c r="C50" s="14" t="str">
        <f>IF(C28="","",SUM(C28:C30))</f>
        <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429</v>
      </c>
      <c r="P50" t="s">
        <v>450</v>
      </c>
    </row>
    <row r="51" spans="1:16" x14ac:dyDescent="0.35">
      <c r="A51" t="str">
        <f t="shared" ref="A51:A56" si="19">IF(A5="","","    To "&amp;A5)</f>
        <v xml:space="preserve">    To Upper Basin</v>
      </c>
      <c r="B51" s="127" t="s">
        <v>462</v>
      </c>
      <c r="C51" s="106" t="str">
        <f>IF(OR(C$28="",$A52=""),"",MAX(0,MAX(0,C50-SUM(C52:C57))))</f>
        <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35">
      <c r="A52" t="str">
        <f t="shared" si="19"/>
        <v xml:space="preserve">    To Lower Basin</v>
      </c>
      <c r="B52" s="128" t="e">
        <f>7.5-IF($A$9="",0,0.95)-C57*IF($A$9="",(7.2/8.7),(7.2-0.95)/8.7)</f>
        <v>#VALUE!</v>
      </c>
      <c r="C52" s="106" t="str">
        <f>IF(OR(C$28="",$A52=""),"",MAX(0,MIN($B$52,C28-SUM(C53/2,C54/4,C55,C56/2,C57)-MAX(0,MIN($B$25,C28-SUM(C56/2,C54/4,C53/2,1.06))))))</f>
        <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35">
      <c r="A53" t="str">
        <f t="shared" si="19"/>
        <v xml:space="preserve">    To Mexico</v>
      </c>
      <c r="B53" s="128" t="s">
        <v>327</v>
      </c>
      <c r="C53" s="107" t="str">
        <f>IF(OR(C$28="",$A53=""),"",MIN(C49-C54/2,C$50-SUM(C54:C57))-C57*(1.5/8.7))</f>
        <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35">
      <c r="A54" t="str">
        <f t="shared" si="19"/>
        <v xml:space="preserve">    To Colorado River Delta</v>
      </c>
      <c r="B54" s="137">
        <f>0.21/9*(2/3)</f>
        <v>1.5555555555555553E-2</v>
      </c>
      <c r="C54" s="138" t="str">
        <f>IF(OR(C$28="",$A54=""),"",MIN($B54,C$50-SUM(C55:C56)))</f>
        <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35">
      <c r="A55" t="str">
        <f t="shared" si="19"/>
        <v xml:space="preserve">    To First Nations</v>
      </c>
      <c r="B55" s="128">
        <f>IF($A$9&lt;&gt;"",2.01,"")</f>
        <v>2.0099999999999998</v>
      </c>
      <c r="C55" s="106" t="str">
        <f>IF(OR(C$28="",$A55=""),"",MIN($B55,C$50-SUM(C56:C57))-C57*0.95/8.7)</f>
        <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35">
      <c r="A56" t="str">
        <f t="shared" si="19"/>
        <v xml:space="preserve">    To Shared, Reserve</v>
      </c>
      <c r="B56" s="128" t="s">
        <v>335</v>
      </c>
      <c r="C56" s="201" t="str">
        <f>IF(OR(C$28="",$A56=""),"",IF(C$50&gt;C48,C48,C50))</f>
        <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35">
      <c r="A57" t="str">
        <f>IF(A31="","","    To "&amp;A31)</f>
        <v xml:space="preserve">    To Havasu / Parker evaporation and ET</v>
      </c>
      <c r="B57" s="200" t="s">
        <v>463</v>
      </c>
      <c r="C57" s="202" t="str">
        <f>IF(OR(C$28="",$A57=""),"",MIN(C31,C50-C56))</f>
        <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35">
      <c r="B58" s="28"/>
      <c r="C58" s="27">
        <f>SUM(C51:C57)</f>
        <v>0</v>
      </c>
      <c r="D58" s="27">
        <f>SUM(D51:D57)</f>
        <v>0</v>
      </c>
      <c r="E58" s="27"/>
      <c r="F58" s="157"/>
      <c r="G58" s="43"/>
      <c r="N58" s="190"/>
    </row>
    <row r="59" spans="1:16" x14ac:dyDescent="0.35">
      <c r="A59" s="134" t="s">
        <v>391</v>
      </c>
      <c r="B59" s="131"/>
      <c r="C59" s="131"/>
      <c r="D59" s="131"/>
      <c r="E59" s="131"/>
      <c r="F59" s="131"/>
      <c r="G59" s="131"/>
      <c r="H59" s="131"/>
      <c r="I59" s="131"/>
      <c r="J59" s="131"/>
      <c r="K59" s="131"/>
      <c r="L59" s="131"/>
      <c r="M59" s="131"/>
      <c r="N59" s="185" t="str">
        <f>N3</f>
        <v>HELP, CONTEXT, and SUGGESTIONS</v>
      </c>
    </row>
    <row r="60" spans="1:16" x14ac:dyDescent="0.35">
      <c r="A60" s="160" t="str">
        <f>IF(A$5="[Unused]","",A5)</f>
        <v>Upper Basin</v>
      </c>
      <c r="B60" s="132"/>
      <c r="C60" s="132"/>
      <c r="D60" s="132"/>
      <c r="E60" s="132"/>
      <c r="F60" s="132"/>
      <c r="G60" s="132"/>
      <c r="H60" s="132"/>
      <c r="I60" s="132"/>
      <c r="J60" s="132"/>
      <c r="K60" s="132"/>
      <c r="L60" s="132"/>
      <c r="M60" s="133" t="s">
        <v>105</v>
      </c>
      <c r="N60" s="186" t="s">
        <v>430</v>
      </c>
    </row>
    <row r="61" spans="1:16" x14ac:dyDescent="0.3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431</v>
      </c>
    </row>
    <row r="62" spans="1:16" x14ac:dyDescent="0.3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432</v>
      </c>
    </row>
    <row r="63" spans="1:16" x14ac:dyDescent="0.35">
      <c r="A63" s="30" t="str">
        <f>IF(A62="","","   Net trade volume all players (should be zero)")</f>
        <v xml:space="preserve">   Net trade volume all players (should be zero)</v>
      </c>
      <c r="C63" s="65" t="str">
        <f t="shared" ref="C63:M63" si="27">IF(OR(C$28="",$A63=""),"",C$116)</f>
        <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433</v>
      </c>
    </row>
    <row r="64" spans="1:16" x14ac:dyDescent="0.35">
      <c r="A64" s="1" t="str">
        <f>IF(A62="","","   Available Water [maf]")</f>
        <v xml:space="preserve">   Available Water [maf]</v>
      </c>
      <c r="C64" s="14" t="str">
        <f>IF(OR(C$28="",$A64=""),"",C33+C51-C43+C61)</f>
        <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434</v>
      </c>
    </row>
    <row r="65" spans="1:14" x14ac:dyDescent="0.35">
      <c r="A65" s="168" t="str">
        <f>IF(A64="","","   Enter withdraw [maf] within available water")</f>
        <v xml:space="preserve">   Enter withdraw [maf] within available water</v>
      </c>
      <c r="C65" s="125"/>
      <c r="D65" s="125"/>
      <c r="E65" s="125"/>
      <c r="F65" s="125"/>
      <c r="G65" s="125"/>
      <c r="H65" s="125"/>
      <c r="I65" s="125"/>
      <c r="J65" s="125"/>
      <c r="K65" s="125"/>
      <c r="L65" s="125"/>
      <c r="N65" s="189" t="s">
        <v>447</v>
      </c>
    </row>
    <row r="66" spans="1:14" x14ac:dyDescent="0.35">
      <c r="A66" s="30" t="str">
        <f>IF(A65="","","   End of Year Balance [maf]")</f>
        <v xml:space="preserve">   End of Year Balance [maf]</v>
      </c>
      <c r="C66" s="64" t="str">
        <f>IF(OR(C$28="",$A66=""),"",C64-C65)</f>
        <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435</v>
      </c>
    </row>
    <row r="67" spans="1:14" x14ac:dyDescent="0.35">
      <c r="C67"/>
      <c r="N67" s="190"/>
    </row>
    <row r="68" spans="1:14" x14ac:dyDescent="0.35">
      <c r="A68" s="160" t="str">
        <f>IF(A$6="","[Unused]",A6)</f>
        <v>Lower Basin</v>
      </c>
      <c r="B68" s="132"/>
      <c r="C68" s="132"/>
      <c r="D68" s="132"/>
      <c r="E68" s="132"/>
      <c r="F68" s="132"/>
      <c r="G68" s="132"/>
      <c r="H68" s="132"/>
      <c r="I68" s="132"/>
      <c r="J68" s="132"/>
      <c r="K68" s="132"/>
      <c r="L68" s="132"/>
      <c r="M68" s="133" t="s">
        <v>105</v>
      </c>
      <c r="N68" s="186" t="s">
        <v>430</v>
      </c>
    </row>
    <row r="69" spans="1:14" x14ac:dyDescent="0.35">
      <c r="A69" s="169" t="str">
        <f>IF(A68="[Unused]","",$A$61)</f>
        <v xml:space="preserve">   Enter volume to Buy(+) or Sell(-) [maf]</v>
      </c>
      <c r="C69" s="123"/>
      <c r="D69" s="123"/>
      <c r="E69" s="123"/>
      <c r="F69" s="123"/>
      <c r="G69" s="123"/>
      <c r="H69" s="123"/>
      <c r="I69" s="123"/>
      <c r="J69" s="123"/>
      <c r="K69" s="123"/>
      <c r="L69" s="123"/>
      <c r="M69" s="65">
        <f>SUM(C69:L69)</f>
        <v>0</v>
      </c>
      <c r="N69" s="192" t="s">
        <v>431</v>
      </c>
    </row>
    <row r="70" spans="1:14" x14ac:dyDescent="0.35">
      <c r="A70" s="169" t="str">
        <f>IF(A69="","",$A$62)</f>
        <v xml:space="preserve">   Enter compensation to Buy(-) or Sell(+) [$ Mill]</v>
      </c>
      <c r="C70" s="124"/>
      <c r="D70" s="124"/>
      <c r="E70" s="124"/>
      <c r="F70" s="124"/>
      <c r="G70" s="124"/>
      <c r="H70" s="124"/>
      <c r="I70" s="124"/>
      <c r="J70" s="124"/>
      <c r="K70" s="124"/>
      <c r="L70" s="124"/>
      <c r="M70" s="63">
        <f>SUM(C70:L70)</f>
        <v>0</v>
      </c>
      <c r="N70" s="193" t="s">
        <v>432</v>
      </c>
    </row>
    <row r="71" spans="1:14" x14ac:dyDescent="0.35">
      <c r="A71" s="175" t="str">
        <f>IF(A70="","",$A$63)</f>
        <v xml:space="preserve">   Net trade volume all players (should be zero)</v>
      </c>
      <c r="C71" s="65" t="str">
        <f t="shared" ref="C71:M71" si="30">IF(OR(C$28="",$A71=""),"",C$116)</f>
        <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433</v>
      </c>
    </row>
    <row r="72" spans="1:14" x14ac:dyDescent="0.35">
      <c r="A72" s="1" t="str">
        <f>IF(A70="","","   Available Water [maf]")</f>
        <v xml:space="preserve">   Available Water [maf]</v>
      </c>
      <c r="C72" s="14" t="str">
        <f>IF(OR(C$28="",$A72=""),"",C34+C52-C44+C69)</f>
        <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434</v>
      </c>
    </row>
    <row r="73" spans="1:14" x14ac:dyDescent="0.35">
      <c r="A73" s="168" t="str">
        <f>IF(A72="","",$A$65)</f>
        <v xml:space="preserve">   Enter withdraw [maf] within available water</v>
      </c>
      <c r="C73" s="125"/>
      <c r="D73" s="125"/>
      <c r="E73" s="125"/>
      <c r="F73" s="125"/>
      <c r="G73" s="125"/>
      <c r="H73" s="125"/>
      <c r="I73" s="125"/>
      <c r="J73" s="125"/>
      <c r="K73" s="125"/>
      <c r="L73" s="125"/>
      <c r="N73" s="189" t="s">
        <v>447</v>
      </c>
    </row>
    <row r="74" spans="1:14" x14ac:dyDescent="0.35">
      <c r="A74" s="30" t="str">
        <f>IF(A73="","","   End of Year Balance [maf]")</f>
        <v xml:space="preserve">   End of Year Balance [maf]</v>
      </c>
      <c r="C74" s="64" t="str">
        <f>IF(OR(C$28="",$A74=""),"",C72-C73)</f>
        <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435</v>
      </c>
    </row>
    <row r="75" spans="1:14" x14ac:dyDescent="0.35">
      <c r="C75"/>
      <c r="N75" s="190"/>
    </row>
    <row r="76" spans="1:14" x14ac:dyDescent="0.35">
      <c r="A76" s="160" t="str">
        <f>IF(A$7="","[Unused]",A7)</f>
        <v>Mexico</v>
      </c>
      <c r="B76" s="132"/>
      <c r="C76" s="132"/>
      <c r="D76" s="132"/>
      <c r="E76" s="132"/>
      <c r="F76" s="132"/>
      <c r="G76" s="132"/>
      <c r="H76" s="132"/>
      <c r="I76" s="132"/>
      <c r="J76" s="132"/>
      <c r="K76" s="132"/>
      <c r="L76" s="132"/>
      <c r="M76" s="133" t="s">
        <v>105</v>
      </c>
      <c r="N76" s="186" t="s">
        <v>430</v>
      </c>
    </row>
    <row r="77" spans="1:14" x14ac:dyDescent="0.35">
      <c r="A77" s="169" t="str">
        <f>IF(A76="[Unused]","",$A$61)</f>
        <v xml:space="preserve">   Enter volume to Buy(+) or Sell(-) [maf]</v>
      </c>
      <c r="C77" s="123"/>
      <c r="D77" s="123"/>
      <c r="E77" s="123"/>
      <c r="F77" s="123"/>
      <c r="G77" s="123"/>
      <c r="H77" s="123"/>
      <c r="I77" s="123"/>
      <c r="J77" s="123"/>
      <c r="K77" s="123"/>
      <c r="L77" s="123"/>
      <c r="M77" s="65">
        <f>SUM(C77:L77)</f>
        <v>0</v>
      </c>
      <c r="N77" s="192" t="s">
        <v>431</v>
      </c>
    </row>
    <row r="78" spans="1:14" x14ac:dyDescent="0.35">
      <c r="A78" s="169" t="str">
        <f>IF(A77="","",$A$62)</f>
        <v xml:space="preserve">   Enter compensation to Buy(-) or Sell(+) [$ Mill]</v>
      </c>
      <c r="C78" s="124"/>
      <c r="D78" s="124"/>
      <c r="E78" s="124"/>
      <c r="F78" s="124"/>
      <c r="G78" s="124"/>
      <c r="H78" s="124"/>
      <c r="I78" s="124"/>
      <c r="J78" s="124"/>
      <c r="K78" s="124"/>
      <c r="L78" s="124"/>
      <c r="M78" s="63">
        <f>SUM(C78:L78)</f>
        <v>0</v>
      </c>
      <c r="N78" s="193" t="s">
        <v>432</v>
      </c>
    </row>
    <row r="79" spans="1:14" x14ac:dyDescent="0.35">
      <c r="A79" s="175" t="str">
        <f>IF(A78="","",$A$63)</f>
        <v xml:space="preserve">   Net trade volume all players (should be zero)</v>
      </c>
      <c r="C79" s="65" t="str">
        <f t="shared" ref="C79:M79" si="33">IF(OR(C$28="",$A79=""),"",C$116)</f>
        <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433</v>
      </c>
    </row>
    <row r="80" spans="1:14" x14ac:dyDescent="0.35">
      <c r="A80" s="1" t="str">
        <f>IF(A78="","","   Available Water [maf]")</f>
        <v xml:space="preserve">   Available Water [maf]</v>
      </c>
      <c r="C80" s="14" t="str">
        <f>IF(OR(C$28="",$A80=""),"",C35+C53-C45+C77)</f>
        <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434</v>
      </c>
    </row>
    <row r="81" spans="1:14" x14ac:dyDescent="0.35">
      <c r="A81" s="168" t="str">
        <f>IF(A80="","",$A$65)</f>
        <v xml:space="preserve">   Enter withdraw [maf] within available water</v>
      </c>
      <c r="C81" s="125"/>
      <c r="D81" s="125"/>
      <c r="E81" s="125"/>
      <c r="F81" s="125"/>
      <c r="G81" s="125"/>
      <c r="H81" s="125"/>
      <c r="I81" s="125"/>
      <c r="J81" s="125"/>
      <c r="K81" s="125"/>
      <c r="L81" s="125"/>
      <c r="N81" s="189" t="s">
        <v>447</v>
      </c>
    </row>
    <row r="82" spans="1:14" x14ac:dyDescent="0.35">
      <c r="A82" s="30" t="str">
        <f>IF(A81="","","   End of Year Balance [maf]")</f>
        <v xml:space="preserve">   End of Year Balance [maf]</v>
      </c>
      <c r="C82" s="64" t="str">
        <f>IF(OR(C$28="",$A82=""),"",C80-C81)</f>
        <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435</v>
      </c>
    </row>
    <row r="83" spans="1:14" x14ac:dyDescent="0.35">
      <c r="C83"/>
      <c r="N83" s="190"/>
    </row>
    <row r="84" spans="1:14" x14ac:dyDescent="0.35">
      <c r="A84" s="160" t="str">
        <f>IF(A$8="","[Unused]",A8)</f>
        <v>Colorado River Delta</v>
      </c>
      <c r="B84" s="132"/>
      <c r="C84" s="132"/>
      <c r="D84" s="132"/>
      <c r="E84" s="132"/>
      <c r="F84" s="132"/>
      <c r="G84" s="132"/>
      <c r="H84" s="132"/>
      <c r="I84" s="132"/>
      <c r="J84" s="132"/>
      <c r="K84" s="132"/>
      <c r="L84" s="132"/>
      <c r="M84" s="133" t="s">
        <v>105</v>
      </c>
      <c r="N84" s="186" t="s">
        <v>430</v>
      </c>
    </row>
    <row r="85" spans="1:14" x14ac:dyDescent="0.35">
      <c r="A85" s="169" t="str">
        <f>IF(A84="[Unused]","",$A$61)</f>
        <v xml:space="preserve">   Enter volume to Buy(+) or Sell(-) [maf]</v>
      </c>
      <c r="C85" s="123"/>
      <c r="D85" s="123"/>
      <c r="E85" s="123"/>
      <c r="F85" s="123"/>
      <c r="G85" s="123"/>
      <c r="H85" s="123"/>
      <c r="I85" s="123"/>
      <c r="J85" s="123"/>
      <c r="K85" s="123"/>
      <c r="L85" s="123"/>
      <c r="M85" s="65">
        <f>SUM(C85:L85)</f>
        <v>0</v>
      </c>
      <c r="N85" s="192" t="s">
        <v>431</v>
      </c>
    </row>
    <row r="86" spans="1:14" x14ac:dyDescent="0.35">
      <c r="A86" s="169" t="str">
        <f>IF(A85="","",$A$62)</f>
        <v xml:space="preserve">   Enter compensation to Buy(-) or Sell(+) [$ Mill]</v>
      </c>
      <c r="C86" s="124"/>
      <c r="D86" s="124"/>
      <c r="E86" s="124"/>
      <c r="F86" s="124"/>
      <c r="G86" s="124"/>
      <c r="H86" s="124"/>
      <c r="I86" s="124"/>
      <c r="J86" s="124"/>
      <c r="K86" s="124"/>
      <c r="L86" s="124"/>
      <c r="M86" s="63">
        <f>SUM(C86:L86)</f>
        <v>0</v>
      </c>
      <c r="N86" s="193" t="s">
        <v>432</v>
      </c>
    </row>
    <row r="87" spans="1:14" x14ac:dyDescent="0.35">
      <c r="A87" s="175" t="str">
        <f>IF(A86="","",$A$63)</f>
        <v xml:space="preserve">   Net trade volume all players (should be zero)</v>
      </c>
      <c r="C87" s="65" t="str">
        <f t="shared" ref="C87:M87" si="36">IF(OR(C$28="",$A87=""),"",C$116)</f>
        <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433</v>
      </c>
    </row>
    <row r="88" spans="1:14" x14ac:dyDescent="0.35">
      <c r="A88" s="1" t="str">
        <f>IF(A86="","","   Available Water [maf]")</f>
        <v xml:space="preserve">   Available Water [maf]</v>
      </c>
      <c r="C88" s="158" t="str">
        <f>IF(OR(C$28="",$A88=""),"",C36+C54-C46+C85)</f>
        <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434</v>
      </c>
    </row>
    <row r="89" spans="1:14" x14ac:dyDescent="0.35">
      <c r="A89" s="168" t="str">
        <f>IF(A88="","",$A$65)</f>
        <v xml:space="preserve">   Enter withdraw [maf] within available water</v>
      </c>
      <c r="C89" s="159"/>
      <c r="D89" s="159"/>
      <c r="E89" s="159"/>
      <c r="F89" s="159"/>
      <c r="G89" s="159"/>
      <c r="H89" s="159"/>
      <c r="I89" s="159"/>
      <c r="J89" s="159"/>
      <c r="K89" s="159"/>
      <c r="L89" s="159"/>
      <c r="N89" s="189" t="s">
        <v>447</v>
      </c>
    </row>
    <row r="90" spans="1:14" x14ac:dyDescent="0.35">
      <c r="A90" s="30" t="str">
        <f>IF(A89="","","   End of Year Balance [maf]")</f>
        <v xml:space="preserve">   End of Year Balance [maf]</v>
      </c>
      <c r="C90" s="64" t="str">
        <f>IF(OR(C$28="",$A90=""),"",C88-C89)</f>
        <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435</v>
      </c>
    </row>
    <row r="91" spans="1:14" x14ac:dyDescent="0.35">
      <c r="C91"/>
      <c r="N91" s="190"/>
    </row>
    <row r="92" spans="1:14" x14ac:dyDescent="0.35">
      <c r="A92" s="160" t="str">
        <f>IF(A$9="","[Unused]",A9)</f>
        <v>First Nations</v>
      </c>
      <c r="B92" s="132"/>
      <c r="C92" s="132"/>
      <c r="D92" s="132"/>
      <c r="E92" s="132"/>
      <c r="F92" s="132"/>
      <c r="G92" s="132"/>
      <c r="H92" s="132"/>
      <c r="I92" s="132"/>
      <c r="J92" s="132"/>
      <c r="K92" s="132"/>
      <c r="L92" s="132"/>
      <c r="M92" s="133" t="s">
        <v>105</v>
      </c>
      <c r="N92" s="186" t="s">
        <v>430</v>
      </c>
    </row>
    <row r="93" spans="1:14" x14ac:dyDescent="0.35">
      <c r="A93" s="30" t="str">
        <f>IF(A92="[Unused]","",$A$61)</f>
        <v xml:space="preserve">   Enter volume to Buy(+) or Sell(-) [maf]</v>
      </c>
      <c r="C93" s="123"/>
      <c r="D93" s="123"/>
      <c r="E93" s="123"/>
      <c r="F93" s="123"/>
      <c r="G93" s="123"/>
      <c r="H93" s="123"/>
      <c r="I93" s="123"/>
      <c r="J93" s="123"/>
      <c r="K93" s="123"/>
      <c r="L93" s="123"/>
      <c r="M93" s="65">
        <f>SUM(C93:L93)</f>
        <v>0</v>
      </c>
      <c r="N93" s="192" t="s">
        <v>431</v>
      </c>
    </row>
    <row r="94" spans="1:14" x14ac:dyDescent="0.35">
      <c r="A94" s="30" t="str">
        <f>IF(A93="","",$A$62)</f>
        <v xml:space="preserve">   Enter compensation to Buy(-) or Sell(+) [$ Mill]</v>
      </c>
      <c r="C94" s="124"/>
      <c r="D94" s="124"/>
      <c r="E94" s="124"/>
      <c r="F94" s="124"/>
      <c r="G94" s="124"/>
      <c r="H94" s="124"/>
      <c r="I94" s="124"/>
      <c r="J94" s="124"/>
      <c r="K94" s="124"/>
      <c r="L94" s="124"/>
      <c r="M94" s="63">
        <f>SUM(C94:L94)</f>
        <v>0</v>
      </c>
      <c r="N94" s="193" t="s">
        <v>432</v>
      </c>
    </row>
    <row r="95" spans="1:14" x14ac:dyDescent="0.35">
      <c r="A95" s="175" t="str">
        <f>IF(A94="","",$A$63)</f>
        <v xml:space="preserve">   Net trade volume all players (should be zero)</v>
      </c>
      <c r="C95" s="65" t="str">
        <f t="shared" ref="C95:M95" si="39">IF(OR(C$28="",$A95=""),"",C$116)</f>
        <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433</v>
      </c>
    </row>
    <row r="96" spans="1:14" x14ac:dyDescent="0.35">
      <c r="A96" s="1" t="str">
        <f>IF(A94="","","   Available Water [maf]")</f>
        <v xml:space="preserve">   Available Water [maf]</v>
      </c>
      <c r="C96" s="14" t="str">
        <f>IF(OR(C$28="",$A96=""),"",C37+C55-C47+C93)</f>
        <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434</v>
      </c>
    </row>
    <row r="97" spans="1:14" x14ac:dyDescent="0.35">
      <c r="A97" s="168" t="str">
        <f>IF(A96="","",$A$65)</f>
        <v xml:space="preserve">   Enter withdraw [maf] within available water</v>
      </c>
      <c r="C97" s="125"/>
      <c r="D97" s="125"/>
      <c r="E97" s="125"/>
      <c r="F97" s="125"/>
      <c r="G97" s="125"/>
      <c r="H97" s="125"/>
      <c r="I97" s="125"/>
      <c r="J97" s="125"/>
      <c r="K97" s="125"/>
      <c r="L97" s="125"/>
      <c r="N97" s="189" t="s">
        <v>447</v>
      </c>
    </row>
    <row r="98" spans="1:14" x14ac:dyDescent="0.35">
      <c r="A98" s="30" t="str">
        <f>IF(A97="","","   End of Year Balance [maf]")</f>
        <v xml:space="preserve">   End of Year Balance [maf]</v>
      </c>
      <c r="C98" s="64" t="str">
        <f>IF(OR(C$28="",$A98=""),"",C96-C97)</f>
        <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435</v>
      </c>
    </row>
    <row r="99" spans="1:14" x14ac:dyDescent="0.35">
      <c r="C99"/>
      <c r="N99" s="190"/>
    </row>
    <row r="100" spans="1:14" x14ac:dyDescent="0.35">
      <c r="A100" s="160" t="str">
        <f>IF(A$10="","[Unused]",A10)</f>
        <v>Shared, Reserve</v>
      </c>
      <c r="B100" s="132"/>
      <c r="C100" s="132"/>
      <c r="D100" s="132"/>
      <c r="E100" s="132"/>
      <c r="F100" s="132"/>
      <c r="G100" s="132"/>
      <c r="H100" s="132"/>
      <c r="I100" s="132"/>
      <c r="J100" s="132"/>
      <c r="K100" s="132"/>
      <c r="L100" s="132"/>
      <c r="M100" s="133" t="s">
        <v>105</v>
      </c>
      <c r="N100" s="189" t="s">
        <v>445</v>
      </c>
    </row>
    <row r="101" spans="1:14" x14ac:dyDescent="0.3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3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35">
      <c r="A103" s="175" t="str">
        <f>IF(A102="","",$A$63)</f>
        <v xml:space="preserve">   Net trade volume all players (should be zero)</v>
      </c>
      <c r="C103" s="65" t="str">
        <f t="shared" ref="C103:M103" si="42">IF(OR(C$28="",$A103=""),"",C$116)</f>
        <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35">
      <c r="A104" s="1" t="str">
        <f>IF(A102="","","   Available Water [maf]")</f>
        <v xml:space="preserve">   Available Water [maf]</v>
      </c>
      <c r="C104" s="14" t="str">
        <f>IF(OR(C$28="",$A104=""),"",C38+C56-C48+C101)</f>
        <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35">
      <c r="A105" s="168" t="str">
        <f>IF(A104="","",$A$65)</f>
        <v xml:space="preserve">   Enter withdraw [maf] within available water</v>
      </c>
      <c r="C105" s="41"/>
      <c r="D105" s="41"/>
      <c r="E105" s="41"/>
      <c r="F105" s="41"/>
      <c r="G105" s="41"/>
      <c r="H105" s="41"/>
      <c r="I105" s="41"/>
      <c r="J105" s="41"/>
      <c r="K105" s="41"/>
      <c r="L105" s="41"/>
      <c r="N105" s="190"/>
    </row>
    <row r="106" spans="1:14" x14ac:dyDescent="0.35">
      <c r="A106" s="30" t="str">
        <f>IF(A105="","","   End of Year Balance [maf]")</f>
        <v xml:space="preserve">   End of Year Balance [maf]</v>
      </c>
      <c r="C106" s="64" t="str">
        <f>IF(OR(C$28="",$A106=""),"",C104-C105)</f>
        <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35">
      <c r="C107"/>
      <c r="N107" s="190"/>
    </row>
    <row r="108" spans="1:14" x14ac:dyDescent="0.35">
      <c r="A108" s="134" t="s">
        <v>409</v>
      </c>
      <c r="B108" s="134"/>
      <c r="C108" s="134"/>
      <c r="D108" s="134"/>
      <c r="E108" s="134"/>
      <c r="F108" s="134"/>
      <c r="G108" s="134"/>
      <c r="H108" s="134"/>
      <c r="I108" s="134"/>
      <c r="J108" s="134"/>
      <c r="K108" s="134"/>
      <c r="L108" s="134"/>
      <c r="M108" s="134"/>
      <c r="N108" s="189" t="s">
        <v>436</v>
      </c>
    </row>
    <row r="109" spans="1:14" x14ac:dyDescent="0.35">
      <c r="A109" s="1" t="s">
        <v>347</v>
      </c>
      <c r="C109"/>
      <c r="M109" t="s">
        <v>179</v>
      </c>
      <c r="N109" s="190"/>
    </row>
    <row r="110" spans="1:14" x14ac:dyDescent="0.35">
      <c r="A110" t="str">
        <f t="shared" ref="A110:A115" si="45">IF(A5="","","    "&amp;A5)</f>
        <v xml:space="preserve">    Upper Basin</v>
      </c>
      <c r="B110" s="1"/>
      <c r="C110" s="65" t="str">
        <f t="shared" ref="C110:L110" ca="1" si="46">IF(OR(C$28="",$A110=""),"",OFFSET(C$61,8*(ROW(B110)-ROW(B$110)),0))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35">
      <c r="A111" t="str">
        <f t="shared" si="45"/>
        <v xml:space="preserve">    Lower Basin</v>
      </c>
      <c r="B111" s="1"/>
      <c r="C111" s="65" t="str">
        <f t="shared" ref="C111:L111" ca="1" si="47">IF(OR(C$28="",$A111=""),"",OFFSET(C$61,8*(ROW(B111)-ROW(B$110)),0))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35">
      <c r="A112" t="str">
        <f t="shared" si="45"/>
        <v xml:space="preserve">    Mexico</v>
      </c>
      <c r="B112" s="1"/>
      <c r="C112" s="65" t="str">
        <f t="shared" ref="C112:L112" ca="1" si="49">IF(OR(C$28="",$A112=""),"",OFFSET(C$61,8*(ROW(B112)-ROW(B$110)),0))</f>
        <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35">
      <c r="A113" t="str">
        <f t="shared" si="45"/>
        <v xml:space="preserve">    Colorado River Delta</v>
      </c>
      <c r="B113" s="1"/>
      <c r="C113" s="65" t="str">
        <f t="shared" ref="C113:L113" ca="1" si="50">IF(OR(C$28="",$A113=""),"",OFFSET(C$61,8*(ROW(B113)-ROW(B$110)),0))</f>
        <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35">
      <c r="A114" t="str">
        <f t="shared" si="45"/>
        <v xml:space="preserve">    First Nations</v>
      </c>
      <c r="B114" s="1"/>
      <c r="C114" s="65" t="str">
        <f t="shared" ref="C114:L114" ca="1" si="51">IF(OR(C$28="",$A114=""),"",OFFSET(C$61,8*(ROW(B114)-ROW(B$110)),0))</f>
        <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35">
      <c r="A115" t="str">
        <f t="shared" si="45"/>
        <v xml:space="preserve">    Shared, Reserve</v>
      </c>
      <c r="B115" s="1"/>
      <c r="C115" s="65" t="str">
        <f t="shared" ref="C115:L115" ca="1" si="52">IF(OR(C$28="",$A115=""),"",OFFSET(C$61,8*(ROW(B115)-ROW(B$110)),0))</f>
        <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35">
      <c r="A116" t="s">
        <v>143</v>
      </c>
      <c r="B116" s="1"/>
      <c r="C116" s="49" t="str">
        <f>IF(C$28&lt;&gt;"",SUM(C110:C115),"")</f>
        <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35">
      <c r="A117" s="1" t="s">
        <v>348</v>
      </c>
      <c r="B117" s="1"/>
      <c r="C117" s="52"/>
      <c r="D117" s="2"/>
      <c r="E117" s="52"/>
      <c r="F117" s="2"/>
      <c r="G117" s="2"/>
      <c r="H117" s="2"/>
      <c r="I117" s="2"/>
      <c r="J117" s="2"/>
      <c r="K117" s="2"/>
      <c r="L117" s="2"/>
      <c r="N117" s="190"/>
    </row>
    <row r="118" spans="1:14" x14ac:dyDescent="0.35">
      <c r="A118" t="str">
        <f>IF(A5="","","    "&amp;A5&amp;" - Consumptive Use and Headwaters Losses")</f>
        <v xml:space="preserve">    Upper Basin - Consumptive Use and Headwaters Losses</v>
      </c>
      <c r="C118" s="65" t="str">
        <f t="shared" ref="C118:L118" ca="1" si="54">IF(OR(C$28="",$A118=""),"",OFFSET(C$65,8*(ROW(B118)-ROW(B$118)),0))</f>
        <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35">
      <c r="A119" t="str">
        <f>IF(A6="","","    "&amp;A6&amp;" - Release from Mead")</f>
        <v xml:space="preserve">    Lower Basin - Release from Mead</v>
      </c>
      <c r="C119" s="65" t="str">
        <f t="shared" ref="C119:L119" ca="1" si="55">IF(OR(C$28="",$A119=""),"",OFFSET(C$65,8*(ROW(B119)-ROW(B$118)),0))</f>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35">
      <c r="A120" t="str">
        <f>IF(A7="","","    "&amp;A7&amp;" - Release from Mead")</f>
        <v xml:space="preserve">    Mexico - Release from Mead</v>
      </c>
      <c r="C120" s="65" t="str">
        <f t="shared" ref="C120:L120" ca="1" si="56">IF(OR(C$28="",$A120=""),"",OFFSET(C$65,8*(ROW(B120)-ROW(B$118)),0))</f>
        <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35">
      <c r="A121" t="str">
        <f>IF(A8="","","    "&amp;A8&amp;" - Release from Mead")</f>
        <v xml:space="preserve">    Colorado River Delta - Release from Mead</v>
      </c>
      <c r="C121" s="65" t="str">
        <f t="shared" ref="C121:L121" ca="1" si="57">IF(OR(C$28="",$A121=""),"",OFFSET(C$65,8*(ROW(B121)-ROW(B$118)),0))</f>
        <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35">
      <c r="A122" t="str">
        <f>IF(A9="","","    "&amp;A9&amp;" - Release from Mead")</f>
        <v xml:space="preserve">    First Nations - Release from Mead</v>
      </c>
      <c r="C122" s="65" t="str">
        <f t="shared" ref="C122:L122" ca="1" si="58">IF(OR(C$28="",$A122=""),"",OFFSET(C$65,8*(ROW(B122)-ROW(B$118)),0))</f>
        <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35">
      <c r="A123" t="str">
        <f>IF(A10="","","    "&amp;A10&amp;" - Release from Mead")</f>
        <v xml:space="preserve">    Shared, Reserve - Release from Mead</v>
      </c>
      <c r="C123" s="65" t="str">
        <f t="shared" ref="C123:L123" ca="1" si="59">IF(OR(C$28="",$A123=""),"",OFFSET(C$65,8*(ROW(B123)-ROW(B$118)),0))</f>
        <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35">
      <c r="A124" s="1" t="s">
        <v>137</v>
      </c>
      <c r="B124" s="1"/>
      <c r="D124" s="2"/>
      <c r="E124" s="2"/>
      <c r="F124" s="2"/>
      <c r="G124" s="2"/>
      <c r="H124" s="2"/>
      <c r="I124" s="2"/>
      <c r="J124" s="2"/>
      <c r="K124" s="2"/>
      <c r="L124" s="2"/>
      <c r="N124" s="190"/>
    </row>
    <row r="125" spans="1:14" x14ac:dyDescent="0.35">
      <c r="A125" t="str">
        <f t="shared" ref="A125:A130" si="60">IF(A5="","","    "&amp;A5)</f>
        <v xml:space="preserve">    Upper Basin</v>
      </c>
      <c r="C125" s="65" t="str">
        <f t="shared" ref="C125:L125" ca="1" si="61">IF(OR(C$28="",$A125=""),"",OFFSET(C$66,8*(ROW(B125)-ROW(B$125)),0))</f>
        <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35">
      <c r="A126" t="str">
        <f t="shared" si="60"/>
        <v xml:space="preserve">    Lower Basin</v>
      </c>
      <c r="C126" s="65" t="str">
        <f t="shared" ref="C126:L126" ca="1" si="62">IF(OR(C$28="",$A126=""),"",OFFSET(C$66,8*(ROW(B126)-ROW(B$125)),0))</f>
        <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35">
      <c r="A127" t="str">
        <f t="shared" si="60"/>
        <v xml:space="preserve">    Mexico</v>
      </c>
      <c r="C127" s="65" t="str">
        <f t="shared" ref="C127:L127" ca="1" si="63">IF(OR(C$28="",$A127=""),"",OFFSET(C$66,8*(ROW(B127)-ROW(B$125)),0))</f>
        <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35">
      <c r="A128" t="str">
        <f t="shared" si="60"/>
        <v xml:space="preserve">    Colorado River Delta</v>
      </c>
      <c r="C128" s="65" t="str">
        <f t="shared" ref="C128:L128" ca="1" si="64">IF(OR(C$28="",$A128=""),"",OFFSET(C$66,8*(ROW(B128)-ROW(B$125)),0))</f>
        <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35">
      <c r="A129" t="str">
        <f t="shared" si="60"/>
        <v xml:space="preserve">    First Nations</v>
      </c>
      <c r="C129" s="65" t="str">
        <f t="shared" ref="C129:L129" ca="1" si="65">IF(OR(C$28="",$A129=""),"",OFFSET(C$66,8*(ROW(B129)-ROW(B$125)),0))</f>
        <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35">
      <c r="A130" t="str">
        <f t="shared" si="60"/>
        <v xml:space="preserve">    Shared, Reserve</v>
      </c>
      <c r="C130" s="65" t="str">
        <f t="shared" ref="C130:L130" ca="1" si="66">IF(OR(C$28="",$A130=""),"",OFFSET(C$66,8*(ROW(B130)-ROW(B$125)),0))</f>
        <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35">
      <c r="A131" s="1" t="s">
        <v>349</v>
      </c>
      <c r="B131" s="1"/>
      <c r="C131" s="14" t="str">
        <f>IF(C$28&lt;&gt;"",SUM(C125:C130),"")</f>
        <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437</v>
      </c>
    </row>
    <row r="132" spans="1:14" ht="29.5" customHeight="1" x14ac:dyDescent="0.35">
      <c r="A132" s="241" t="s">
        <v>410</v>
      </c>
      <c r="B132" s="242"/>
      <c r="C132" s="170"/>
      <c r="D132" s="170"/>
      <c r="E132" s="170"/>
      <c r="F132" s="170"/>
      <c r="G132" s="170"/>
      <c r="H132" s="170"/>
      <c r="I132" s="170"/>
      <c r="J132" s="170"/>
      <c r="K132" s="170"/>
      <c r="L132" s="170"/>
      <c r="N132" s="186" t="s">
        <v>438</v>
      </c>
    </row>
    <row r="133" spans="1:14" x14ac:dyDescent="0.35">
      <c r="A133" s="1" t="s">
        <v>360</v>
      </c>
      <c r="B133" s="1"/>
      <c r="C133" s="14" t="str">
        <f>IF(C28="","",C$132*C$131)</f>
        <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449</v>
      </c>
    </row>
    <row r="134" spans="1:14" x14ac:dyDescent="0.35">
      <c r="A134" s="1" t="s">
        <v>361</v>
      </c>
      <c r="B134" s="1"/>
      <c r="C134" s="14" t="str">
        <f>IF(C29="","",(1-C$132)*C$131)</f>
        <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449</v>
      </c>
    </row>
    <row r="135" spans="1:14" x14ac:dyDescent="0.35">
      <c r="A135" s="30" t="s">
        <v>255</v>
      </c>
      <c r="B135" s="1"/>
      <c r="C135" s="81" t="str">
        <f>IF(C$28&lt;&gt;"",VLOOKUP(C133*1000000,'Powell-Elevation-Area'!$B$5:$H$689,7),"")</f>
        <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449</v>
      </c>
    </row>
    <row r="136" spans="1:14" x14ac:dyDescent="0.35">
      <c r="A136" s="30" t="s">
        <v>256</v>
      </c>
      <c r="B136" s="1"/>
      <c r="C136" s="81" t="str">
        <f>IF(C$28&lt;&gt;"",VLOOKUP(C134*1000000,'Mead-Elevation-Area'!$B$5:$H$689,7),"")</f>
        <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449</v>
      </c>
    </row>
    <row r="137" spans="1:14" x14ac:dyDescent="0.35">
      <c r="A137" s="1" t="s">
        <v>362</v>
      </c>
      <c r="B137" s="1"/>
      <c r="N137" s="189" t="s">
        <v>439</v>
      </c>
    </row>
    <row r="138" spans="1:14" x14ac:dyDescent="0.35">
      <c r="A138" s="30" t="s">
        <v>363</v>
      </c>
      <c r="B138" s="1"/>
      <c r="C138" s="14" t="str">
        <f>IF(C$28&lt;&gt;"",-C133+C40+C28-C65-VLOOKUP(C40*1000000,'Powell-Elevation-Area'!$B$5:$D$689,3)*$B$18/1000000,"")</f>
        <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440</v>
      </c>
    </row>
    <row r="139" spans="1:14" x14ac:dyDescent="0.35">
      <c r="A139" s="30" t="s">
        <v>350</v>
      </c>
      <c r="B139" s="1"/>
      <c r="C139" s="81" t="str">
        <f>IF(C$28&lt;&gt;"",VLOOKUP(C135,PowellReleaseTemperature!$A$5:$B$11,2),"")</f>
        <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441</v>
      </c>
    </row>
    <row r="140" spans="1:14" s="83" customFormat="1" ht="62.5" customHeight="1" x14ac:dyDescent="0.35">
      <c r="A140" s="115" t="s">
        <v>351</v>
      </c>
      <c r="B140" s="82"/>
      <c r="C140" s="114" t="str">
        <f>IF(C$28&lt;&gt;"",VLOOKUP(C$135,PowellReleaseTemperature!$A$5:$E$11,5),"")</f>
        <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443</v>
      </c>
    </row>
    <row r="141" spans="1:14" s="83" customFormat="1" ht="32.15" customHeight="1" x14ac:dyDescent="0.35">
      <c r="A141" s="115" t="s">
        <v>290</v>
      </c>
      <c r="B141" s="82"/>
      <c r="C141" s="114" t="str">
        <f>IF(C$28&lt;&gt;"",VLOOKUP(C$135,PowellReleaseTemperature!$A$5:$F$11,6),"")</f>
        <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442</v>
      </c>
    </row>
    <row r="142" spans="1:14" x14ac:dyDescent="0.35">
      <c r="A142" s="182" t="s">
        <v>411</v>
      </c>
      <c r="C142" s="27"/>
      <c r="N142" s="189" t="s">
        <v>444</v>
      </c>
    </row>
    <row r="144" spans="1:14" x14ac:dyDescent="0.35">
      <c r="D144" s="17"/>
    </row>
  </sheetData>
  <mergeCells count="13">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7" t="s">
        <v>148</v>
      </c>
      <c r="B3" s="257"/>
      <c r="C3" s="257"/>
      <c r="D3" s="257"/>
      <c r="E3" s="257"/>
      <c r="F3" s="257"/>
      <c r="G3" s="257"/>
      <c r="H3" s="143"/>
      <c r="I3" s="143"/>
      <c r="J3" s="143"/>
      <c r="K3" s="143"/>
    </row>
    <row r="4" spans="1:13" x14ac:dyDescent="0.35">
      <c r="A4" s="51" t="s">
        <v>38</v>
      </c>
      <c r="B4" s="51" t="s">
        <v>42</v>
      </c>
      <c r="C4" s="258" t="s">
        <v>43</v>
      </c>
      <c r="D4" s="259"/>
      <c r="E4" s="259"/>
      <c r="F4" s="259"/>
      <c r="G4" s="260"/>
      <c r="M4" s="1" t="s">
        <v>294</v>
      </c>
    </row>
    <row r="5" spans="1:13" x14ac:dyDescent="0.35">
      <c r="A5" s="142" t="s">
        <v>39</v>
      </c>
      <c r="B5" s="142" t="str">
        <f>IF(Master!B5="","",Master!B5)</f>
        <v/>
      </c>
      <c r="C5" s="248" t="s">
        <v>304</v>
      </c>
      <c r="D5" s="243"/>
      <c r="E5" s="243"/>
      <c r="F5" s="243"/>
      <c r="G5" s="243"/>
      <c r="M5" t="s">
        <v>295</v>
      </c>
    </row>
    <row r="6" spans="1:13" x14ac:dyDescent="0.35">
      <c r="A6" s="142" t="s">
        <v>40</v>
      </c>
      <c r="B6" s="142" t="str">
        <f>IF(Master!B6="","",Master!B6)</f>
        <v/>
      </c>
      <c r="C6" s="248" t="s">
        <v>304</v>
      </c>
      <c r="D6" s="243"/>
      <c r="E6" s="243"/>
      <c r="F6" s="243"/>
      <c r="G6" s="243"/>
      <c r="M6" t="s">
        <v>300</v>
      </c>
    </row>
    <row r="7" spans="1:13" x14ac:dyDescent="0.35">
      <c r="A7" s="142" t="s">
        <v>41</v>
      </c>
      <c r="B7" s="142" t="str">
        <f>IF(Master!B7="","",Master!B7)</f>
        <v/>
      </c>
      <c r="C7" s="248" t="s">
        <v>304</v>
      </c>
      <c r="D7" s="243"/>
      <c r="E7" s="243"/>
      <c r="F7" s="243"/>
      <c r="G7" s="243"/>
      <c r="M7" t="s">
        <v>301</v>
      </c>
    </row>
    <row r="8" spans="1:13" x14ac:dyDescent="0.35">
      <c r="A8" s="154" t="s">
        <v>145</v>
      </c>
      <c r="B8" s="153" t="str">
        <f>IF(Master!B8="","",Master!B8)</f>
        <v/>
      </c>
      <c r="C8" s="248" t="s">
        <v>209</v>
      </c>
      <c r="D8" s="243"/>
      <c r="E8" s="243"/>
      <c r="F8" s="243"/>
      <c r="G8" s="243"/>
    </row>
    <row r="9" spans="1:13" x14ac:dyDescent="0.35">
      <c r="A9" s="142" t="str">
        <f>IF(Master!A9="","",Master!A9)</f>
        <v>First Nations</v>
      </c>
      <c r="B9" s="142" t="str">
        <f>IF(Master!B9="","",Master!B9)</f>
        <v/>
      </c>
      <c r="C9" s="249"/>
      <c r="D9" s="249"/>
      <c r="E9" s="249"/>
      <c r="F9" s="249"/>
      <c r="G9" s="249"/>
    </row>
    <row r="10" spans="1:13" x14ac:dyDescent="0.35">
      <c r="A10" s="155" t="s">
        <v>154</v>
      </c>
      <c r="B10" s="155" t="str">
        <f>IF(Master!B10="","",Master!B10)</f>
        <v/>
      </c>
      <c r="C10" s="250" t="s">
        <v>336</v>
      </c>
      <c r="D10" s="250"/>
      <c r="E10" s="250"/>
      <c r="F10" s="250"/>
      <c r="G10" s="250"/>
    </row>
    <row r="11" spans="1:13" x14ac:dyDescent="0.35">
      <c r="A11" s="15"/>
      <c r="B11" s="2"/>
      <c r="C11"/>
    </row>
    <row r="12" spans="1:13" x14ac:dyDescent="0.35">
      <c r="A12" s="18" t="s">
        <v>371</v>
      </c>
      <c r="B12" s="251" t="s">
        <v>373</v>
      </c>
      <c r="C12" s="252"/>
      <c r="D12" s="253"/>
    </row>
    <row r="13" spans="1:13" x14ac:dyDescent="0.35">
      <c r="B13" s="254" t="s">
        <v>374</v>
      </c>
      <c r="C13" s="255"/>
      <c r="D13" s="256"/>
    </row>
    <row r="14" spans="1:13" x14ac:dyDescent="0.35">
      <c r="B14" s="235" t="s">
        <v>375</v>
      </c>
      <c r="C14" s="236"/>
      <c r="D14" s="237"/>
    </row>
    <row r="15" spans="1:13" x14ac:dyDescent="0.35">
      <c r="B15" s="238" t="s">
        <v>46</v>
      </c>
      <c r="C15" s="239"/>
      <c r="D15" s="240"/>
    </row>
    <row r="17" spans="1:14" x14ac:dyDescent="0.35">
      <c r="A17" s="1" t="s">
        <v>381</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186</v>
      </c>
      <c r="B20" s="149">
        <f>Master!B20</f>
        <v>3525</v>
      </c>
      <c r="C20" s="149">
        <f>Master!C20</f>
        <v>1020</v>
      </c>
      <c r="D20" s="11"/>
    </row>
    <row r="21" spans="1:14" x14ac:dyDescent="0.35">
      <c r="A21" t="s">
        <v>172</v>
      </c>
      <c r="B21" s="148">
        <f>VLOOKUP(B20,'Powell-Elevation-Area'!$A$5:$B$689,2)/1000000</f>
        <v>5.9265762500000001</v>
      </c>
      <c r="C21" s="148">
        <f>VLOOKUP(C20,'Mead-Elevation-Area'!$A$5:$B$689,2)/1000000</f>
        <v>5.664593</v>
      </c>
      <c r="D21" s="11"/>
      <c r="E21" s="43"/>
    </row>
    <row r="22" spans="1:14" x14ac:dyDescent="0.35">
      <c r="A22" t="s">
        <v>321</v>
      </c>
      <c r="B22" s="156">
        <f>Master!B22</f>
        <v>78.099999999999994</v>
      </c>
      <c r="C22"/>
      <c r="D22" s="150" t="s">
        <v>326</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35">
      <c r="A25" s="1" t="s">
        <v>44</v>
      </c>
      <c r="B25" s="1"/>
      <c r="C25" s="130" t="str">
        <f>IF(Master!C28="","",Master!C28)</f>
        <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3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3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3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3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3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193</v>
      </c>
      <c r="C36"/>
    </row>
    <row r="37" spans="1:14" x14ac:dyDescent="0.3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xml:space="preserve">    To First Nations</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169</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First Nations</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3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3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3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3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169</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3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3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352</v>
      </c>
      <c r="C105"/>
      <c r="M105" t="s">
        <v>179</v>
      </c>
      <c r="N105" t="s">
        <v>147</v>
      </c>
    </row>
    <row r="106" spans="1:14" x14ac:dyDescent="0.3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3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353</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354</v>
      </c>
      <c r="B120" s="1"/>
      <c r="D120" s="2"/>
      <c r="E120" s="2"/>
      <c r="F120" s="2"/>
      <c r="G120" s="2"/>
      <c r="H120" s="2"/>
      <c r="I120" s="2"/>
      <c r="J120" s="2"/>
      <c r="K120" s="2"/>
      <c r="L120" s="2"/>
    </row>
    <row r="121" spans="1:12" x14ac:dyDescent="0.3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268</v>
      </c>
      <c r="B133" s="1"/>
    </row>
    <row r="134" spans="1:14" x14ac:dyDescent="0.3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3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5" customHeight="1" x14ac:dyDescent="0.3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7" t="s">
        <v>148</v>
      </c>
      <c r="B3" s="257"/>
      <c r="C3" s="257"/>
      <c r="D3" s="257"/>
      <c r="E3" s="257"/>
      <c r="F3" s="257"/>
      <c r="G3" s="257"/>
      <c r="H3" s="62"/>
      <c r="I3" s="62"/>
      <c r="J3" s="62"/>
      <c r="K3" s="62"/>
    </row>
    <row r="4" spans="1:13" x14ac:dyDescent="0.35">
      <c r="A4" s="51" t="s">
        <v>38</v>
      </c>
      <c r="B4" s="51" t="s">
        <v>42</v>
      </c>
      <c r="C4" s="258" t="s">
        <v>43</v>
      </c>
      <c r="D4" s="259"/>
      <c r="E4" s="259"/>
      <c r="F4" s="259"/>
      <c r="G4" s="260"/>
      <c r="M4" s="1" t="s">
        <v>294</v>
      </c>
    </row>
    <row r="5" spans="1:13" x14ac:dyDescent="0.35">
      <c r="A5" s="122" t="s">
        <v>39</v>
      </c>
      <c r="B5" s="122" t="s">
        <v>150</v>
      </c>
      <c r="C5" s="248" t="s">
        <v>297</v>
      </c>
      <c r="D5" s="243"/>
      <c r="E5" s="243"/>
      <c r="F5" s="243"/>
      <c r="G5" s="243"/>
      <c r="M5" t="s">
        <v>295</v>
      </c>
    </row>
    <row r="6" spans="1:13" x14ac:dyDescent="0.35">
      <c r="A6" s="122" t="s">
        <v>40</v>
      </c>
      <c r="B6" s="122" t="s">
        <v>150</v>
      </c>
      <c r="C6" s="248" t="s">
        <v>298</v>
      </c>
      <c r="D6" s="243"/>
      <c r="E6" s="243"/>
      <c r="F6" s="243"/>
      <c r="G6" s="243"/>
      <c r="M6" t="s">
        <v>300</v>
      </c>
    </row>
    <row r="7" spans="1:13" x14ac:dyDescent="0.35">
      <c r="A7" s="122" t="s">
        <v>41</v>
      </c>
      <c r="B7" s="122" t="s">
        <v>150</v>
      </c>
      <c r="C7" s="248" t="s">
        <v>299</v>
      </c>
      <c r="D7" s="243"/>
      <c r="E7" s="243"/>
      <c r="F7" s="243"/>
      <c r="G7" s="243"/>
      <c r="M7" t="s">
        <v>301</v>
      </c>
    </row>
    <row r="8" spans="1:13" x14ac:dyDescent="0.35">
      <c r="A8" s="105" t="s">
        <v>154</v>
      </c>
      <c r="B8" s="105" t="s">
        <v>150</v>
      </c>
      <c r="C8" s="250" t="s">
        <v>296</v>
      </c>
      <c r="D8" s="250"/>
      <c r="E8" s="250"/>
      <c r="F8" s="250"/>
      <c r="G8" s="250"/>
    </row>
    <row r="9" spans="1:13" x14ac:dyDescent="0.35">
      <c r="A9" s="122"/>
      <c r="B9" s="122"/>
      <c r="C9" s="249"/>
      <c r="D9" s="249"/>
      <c r="E9" s="249"/>
      <c r="F9" s="249"/>
      <c r="G9" s="249"/>
    </row>
    <row r="10" spans="1:13" x14ac:dyDescent="0.35">
      <c r="A10" s="122"/>
      <c r="B10" s="122"/>
      <c r="C10" s="249"/>
      <c r="D10" s="249"/>
      <c r="E10" s="249"/>
      <c r="F10" s="249"/>
      <c r="G10" s="249"/>
    </row>
    <row r="11" spans="1:13" x14ac:dyDescent="0.35">
      <c r="A11" s="15"/>
      <c r="B11" s="2"/>
      <c r="C11"/>
    </row>
    <row r="12" spans="1:13" x14ac:dyDescent="0.35">
      <c r="A12" s="18" t="s">
        <v>45</v>
      </c>
      <c r="B12" s="261" t="s">
        <v>195</v>
      </c>
      <c r="C12" s="261"/>
      <c r="D12" s="261"/>
      <c r="E12" s="261"/>
      <c r="F12" s="261"/>
    </row>
    <row r="13" spans="1:13" x14ac:dyDescent="0.35">
      <c r="B13" s="262" t="s">
        <v>314</v>
      </c>
      <c r="C13" s="263"/>
      <c r="D13" s="263"/>
      <c r="E13" s="263"/>
      <c r="F13" s="263"/>
    </row>
    <row r="14" spans="1:13" x14ac:dyDescent="0.35">
      <c r="B14" s="264" t="s">
        <v>303</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193</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194</v>
      </c>
      <c r="B128" s="1"/>
      <c r="C128" s="66">
        <v>0.5</v>
      </c>
      <c r="D128" s="66">
        <v>0.65</v>
      </c>
      <c r="E128" s="66">
        <v>0.9</v>
      </c>
      <c r="F128" s="66">
        <v>0.5</v>
      </c>
      <c r="G128" s="66">
        <v>0.5</v>
      </c>
      <c r="H128" s="66"/>
      <c r="I128" s="66"/>
      <c r="J128" s="66"/>
      <c r="K128" s="66"/>
      <c r="L128" s="66"/>
    </row>
    <row r="129" spans="1:14" x14ac:dyDescent="0.3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7" t="s">
        <v>148</v>
      </c>
      <c r="B3" s="257"/>
      <c r="C3" s="257"/>
      <c r="D3" s="257"/>
      <c r="E3" s="257"/>
      <c r="F3" s="257"/>
      <c r="G3" s="257"/>
      <c r="H3" s="112"/>
      <c r="I3" s="112"/>
      <c r="J3" s="112"/>
      <c r="K3" s="112"/>
    </row>
    <row r="4" spans="1:13" x14ac:dyDescent="0.35">
      <c r="A4" s="51" t="s">
        <v>38</v>
      </c>
      <c r="B4" s="51" t="s">
        <v>42</v>
      </c>
      <c r="C4" s="258" t="s">
        <v>43</v>
      </c>
      <c r="D4" s="259"/>
      <c r="E4" s="259"/>
      <c r="F4" s="259"/>
      <c r="G4" s="260"/>
      <c r="M4" s="1" t="s">
        <v>294</v>
      </c>
    </row>
    <row r="5" spans="1:13" x14ac:dyDescent="0.35">
      <c r="A5" s="122" t="s">
        <v>39</v>
      </c>
      <c r="B5" s="122" t="s">
        <v>150</v>
      </c>
      <c r="C5" s="248" t="s">
        <v>304</v>
      </c>
      <c r="D5" s="243"/>
      <c r="E5" s="243"/>
      <c r="F5" s="243"/>
      <c r="G5" s="243"/>
      <c r="M5" t="s">
        <v>295</v>
      </c>
    </row>
    <row r="6" spans="1:13" x14ac:dyDescent="0.35">
      <c r="A6" s="122" t="s">
        <v>40</v>
      </c>
      <c r="B6" s="122" t="s">
        <v>150</v>
      </c>
      <c r="C6" s="248" t="s">
        <v>304</v>
      </c>
      <c r="D6" s="243"/>
      <c r="E6" s="243"/>
      <c r="F6" s="243"/>
      <c r="G6" s="243"/>
      <c r="M6" t="s">
        <v>300</v>
      </c>
    </row>
    <row r="7" spans="1:13" x14ac:dyDescent="0.35">
      <c r="A7" s="122" t="s">
        <v>41</v>
      </c>
      <c r="B7" s="122" t="s">
        <v>150</v>
      </c>
      <c r="C7" s="248" t="s">
        <v>304</v>
      </c>
      <c r="D7" s="243"/>
      <c r="E7" s="243"/>
      <c r="F7" s="243"/>
      <c r="G7" s="243"/>
      <c r="M7" t="s">
        <v>301</v>
      </c>
    </row>
    <row r="8" spans="1:13" x14ac:dyDescent="0.35">
      <c r="A8" s="111" t="s">
        <v>154</v>
      </c>
      <c r="B8" s="111" t="s">
        <v>150</v>
      </c>
      <c r="C8" s="250" t="s">
        <v>296</v>
      </c>
      <c r="D8" s="250"/>
      <c r="E8" s="250"/>
      <c r="F8" s="250"/>
      <c r="G8" s="250"/>
    </row>
    <row r="9" spans="1:13" x14ac:dyDescent="0.35">
      <c r="A9" s="122"/>
      <c r="B9" s="122"/>
      <c r="C9" s="249"/>
      <c r="D9" s="249"/>
      <c r="E9" s="249"/>
      <c r="F9" s="249"/>
      <c r="G9" s="249"/>
    </row>
    <row r="10" spans="1:13" x14ac:dyDescent="0.35">
      <c r="A10" s="122"/>
      <c r="B10" s="122"/>
      <c r="C10" s="249"/>
      <c r="D10" s="249"/>
      <c r="E10" s="249"/>
      <c r="F10" s="249"/>
      <c r="G10" s="249"/>
    </row>
    <row r="11" spans="1:13" x14ac:dyDescent="0.35">
      <c r="A11" s="15"/>
      <c r="B11" s="2"/>
      <c r="C11"/>
    </row>
    <row r="12" spans="1:13" x14ac:dyDescent="0.35">
      <c r="A12" s="18" t="s">
        <v>45</v>
      </c>
      <c r="B12" s="261" t="s">
        <v>195</v>
      </c>
      <c r="C12" s="261"/>
      <c r="D12" s="261"/>
      <c r="E12" s="261"/>
      <c r="F12" s="261"/>
    </row>
    <row r="13" spans="1:13" x14ac:dyDescent="0.35">
      <c r="B13" s="262" t="s">
        <v>314</v>
      </c>
      <c r="C13" s="263"/>
      <c r="D13" s="263"/>
      <c r="E13" s="263"/>
      <c r="F13" s="263"/>
    </row>
    <row r="14" spans="1:13" x14ac:dyDescent="0.35">
      <c r="B14" s="264" t="s">
        <v>303</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7" t="s">
        <v>148</v>
      </c>
      <c r="B3" s="257"/>
      <c r="C3" s="257"/>
      <c r="D3" s="257"/>
      <c r="E3" s="257"/>
      <c r="F3" s="257"/>
      <c r="G3" s="257"/>
      <c r="H3" s="112"/>
      <c r="I3" s="112"/>
      <c r="J3" s="112"/>
      <c r="K3" s="112"/>
    </row>
    <row r="4" spans="1:13" x14ac:dyDescent="0.35">
      <c r="A4" s="51" t="s">
        <v>38</v>
      </c>
      <c r="B4" s="51" t="s">
        <v>42</v>
      </c>
      <c r="C4" s="258" t="s">
        <v>43</v>
      </c>
      <c r="D4" s="259"/>
      <c r="E4" s="259"/>
      <c r="F4" s="259"/>
      <c r="G4" s="260"/>
      <c r="M4" s="1" t="s">
        <v>294</v>
      </c>
    </row>
    <row r="5" spans="1:13" x14ac:dyDescent="0.35">
      <c r="A5" s="122" t="s">
        <v>39</v>
      </c>
      <c r="B5" s="122"/>
      <c r="C5" s="248" t="s">
        <v>149</v>
      </c>
      <c r="D5" s="243"/>
      <c r="E5" s="243"/>
      <c r="F5" s="243"/>
      <c r="G5" s="243"/>
      <c r="M5" t="s">
        <v>295</v>
      </c>
    </row>
    <row r="6" spans="1:13" x14ac:dyDescent="0.35">
      <c r="A6" s="122" t="s">
        <v>40</v>
      </c>
      <c r="B6" s="122"/>
      <c r="C6" s="248" t="s">
        <v>149</v>
      </c>
      <c r="D6" s="243"/>
      <c r="E6" s="243"/>
      <c r="F6" s="243"/>
      <c r="G6" s="243"/>
      <c r="M6" t="s">
        <v>300</v>
      </c>
    </row>
    <row r="7" spans="1:13" x14ac:dyDescent="0.35">
      <c r="A7" s="122" t="s">
        <v>41</v>
      </c>
      <c r="B7" s="122"/>
      <c r="C7" s="248" t="s">
        <v>149</v>
      </c>
      <c r="D7" s="243"/>
      <c r="E7" s="243"/>
      <c r="F7" s="243"/>
      <c r="G7" s="243"/>
      <c r="M7" t="s">
        <v>301</v>
      </c>
    </row>
    <row r="8" spans="1:13" x14ac:dyDescent="0.35">
      <c r="A8" s="111" t="s">
        <v>154</v>
      </c>
      <c r="B8" s="111"/>
      <c r="C8" s="250" t="s">
        <v>305</v>
      </c>
      <c r="D8" s="250"/>
      <c r="E8" s="250"/>
      <c r="F8" s="250"/>
      <c r="G8" s="250"/>
    </row>
    <row r="9" spans="1:13" x14ac:dyDescent="0.35">
      <c r="A9" s="122"/>
      <c r="B9" s="122"/>
      <c r="C9" s="249"/>
      <c r="D9" s="249"/>
      <c r="E9" s="249"/>
      <c r="F9" s="249"/>
      <c r="G9" s="249"/>
    </row>
    <row r="10" spans="1:13" x14ac:dyDescent="0.35">
      <c r="A10" s="122"/>
      <c r="B10" s="122"/>
      <c r="C10" s="249"/>
      <c r="D10" s="249"/>
      <c r="E10" s="249"/>
      <c r="F10" s="249"/>
      <c r="G10" s="249"/>
    </row>
    <row r="11" spans="1:13" x14ac:dyDescent="0.35">
      <c r="A11" s="15"/>
      <c r="B11" s="2"/>
      <c r="C11"/>
    </row>
    <row r="12" spans="1:13" x14ac:dyDescent="0.35">
      <c r="A12" s="18" t="s">
        <v>45</v>
      </c>
      <c r="B12" s="261" t="s">
        <v>195</v>
      </c>
      <c r="C12" s="261"/>
      <c r="D12" s="261"/>
      <c r="E12" s="261"/>
      <c r="F12" s="261"/>
    </row>
    <row r="13" spans="1:13" x14ac:dyDescent="0.35">
      <c r="B13" s="262" t="s">
        <v>314</v>
      </c>
      <c r="C13" s="263"/>
      <c r="D13" s="263"/>
      <c r="E13" s="263"/>
      <c r="F13" s="263"/>
    </row>
    <row r="14" spans="1:13" x14ac:dyDescent="0.35">
      <c r="B14" s="264" t="s">
        <v>303</v>
      </c>
      <c r="C14" s="265"/>
      <c r="D14" s="265"/>
      <c r="E14" s="265"/>
      <c r="F14" s="265"/>
    </row>
    <row r="15" spans="1:13" x14ac:dyDescent="0.35">
      <c r="B15" s="266" t="s">
        <v>46</v>
      </c>
      <c r="C15" s="266"/>
      <c r="D15" s="266"/>
      <c r="E15" s="266"/>
      <c r="F15" s="266"/>
    </row>
    <row r="17" spans="1:14" x14ac:dyDescent="0.35">
      <c r="A17" s="1" t="s">
        <v>53</v>
      </c>
      <c r="D17" s="261" t="s">
        <v>151</v>
      </c>
      <c r="E17" s="261"/>
      <c r="F17" s="261"/>
      <c r="G17" s="261"/>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2021-11-05T17:42:54Z</dcterms:modified>
</cp:coreProperties>
</file>