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5BC4B086-6510-443A-A132-4427BEFB4F26}" xr6:coauthVersionLast="36" xr6:coauthVersionMax="36" xr10:uidLastSave="{00000000-0000-0000-0000-000000000000}"/>
  <bookViews>
    <workbookView xWindow="0" yWindow="0" windowWidth="19200" windowHeight="6640" firstSheet="3" activeTab="9" xr2:uid="{5373AB19-D84C-490D-97DC-C516D358024A}"/>
  </bookViews>
  <sheets>
    <sheet name="ReadMe-Directions" sheetId="6" r:id="rId1"/>
    <sheet name="Versions" sheetId="31" r:id="rId2"/>
    <sheet name="Master" sheetId="46" r:id="rId3"/>
    <sheet name="Master-Today" sheetId="47" r:id="rId4"/>
    <sheet name="8.1-Trade" sheetId="33" r:id="rId5"/>
    <sheet name="8.1-LawOfRiver" sheetId="48" r:id="rId6"/>
    <sheet name="8.1-Plots" sheetId="19" r:id="rId7"/>
    <sheet name="MillenniumRecover-LawOfRiver" sheetId="49" r:id="rId8"/>
    <sheet name="MillenniumRecover-Trade" sheetId="50" r:id="rId9"/>
    <sheet name="Millennium-Plots" sheetId="28" r:id="rId10"/>
    <sheet name="MillenniumRecover-Delta" sheetId="51" r:id="rId11"/>
    <sheet name="LowerBasinCuts" sheetId="41" r:id="rId12"/>
    <sheet name="HydrologicScenarios" sheetId="7" r:id="rId13"/>
    <sheet name="PowellReleaseTemperature" sheetId="43" r:id="rId14"/>
    <sheet name="Powell-Elevation-Area" sheetId="2" r:id="rId15"/>
    <sheet name="Mead-Elevation-Area" sheetId="10" r:id="rId16"/>
    <sheet name="11.0-LawOfRiverShort" sheetId="16"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0" i="51" l="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D48" i="46"/>
  <c r="E48" i="46"/>
  <c r="F48" i="46"/>
  <c r="G48" i="46"/>
  <c r="H48" i="46"/>
  <c r="I48" i="46"/>
  <c r="J48" i="46"/>
  <c r="K48" i="46"/>
  <c r="L48" i="46"/>
  <c r="D49" i="46"/>
  <c r="E49" i="46"/>
  <c r="F49" i="46"/>
  <c r="G49" i="46"/>
  <c r="H49" i="46"/>
  <c r="I49" i="46"/>
  <c r="J49" i="46"/>
  <c r="K49" i="46"/>
  <c r="L49" i="46"/>
  <c r="D50" i="46"/>
  <c r="E50" i="46"/>
  <c r="F50" i="46"/>
  <c r="G50" i="46"/>
  <c r="H50" i="46"/>
  <c r="I50" i="46"/>
  <c r="J50" i="46"/>
  <c r="K50" i="46"/>
  <c r="L50" i="46"/>
  <c r="D51" i="46"/>
  <c r="E51" i="46"/>
  <c r="F51" i="46"/>
  <c r="G51" i="46"/>
  <c r="H51" i="46"/>
  <c r="I51" i="46"/>
  <c r="J51" i="46"/>
  <c r="K51" i="46"/>
  <c r="L51" i="46"/>
  <c r="D48" i="47"/>
  <c r="E48" i="47"/>
  <c r="F48" i="47"/>
  <c r="G48" i="47"/>
  <c r="H48" i="47"/>
  <c r="I48" i="47"/>
  <c r="J48" i="47"/>
  <c r="K48" i="47"/>
  <c r="L48" i="47"/>
  <c r="D49" i="47"/>
  <c r="E49" i="47"/>
  <c r="F49" i="47"/>
  <c r="G49" i="47"/>
  <c r="H49" i="47"/>
  <c r="I49" i="47"/>
  <c r="J49" i="47"/>
  <c r="K49" i="47"/>
  <c r="L49" i="47"/>
  <c r="D50" i="47"/>
  <c r="E50" i="47"/>
  <c r="F50" i="47"/>
  <c r="G50" i="47"/>
  <c r="H50" i="47"/>
  <c r="I50" i="47"/>
  <c r="J50" i="47"/>
  <c r="K50" i="47"/>
  <c r="L50" i="47"/>
  <c r="D51" i="47"/>
  <c r="E51" i="47"/>
  <c r="F51" i="47"/>
  <c r="G51" i="47"/>
  <c r="H51" i="47"/>
  <c r="I51" i="47"/>
  <c r="J51" i="47"/>
  <c r="K51" i="47"/>
  <c r="L51" i="47"/>
  <c r="H48" i="33"/>
  <c r="I48" i="33"/>
  <c r="J48" i="33"/>
  <c r="K48" i="33"/>
  <c r="L48" i="33"/>
  <c r="H49" i="33"/>
  <c r="I49" i="33"/>
  <c r="J49" i="33"/>
  <c r="K49" i="33"/>
  <c r="L49" i="33"/>
  <c r="H50" i="33"/>
  <c r="I50" i="33"/>
  <c r="J50" i="33"/>
  <c r="K50" i="33"/>
  <c r="L50" i="33"/>
  <c r="H51" i="33"/>
  <c r="I51" i="33"/>
  <c r="J51" i="33"/>
  <c r="K51" i="33"/>
  <c r="L51" i="33"/>
  <c r="H48" i="48"/>
  <c r="I48" i="48"/>
  <c r="J48" i="48"/>
  <c r="K48" i="48"/>
  <c r="L48" i="48"/>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7" i="47"/>
  <c r="I37" i="47"/>
  <c r="J37" i="47"/>
  <c r="K37" i="47"/>
  <c r="L37" i="47"/>
  <c r="H38" i="47"/>
  <c r="I38" i="47"/>
  <c r="J38" i="47"/>
  <c r="K38" i="47"/>
  <c r="L38" i="47"/>
  <c r="H37" i="46"/>
  <c r="I37" i="46"/>
  <c r="J37" i="46"/>
  <c r="K37" i="46"/>
  <c r="L37" i="46"/>
  <c r="H38" i="46"/>
  <c r="I38" i="46"/>
  <c r="J38" i="46"/>
  <c r="K38" i="46"/>
  <c r="L38" i="46"/>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77" i="48"/>
  <c r="C69" i="48"/>
  <c r="C61"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C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C42" i="48"/>
  <c r="A42" i="48"/>
  <c r="J42" i="48" s="1"/>
  <c r="L41" i="48"/>
  <c r="K41" i="48"/>
  <c r="A41" i="48"/>
  <c r="I40" i="48"/>
  <c r="A40" i="48"/>
  <c r="H40" i="48" s="1"/>
  <c r="L39" i="48"/>
  <c r="K39" i="48"/>
  <c r="J39" i="48"/>
  <c r="I39" i="48"/>
  <c r="H39" i="48"/>
  <c r="C38" i="48"/>
  <c r="C46" i="48" s="1"/>
  <c r="C37" i="48"/>
  <c r="C39"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F47" i="48" s="1"/>
  <c r="E27" i="48"/>
  <c r="D27" i="48"/>
  <c r="C27" i="48"/>
  <c r="C23" i="48"/>
  <c r="B23" i="48"/>
  <c r="B33" i="48" s="1"/>
  <c r="C33" i="48" s="1"/>
  <c r="A1" i="48"/>
  <c r="L140" i="47"/>
  <c r="K140" i="47"/>
  <c r="J140" i="47"/>
  <c r="I140" i="47"/>
  <c r="H140" i="47"/>
  <c r="G140" i="47"/>
  <c r="F140" i="47"/>
  <c r="E140" i="47"/>
  <c r="D140" i="47"/>
  <c r="C140" i="47"/>
  <c r="L139" i="47"/>
  <c r="K139" i="47"/>
  <c r="J139" i="47"/>
  <c r="I139" i="47"/>
  <c r="H139" i="47"/>
  <c r="G139" i="47"/>
  <c r="F139" i="47"/>
  <c r="E139" i="47"/>
  <c r="D139" i="47"/>
  <c r="C139" i="47"/>
  <c r="L137" i="47"/>
  <c r="K137" i="47"/>
  <c r="J137" i="47"/>
  <c r="I137" i="47"/>
  <c r="H137" i="47"/>
  <c r="G137" i="47"/>
  <c r="F137" i="47"/>
  <c r="E137" i="47"/>
  <c r="D137" i="47"/>
  <c r="C137" i="47"/>
  <c r="L136" i="47"/>
  <c r="K136" i="47"/>
  <c r="J136" i="47"/>
  <c r="I136" i="47"/>
  <c r="H136" i="47"/>
  <c r="G136" i="47"/>
  <c r="F136" i="47"/>
  <c r="E136" i="47"/>
  <c r="D136" i="47"/>
  <c r="C136" i="47"/>
  <c r="L135" i="47"/>
  <c r="K135" i="47"/>
  <c r="J135" i="47"/>
  <c r="I135" i="47"/>
  <c r="H135" i="47"/>
  <c r="G135" i="47"/>
  <c r="F135" i="47"/>
  <c r="E135" i="47"/>
  <c r="D135" i="47"/>
  <c r="C135" i="47"/>
  <c r="L134" i="47"/>
  <c r="K134" i="47"/>
  <c r="J134" i="47"/>
  <c r="I134" i="47"/>
  <c r="H134" i="47"/>
  <c r="G134" i="47"/>
  <c r="F134" i="47"/>
  <c r="E134" i="47"/>
  <c r="D134" i="47"/>
  <c r="C134" i="47"/>
  <c r="L132" i="47"/>
  <c r="K132" i="47"/>
  <c r="J132" i="47"/>
  <c r="I132" i="47"/>
  <c r="H132" i="47"/>
  <c r="G132" i="47"/>
  <c r="F132" i="47"/>
  <c r="E132" i="47"/>
  <c r="D132" i="47"/>
  <c r="C132" i="47"/>
  <c r="L131" i="47"/>
  <c r="K131" i="47"/>
  <c r="J131" i="47"/>
  <c r="I131" i="47"/>
  <c r="H131" i="47"/>
  <c r="G131" i="47"/>
  <c r="F131" i="47"/>
  <c r="E131" i="47"/>
  <c r="D131" i="47"/>
  <c r="C131" i="47"/>
  <c r="E130" i="47"/>
  <c r="L129" i="47"/>
  <c r="K129" i="47"/>
  <c r="J129" i="47"/>
  <c r="I129" i="47"/>
  <c r="H129" i="47"/>
  <c r="G129" i="47"/>
  <c r="F129" i="47"/>
  <c r="E129" i="47"/>
  <c r="D129" i="47"/>
  <c r="C129" i="47"/>
  <c r="L127" i="47"/>
  <c r="K127" i="47"/>
  <c r="J127" i="47"/>
  <c r="I127" i="47"/>
  <c r="H127" i="47"/>
  <c r="G127" i="47"/>
  <c r="F127" i="47"/>
  <c r="E127" i="47"/>
  <c r="D127" i="47"/>
  <c r="C127" i="47"/>
  <c r="K126" i="47"/>
  <c r="I126" i="47"/>
  <c r="F126" i="47"/>
  <c r="E126" i="47"/>
  <c r="C126" i="47"/>
  <c r="A126" i="47"/>
  <c r="J126" i="47" s="1"/>
  <c r="L125" i="47"/>
  <c r="I125" i="47"/>
  <c r="H125" i="47"/>
  <c r="F125" i="47"/>
  <c r="E125" i="47"/>
  <c r="D125" i="47"/>
  <c r="A125" i="47"/>
  <c r="K125" i="47" s="1"/>
  <c r="L124" i="47"/>
  <c r="K124" i="47"/>
  <c r="I124" i="47"/>
  <c r="H124" i="47"/>
  <c r="G124" i="47"/>
  <c r="D124" i="47"/>
  <c r="C124" i="47"/>
  <c r="A124" i="47"/>
  <c r="F124" i="47" s="1"/>
  <c r="L123" i="47"/>
  <c r="D123" i="47"/>
  <c r="A123" i="47"/>
  <c r="K123" i="47" s="1"/>
  <c r="I122" i="47"/>
  <c r="G122" i="47"/>
  <c r="E122" i="47"/>
  <c r="A122" i="47"/>
  <c r="F122" i="47" s="1"/>
  <c r="A121" i="47"/>
  <c r="I121" i="47" s="1"/>
  <c r="L119" i="47"/>
  <c r="K119" i="47"/>
  <c r="H119" i="47"/>
  <c r="G119" i="47"/>
  <c r="F119" i="47"/>
  <c r="E119" i="47"/>
  <c r="D119" i="47"/>
  <c r="C119" i="47"/>
  <c r="A119" i="47"/>
  <c r="J119" i="47" s="1"/>
  <c r="H118" i="47"/>
  <c r="F118" i="47"/>
  <c r="A118" i="47"/>
  <c r="G118" i="47" s="1"/>
  <c r="K117" i="47"/>
  <c r="I117" i="47"/>
  <c r="F117" i="47"/>
  <c r="E117" i="47"/>
  <c r="C117" i="47"/>
  <c r="A117" i="47"/>
  <c r="J117" i="47" s="1"/>
  <c r="L116" i="47"/>
  <c r="I116" i="47"/>
  <c r="H116" i="47"/>
  <c r="G116" i="47"/>
  <c r="F116" i="47"/>
  <c r="E116" i="47"/>
  <c r="D116" i="47"/>
  <c r="A116" i="47"/>
  <c r="K116" i="47" s="1"/>
  <c r="L115" i="47"/>
  <c r="K115" i="47"/>
  <c r="I115" i="47"/>
  <c r="H115" i="47"/>
  <c r="G115" i="47"/>
  <c r="D115" i="47"/>
  <c r="C115" i="47"/>
  <c r="A115" i="47"/>
  <c r="F115" i="47" s="1"/>
  <c r="L114" i="47"/>
  <c r="D114" i="47"/>
  <c r="A114" i="47"/>
  <c r="K114" i="47" s="1"/>
  <c r="L112" i="47"/>
  <c r="K112" i="47"/>
  <c r="J112" i="47"/>
  <c r="I112" i="47"/>
  <c r="H112" i="47"/>
  <c r="G112" i="47"/>
  <c r="F112" i="47"/>
  <c r="E112" i="47"/>
  <c r="D112" i="47"/>
  <c r="C112" i="47"/>
  <c r="N111" i="47"/>
  <c r="M111" i="47"/>
  <c r="K111" i="47"/>
  <c r="I111" i="47"/>
  <c r="F111" i="47"/>
  <c r="E111" i="47"/>
  <c r="C111" i="47"/>
  <c r="A111" i="47"/>
  <c r="J111" i="47" s="1"/>
  <c r="N110" i="47"/>
  <c r="H110" i="47"/>
  <c r="F110" i="47"/>
  <c r="A110" i="47"/>
  <c r="G110" i="47" s="1"/>
  <c r="L109" i="47"/>
  <c r="K109" i="47"/>
  <c r="H109" i="47"/>
  <c r="G109" i="47"/>
  <c r="F109" i="47"/>
  <c r="E109" i="47"/>
  <c r="D109" i="47"/>
  <c r="C109" i="47"/>
  <c r="A109" i="47"/>
  <c r="J109" i="47" s="1"/>
  <c r="A108" i="47"/>
  <c r="I108" i="47" s="1"/>
  <c r="I107" i="47"/>
  <c r="G107" i="47"/>
  <c r="E107" i="47"/>
  <c r="A107" i="47"/>
  <c r="N107" i="47" s="1"/>
  <c r="L106" i="47"/>
  <c r="D106" i="47"/>
  <c r="A106" i="47"/>
  <c r="K106" i="47" s="1"/>
  <c r="M98" i="47"/>
  <c r="M97" i="47"/>
  <c r="A96" i="47"/>
  <c r="A97" i="47" s="1"/>
  <c r="M90" i="47"/>
  <c r="M89" i="47"/>
  <c r="A88" i="47"/>
  <c r="A89" i="47" s="1"/>
  <c r="M82" i="47"/>
  <c r="N109" i="47" s="1"/>
  <c r="M81" i="47"/>
  <c r="A80" i="47"/>
  <c r="A81" i="47" s="1"/>
  <c r="M74" i="47"/>
  <c r="M73" i="47"/>
  <c r="A72" i="47"/>
  <c r="A73" i="47" s="1"/>
  <c r="M66" i="47"/>
  <c r="M65" i="47"/>
  <c r="A64" i="47"/>
  <c r="A65" i="47" s="1"/>
  <c r="M58" i="47"/>
  <c r="M57" i="47"/>
  <c r="A56" i="47"/>
  <c r="A57" i="47" s="1"/>
  <c r="A53" i="47"/>
  <c r="A52" i="47"/>
  <c r="C51" i="47"/>
  <c r="A51" i="47"/>
  <c r="A50" i="47"/>
  <c r="C49" i="47"/>
  <c r="B49" i="47"/>
  <c r="A49" i="47"/>
  <c r="A48" i="47"/>
  <c r="L47" i="47"/>
  <c r="K47" i="47"/>
  <c r="J47" i="47"/>
  <c r="I47" i="47"/>
  <c r="H47" i="47"/>
  <c r="G47" i="47"/>
  <c r="F47" i="47"/>
  <c r="E47" i="47"/>
  <c r="D47" i="47"/>
  <c r="C47" i="47"/>
  <c r="L46" i="47"/>
  <c r="K46" i="47"/>
  <c r="J46" i="47"/>
  <c r="I46" i="47"/>
  <c r="H46" i="47"/>
  <c r="G46" i="47"/>
  <c r="F46" i="47"/>
  <c r="E46" i="47"/>
  <c r="D46" i="47"/>
  <c r="C46" i="47"/>
  <c r="L45" i="47"/>
  <c r="I45" i="47"/>
  <c r="H45" i="47"/>
  <c r="F45" i="47"/>
  <c r="E45" i="47"/>
  <c r="D45" i="47"/>
  <c r="A45" i="47"/>
  <c r="K45" i="47" s="1"/>
  <c r="L44" i="47"/>
  <c r="K44" i="47"/>
  <c r="I44" i="47"/>
  <c r="H44" i="47"/>
  <c r="G44" i="47"/>
  <c r="D44" i="47"/>
  <c r="C44" i="47"/>
  <c r="A44" i="47"/>
  <c r="F44" i="47" s="1"/>
  <c r="L43" i="47"/>
  <c r="F43" i="47"/>
  <c r="D43" i="47"/>
  <c r="A43" i="47"/>
  <c r="K43" i="47" s="1"/>
  <c r="I42" i="47"/>
  <c r="G42" i="47"/>
  <c r="E42" i="47"/>
  <c r="A42" i="47"/>
  <c r="F42" i="47" s="1"/>
  <c r="A41" i="47"/>
  <c r="I41" i="47" s="1"/>
  <c r="L40" i="47"/>
  <c r="K40" i="47"/>
  <c r="H40" i="47"/>
  <c r="G40" i="47"/>
  <c r="E40" i="47"/>
  <c r="D40" i="47"/>
  <c r="C40" i="47"/>
  <c r="A40" i="47"/>
  <c r="J40" i="47" s="1"/>
  <c r="L39" i="47"/>
  <c r="K39" i="47"/>
  <c r="J39" i="47"/>
  <c r="I39" i="47"/>
  <c r="H39" i="47"/>
  <c r="G39" i="47"/>
  <c r="F39" i="47"/>
  <c r="E39" i="47"/>
  <c r="D39" i="47"/>
  <c r="C39" i="47"/>
  <c r="G38" i="47"/>
  <c r="F38" i="47"/>
  <c r="E38" i="47"/>
  <c r="D38" i="47"/>
  <c r="C38" i="47"/>
  <c r="G37" i="47"/>
  <c r="F37" i="47"/>
  <c r="E37" i="47"/>
  <c r="D37" i="47"/>
  <c r="C37" i="47"/>
  <c r="L35" i="47"/>
  <c r="I35" i="47"/>
  <c r="H35" i="47"/>
  <c r="F35" i="47"/>
  <c r="E35" i="47"/>
  <c r="D35" i="47"/>
  <c r="A35" i="47"/>
  <c r="K35" i="47" s="1"/>
  <c r="L34" i="47"/>
  <c r="K34" i="47"/>
  <c r="I34" i="47"/>
  <c r="H34" i="47"/>
  <c r="G34" i="47"/>
  <c r="D34" i="47"/>
  <c r="C34" i="47"/>
  <c r="A34" i="47"/>
  <c r="F34" i="47" s="1"/>
  <c r="L33" i="47"/>
  <c r="K33" i="47"/>
  <c r="J33" i="47"/>
  <c r="G33" i="47"/>
  <c r="F33" i="47"/>
  <c r="D33" i="47"/>
  <c r="C33" i="47"/>
  <c r="A33" i="47"/>
  <c r="I33" i="47" s="1"/>
  <c r="H32" i="47"/>
  <c r="A32" i="47"/>
  <c r="G32" i="47" s="1"/>
  <c r="K31" i="47"/>
  <c r="C31" i="47"/>
  <c r="A31" i="47"/>
  <c r="J31" i="47" s="1"/>
  <c r="G30" i="47"/>
  <c r="B30" i="47"/>
  <c r="A30" i="47"/>
  <c r="F30" i="47" s="1"/>
  <c r="L29" i="47"/>
  <c r="K29" i="47"/>
  <c r="J29" i="47"/>
  <c r="I29" i="47"/>
  <c r="H29" i="47"/>
  <c r="G29" i="47"/>
  <c r="F29" i="47"/>
  <c r="E29" i="47"/>
  <c r="D29" i="47"/>
  <c r="C29" i="47"/>
  <c r="L28" i="47"/>
  <c r="K28" i="47"/>
  <c r="J28" i="47"/>
  <c r="I28" i="47"/>
  <c r="H28" i="47"/>
  <c r="G28" i="47"/>
  <c r="F28" i="47"/>
  <c r="E28" i="47"/>
  <c r="D28" i="47"/>
  <c r="C28" i="47"/>
  <c r="L27" i="47"/>
  <c r="L130" i="47" s="1"/>
  <c r="K27" i="47"/>
  <c r="K130" i="47" s="1"/>
  <c r="J27" i="47"/>
  <c r="J130" i="47" s="1"/>
  <c r="I27" i="47"/>
  <c r="I130" i="47" s="1"/>
  <c r="H27" i="47"/>
  <c r="G27" i="47"/>
  <c r="G130" i="47" s="1"/>
  <c r="F27" i="47"/>
  <c r="F130" i="47" s="1"/>
  <c r="E27" i="47"/>
  <c r="D27" i="47"/>
  <c r="D130" i="47" s="1"/>
  <c r="C27" i="47"/>
  <c r="C130" i="47" s="1"/>
  <c r="C23" i="47"/>
  <c r="B31" i="47" s="1"/>
  <c r="B23" i="47"/>
  <c r="A1" i="47"/>
  <c r="L140" i="46"/>
  <c r="K140" i="46"/>
  <c r="J140" i="46"/>
  <c r="I140" i="46"/>
  <c r="H140" i="46"/>
  <c r="L139" i="46"/>
  <c r="K139" i="46"/>
  <c r="J139" i="46"/>
  <c r="I139" i="46"/>
  <c r="H139" i="46"/>
  <c r="G139" i="46"/>
  <c r="F139" i="46"/>
  <c r="E139" i="46"/>
  <c r="D139" i="46"/>
  <c r="C139" i="46"/>
  <c r="L137" i="46"/>
  <c r="K137" i="46"/>
  <c r="J137" i="46"/>
  <c r="I137" i="46"/>
  <c r="H137" i="46"/>
  <c r="L136" i="46"/>
  <c r="K136" i="46"/>
  <c r="J136" i="46"/>
  <c r="I136" i="46"/>
  <c r="H136" i="46"/>
  <c r="L135" i="46"/>
  <c r="K135" i="46"/>
  <c r="J135" i="46"/>
  <c r="I135" i="46"/>
  <c r="H135" i="46"/>
  <c r="L134" i="46"/>
  <c r="K134" i="46"/>
  <c r="J134" i="46"/>
  <c r="I134" i="46"/>
  <c r="H134" i="46"/>
  <c r="L132" i="46"/>
  <c r="K132" i="46"/>
  <c r="J132" i="46"/>
  <c r="I132" i="46"/>
  <c r="H132" i="46"/>
  <c r="L131" i="46"/>
  <c r="K131" i="46"/>
  <c r="J131" i="46"/>
  <c r="I131" i="46"/>
  <c r="H131" i="46"/>
  <c r="L129" i="46"/>
  <c r="K129" i="46"/>
  <c r="J129" i="46"/>
  <c r="I129" i="46"/>
  <c r="H129" i="46"/>
  <c r="L127" i="46"/>
  <c r="K127" i="46"/>
  <c r="J127" i="46"/>
  <c r="I127" i="46"/>
  <c r="H127" i="46"/>
  <c r="F126" i="46"/>
  <c r="E126" i="46"/>
  <c r="A126" i="46"/>
  <c r="J126" i="46" s="1"/>
  <c r="I125" i="46"/>
  <c r="H125" i="46"/>
  <c r="E125" i="46"/>
  <c r="A125" i="46"/>
  <c r="L125" i="46" s="1"/>
  <c r="L124" i="46"/>
  <c r="K124" i="46"/>
  <c r="H124" i="46"/>
  <c r="A124" i="46"/>
  <c r="K123" i="46"/>
  <c r="A123" i="46"/>
  <c r="J123" i="46" s="1"/>
  <c r="I122" i="46"/>
  <c r="A122" i="46"/>
  <c r="L121" i="46"/>
  <c r="K121" i="46"/>
  <c r="I121" i="46"/>
  <c r="H121" i="46"/>
  <c r="A121" i="46"/>
  <c r="L119" i="46"/>
  <c r="K119" i="46"/>
  <c r="H119" i="46"/>
  <c r="G119" i="46"/>
  <c r="F119" i="46"/>
  <c r="E119" i="46"/>
  <c r="D119" i="46"/>
  <c r="C119" i="46"/>
  <c r="A119" i="46"/>
  <c r="J119" i="46" s="1"/>
  <c r="A118" i="46"/>
  <c r="J118" i="46" s="1"/>
  <c r="E117" i="46"/>
  <c r="A117" i="46"/>
  <c r="J117" i="46" s="1"/>
  <c r="L116" i="46"/>
  <c r="I116" i="46"/>
  <c r="H116" i="46"/>
  <c r="G116" i="46"/>
  <c r="F116" i="46"/>
  <c r="E116" i="46"/>
  <c r="D116" i="46"/>
  <c r="A116" i="46"/>
  <c r="K116" i="46" s="1"/>
  <c r="L115" i="46"/>
  <c r="K115" i="46"/>
  <c r="H115" i="46"/>
  <c r="D115" i="46"/>
  <c r="D140" i="46" s="1"/>
  <c r="C115" i="46"/>
  <c r="C140" i="46" s="1"/>
  <c r="A115" i="46"/>
  <c r="G115" i="46" s="1"/>
  <c r="G140" i="46" s="1"/>
  <c r="K114" i="46"/>
  <c r="G114" i="46"/>
  <c r="F114" i="46"/>
  <c r="E114" i="46"/>
  <c r="C114" i="46"/>
  <c r="A114" i="46"/>
  <c r="J114" i="46" s="1"/>
  <c r="L112" i="46"/>
  <c r="K112" i="46"/>
  <c r="J112" i="46"/>
  <c r="I112" i="46"/>
  <c r="H112" i="46"/>
  <c r="M111" i="46"/>
  <c r="E111" i="46"/>
  <c r="A111" i="46"/>
  <c r="J111" i="46" s="1"/>
  <c r="A110" i="46"/>
  <c r="J110" i="46" s="1"/>
  <c r="L109" i="46"/>
  <c r="K109" i="46"/>
  <c r="H109" i="46"/>
  <c r="G109" i="46"/>
  <c r="F109" i="46"/>
  <c r="E109" i="46"/>
  <c r="D109" i="46"/>
  <c r="C109" i="46"/>
  <c r="A109" i="46"/>
  <c r="J109" i="46" s="1"/>
  <c r="L108" i="46"/>
  <c r="K108" i="46"/>
  <c r="I108" i="46"/>
  <c r="H108" i="46"/>
  <c r="E108" i="46"/>
  <c r="D108" i="46"/>
  <c r="C108" i="46"/>
  <c r="A108" i="46"/>
  <c r="G108" i="46" s="1"/>
  <c r="I107" i="46"/>
  <c r="F107" i="46"/>
  <c r="A107" i="46"/>
  <c r="K106" i="46"/>
  <c r="G106" i="46"/>
  <c r="F106" i="46"/>
  <c r="E106" i="46"/>
  <c r="C106" i="46"/>
  <c r="A106" i="46"/>
  <c r="J106" i="46" s="1"/>
  <c r="M98" i="46"/>
  <c r="N97" i="46"/>
  <c r="M97" i="46"/>
  <c r="A97" i="46"/>
  <c r="A98" i="46" s="1"/>
  <c r="A99" i="46" s="1"/>
  <c r="A96" i="46"/>
  <c r="M90" i="46"/>
  <c r="M89" i="46"/>
  <c r="A88" i="46"/>
  <c r="A89" i="46" s="1"/>
  <c r="M82" i="46"/>
  <c r="N109" i="46" s="1"/>
  <c r="M81" i="46"/>
  <c r="A81" i="46"/>
  <c r="A82" i="46" s="1"/>
  <c r="A84" i="46" s="1"/>
  <c r="A80" i="46"/>
  <c r="M74" i="46"/>
  <c r="M73" i="46"/>
  <c r="A73" i="46"/>
  <c r="A74" i="46" s="1"/>
  <c r="A76" i="46" s="1"/>
  <c r="A72" i="46"/>
  <c r="A65" i="46"/>
  <c r="N65" i="46" s="1"/>
  <c r="N73" i="46" s="1"/>
  <c r="N81" i="46" s="1"/>
  <c r="A64" i="46"/>
  <c r="I59" i="46"/>
  <c r="A59" i="46"/>
  <c r="A58" i="46"/>
  <c r="N58" i="46" s="1"/>
  <c r="N57" i="46"/>
  <c r="M57" i="46"/>
  <c r="A57" i="46"/>
  <c r="A56" i="46"/>
  <c r="A53" i="46"/>
  <c r="A52" i="46"/>
  <c r="A51" i="46"/>
  <c r="A50" i="46"/>
  <c r="B49" i="46"/>
  <c r="A49" i="46"/>
  <c r="A48" i="46"/>
  <c r="L47" i="46"/>
  <c r="K47" i="46"/>
  <c r="J47" i="46"/>
  <c r="I47" i="46"/>
  <c r="H47" i="46"/>
  <c r="G47" i="46"/>
  <c r="E47" i="46"/>
  <c r="L46" i="46"/>
  <c r="K46" i="46"/>
  <c r="J46" i="46"/>
  <c r="I46" i="46"/>
  <c r="H46" i="46"/>
  <c r="C46" i="46"/>
  <c r="L45" i="46"/>
  <c r="K45" i="46"/>
  <c r="I45" i="46"/>
  <c r="H45" i="46"/>
  <c r="G45" i="46"/>
  <c r="E45" i="46"/>
  <c r="D45" i="46"/>
  <c r="C45" i="46"/>
  <c r="A45" i="46"/>
  <c r="F45" i="46" s="1"/>
  <c r="F44" i="46"/>
  <c r="A44" i="46"/>
  <c r="K44" i="46" s="1"/>
  <c r="A43" i="46"/>
  <c r="A42" i="46"/>
  <c r="L42" i="46" s="1"/>
  <c r="L41" i="46"/>
  <c r="K41" i="46"/>
  <c r="I41" i="46"/>
  <c r="H41" i="46"/>
  <c r="A41" i="46"/>
  <c r="J41" i="46" s="1"/>
  <c r="J40" i="46"/>
  <c r="H40" i="46"/>
  <c r="A40" i="46"/>
  <c r="K40" i="46" s="1"/>
  <c r="L39" i="46"/>
  <c r="K39" i="46"/>
  <c r="J39" i="46"/>
  <c r="I39" i="46"/>
  <c r="H39" i="46"/>
  <c r="C38" i="46"/>
  <c r="C37" i="46"/>
  <c r="C39" i="46" s="1"/>
  <c r="C41" i="46" s="1"/>
  <c r="L35" i="46"/>
  <c r="K35" i="46"/>
  <c r="I35" i="46"/>
  <c r="H35" i="46"/>
  <c r="G35" i="46"/>
  <c r="E35" i="46"/>
  <c r="D35" i="46"/>
  <c r="C35" i="46"/>
  <c r="A35" i="46"/>
  <c r="F35" i="46" s="1"/>
  <c r="J34" i="46"/>
  <c r="D34" i="46"/>
  <c r="C34" i="46"/>
  <c r="A34" i="46"/>
  <c r="K34" i="46" s="1"/>
  <c r="J33" i="46"/>
  <c r="A33" i="46"/>
  <c r="K32" i="46"/>
  <c r="C32" i="46"/>
  <c r="A32" i="46"/>
  <c r="L31" i="46"/>
  <c r="A31" i="46"/>
  <c r="K31" i="46" s="1"/>
  <c r="J30" i="46"/>
  <c r="B30" i="46"/>
  <c r="A30" i="46"/>
  <c r="L29" i="46"/>
  <c r="K29" i="46"/>
  <c r="J29" i="46"/>
  <c r="I29" i="46"/>
  <c r="H29" i="46"/>
  <c r="C29" i="46"/>
  <c r="L28" i="46"/>
  <c r="K28" i="46"/>
  <c r="J28" i="46"/>
  <c r="I28" i="46"/>
  <c r="H28" i="46"/>
  <c r="G28" i="46"/>
  <c r="F28" i="46"/>
  <c r="E28" i="46"/>
  <c r="D28" i="46"/>
  <c r="C28" i="46"/>
  <c r="L27" i="46"/>
  <c r="L130" i="46" s="1"/>
  <c r="K27" i="46"/>
  <c r="K130" i="46" s="1"/>
  <c r="J27" i="46"/>
  <c r="I27" i="46"/>
  <c r="I130" i="46" s="1"/>
  <c r="H27" i="46"/>
  <c r="H130" i="46" s="1"/>
  <c r="G27" i="46"/>
  <c r="F27" i="46"/>
  <c r="E27" i="46"/>
  <c r="D27" i="46"/>
  <c r="D47" i="46" s="1"/>
  <c r="C27" i="46"/>
  <c r="C23" i="46"/>
  <c r="B31" i="46" s="1"/>
  <c r="C31" i="46" s="1"/>
  <c r="B23" i="46"/>
  <c r="A1" i="46"/>
  <c r="F9" i="43"/>
  <c r="H137" i="33"/>
  <c r="I137" i="33"/>
  <c r="J137" i="33"/>
  <c r="K137" i="33"/>
  <c r="L137" i="33"/>
  <c r="H136" i="33"/>
  <c r="I136" i="33"/>
  <c r="J136" i="33"/>
  <c r="K136" i="33"/>
  <c r="L136" i="33"/>
  <c r="H135" i="33"/>
  <c r="I135" i="33"/>
  <c r="J135" i="33"/>
  <c r="K135" i="33"/>
  <c r="L135" i="33"/>
  <c r="E6" i="43"/>
  <c r="E7" i="43" s="1"/>
  <c r="E11" i="43"/>
  <c r="M90" i="51" l="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C114" i="48"/>
  <c r="D119" i="48"/>
  <c r="A98" i="47"/>
  <c r="N97" i="47"/>
  <c r="A58" i="47"/>
  <c r="N57" i="47"/>
  <c r="A82" i="47"/>
  <c r="A66" i="47"/>
  <c r="N65" i="47"/>
  <c r="N73" i="47" s="1"/>
  <c r="N81" i="47" s="1"/>
  <c r="A74" i="47"/>
  <c r="H130" i="47"/>
  <c r="A90" i="47"/>
  <c r="N89" i="47"/>
  <c r="H30" i="47"/>
  <c r="D31" i="47"/>
  <c r="L31" i="47"/>
  <c r="I32" i="47"/>
  <c r="E33" i="47"/>
  <c r="J34" i="47"/>
  <c r="G35" i="47"/>
  <c r="F40" i="47"/>
  <c r="C41" i="47"/>
  <c r="K41" i="47"/>
  <c r="H42" i="47"/>
  <c r="E43" i="47"/>
  <c r="J44" i="47"/>
  <c r="G45" i="47"/>
  <c r="E106" i="47"/>
  <c r="H107" i="47"/>
  <c r="C108" i="47"/>
  <c r="K108" i="47"/>
  <c r="I110" i="47"/>
  <c r="D111" i="47"/>
  <c r="L111" i="47"/>
  <c r="E114" i="47"/>
  <c r="J115" i="47"/>
  <c r="D117" i="47"/>
  <c r="L117" i="47"/>
  <c r="I118" i="47"/>
  <c r="C121" i="47"/>
  <c r="K121" i="47"/>
  <c r="H122" i="47"/>
  <c r="E123" i="47"/>
  <c r="J124" i="47"/>
  <c r="G125" i="47"/>
  <c r="D126" i="47"/>
  <c r="L126" i="47"/>
  <c r="E31" i="47"/>
  <c r="D41" i="47"/>
  <c r="F106" i="47"/>
  <c r="N106" i="47"/>
  <c r="D108" i="47"/>
  <c r="L108" i="47"/>
  <c r="J110" i="47"/>
  <c r="F114" i="47"/>
  <c r="J118" i="47"/>
  <c r="D121" i="47"/>
  <c r="L121" i="47"/>
  <c r="F123" i="47"/>
  <c r="L41" i="47"/>
  <c r="J30" i="47"/>
  <c r="F31" i="47"/>
  <c r="C32" i="47"/>
  <c r="K32" i="47"/>
  <c r="E41" i="47"/>
  <c r="J42" i="47"/>
  <c r="G43" i="47"/>
  <c r="C50" i="47"/>
  <c r="G106" i="47"/>
  <c r="J107" i="47"/>
  <c r="E108" i="47"/>
  <c r="C110" i="47"/>
  <c r="K110" i="47"/>
  <c r="G114" i="47"/>
  <c r="C118" i="47"/>
  <c r="K118" i="47"/>
  <c r="E121" i="47"/>
  <c r="J122" i="47"/>
  <c r="G123" i="47"/>
  <c r="J121" i="47"/>
  <c r="J32" i="47"/>
  <c r="C30" i="47"/>
  <c r="K30" i="47"/>
  <c r="G31" i="47"/>
  <c r="D32" i="47"/>
  <c r="L32" i="47"/>
  <c r="H33" i="47"/>
  <c r="E34" i="47"/>
  <c r="J35" i="47"/>
  <c r="I40" i="47"/>
  <c r="F41" i="47"/>
  <c r="C42" i="47"/>
  <c r="K42" i="47"/>
  <c r="H43" i="47"/>
  <c r="E44" i="47"/>
  <c r="J45" i="47"/>
  <c r="C48" i="47"/>
  <c r="H106" i="47"/>
  <c r="C107" i="47"/>
  <c r="K107" i="47"/>
  <c r="F108" i="47"/>
  <c r="N108" i="47"/>
  <c r="I109" i="47"/>
  <c r="M109" i="47" s="1"/>
  <c r="D110" i="47"/>
  <c r="L110" i="47"/>
  <c r="G111" i="47"/>
  <c r="H114" i="47"/>
  <c r="E115" i="47"/>
  <c r="J116" i="47"/>
  <c r="G117" i="47"/>
  <c r="D118" i="47"/>
  <c r="L118" i="47"/>
  <c r="I119" i="47"/>
  <c r="F121" i="47"/>
  <c r="C122" i="47"/>
  <c r="K122" i="47"/>
  <c r="H123" i="47"/>
  <c r="E124" i="47"/>
  <c r="J125" i="47"/>
  <c r="G126" i="47"/>
  <c r="J41" i="47"/>
  <c r="I30" i="47"/>
  <c r="D30" i="47"/>
  <c r="L30" i="47"/>
  <c r="H31" i="47"/>
  <c r="E32" i="47"/>
  <c r="C35" i="47"/>
  <c r="G41" i="47"/>
  <c r="D42" i="47"/>
  <c r="L42" i="47"/>
  <c r="I43" i="47"/>
  <c r="C45" i="47"/>
  <c r="I106" i="47"/>
  <c r="D107" i="47"/>
  <c r="L107" i="47"/>
  <c r="G108" i="47"/>
  <c r="E110" i="47"/>
  <c r="M110" i="47"/>
  <c r="H111" i="47"/>
  <c r="I114" i="47"/>
  <c r="C116" i="47"/>
  <c r="H117" i="47"/>
  <c r="E118" i="47"/>
  <c r="G121" i="47"/>
  <c r="D122" i="47"/>
  <c r="L122" i="47"/>
  <c r="I123" i="47"/>
  <c r="C125" i="47"/>
  <c r="H126" i="47"/>
  <c r="J108" i="47"/>
  <c r="E30" i="47"/>
  <c r="I31" i="47"/>
  <c r="H41" i="47"/>
  <c r="J43" i="47"/>
  <c r="J106" i="47"/>
  <c r="H108" i="47"/>
  <c r="J114" i="47"/>
  <c r="H121" i="47"/>
  <c r="J123" i="47"/>
  <c r="F32" i="47"/>
  <c r="B33" i="47"/>
  <c r="B29" i="47" s="1"/>
  <c r="C43" i="47"/>
  <c r="C106" i="47"/>
  <c r="F107" i="47"/>
  <c r="C114" i="47"/>
  <c r="C123" i="47"/>
  <c r="M66" i="46"/>
  <c r="N107" i="46" s="1"/>
  <c r="M65" i="46"/>
  <c r="A77" i="46"/>
  <c r="L76" i="46"/>
  <c r="I76" i="46"/>
  <c r="H76" i="46"/>
  <c r="K76" i="46"/>
  <c r="J76" i="46"/>
  <c r="A90" i="46"/>
  <c r="N89" i="46"/>
  <c r="I99" i="46"/>
  <c r="H99" i="46"/>
  <c r="G99" i="46"/>
  <c r="L99" i="46"/>
  <c r="D99" i="46"/>
  <c r="K99" i="46"/>
  <c r="C99" i="46"/>
  <c r="M99" i="46"/>
  <c r="J99" i="46"/>
  <c r="F99" i="46"/>
  <c r="E99" i="46"/>
  <c r="N99" i="46"/>
  <c r="C47" i="46"/>
  <c r="L43" i="46"/>
  <c r="H43" i="46"/>
  <c r="N59" i="46"/>
  <c r="M59" i="46"/>
  <c r="L59" i="46"/>
  <c r="H59" i="46"/>
  <c r="H30" i="46"/>
  <c r="H32" i="46"/>
  <c r="L32" i="46"/>
  <c r="L33" i="46"/>
  <c r="H33" i="46"/>
  <c r="K33" i="46"/>
  <c r="C44" i="46"/>
  <c r="H84" i="46"/>
  <c r="A85" i="46"/>
  <c r="K84" i="46"/>
  <c r="J84" i="46"/>
  <c r="J130" i="46"/>
  <c r="I30" i="46"/>
  <c r="B33" i="46"/>
  <c r="C33" i="46" s="1"/>
  <c r="C43" i="46" s="1"/>
  <c r="C51" i="46" s="1"/>
  <c r="I34" i="46"/>
  <c r="E34" i="46"/>
  <c r="L34" i="46"/>
  <c r="D44" i="46"/>
  <c r="E107" i="46"/>
  <c r="L107" i="46"/>
  <c r="D107" i="46"/>
  <c r="K107" i="46"/>
  <c r="C107" i="46"/>
  <c r="H107" i="46"/>
  <c r="G107" i="46"/>
  <c r="G112" i="46" s="1"/>
  <c r="G59" i="46" s="1"/>
  <c r="H42" i="46"/>
  <c r="K30" i="46"/>
  <c r="L30" i="46"/>
  <c r="H31" i="46"/>
  <c r="F34" i="46"/>
  <c r="I42" i="46"/>
  <c r="I43" i="46"/>
  <c r="H44" i="46"/>
  <c r="K59" i="46"/>
  <c r="I84" i="46"/>
  <c r="J107" i="46"/>
  <c r="C30" i="46"/>
  <c r="G44" i="46"/>
  <c r="J59" i="46"/>
  <c r="I31" i="46"/>
  <c r="I32" i="46"/>
  <c r="G34" i="46"/>
  <c r="I40" i="46"/>
  <c r="L40" i="46"/>
  <c r="J42" i="46"/>
  <c r="J43" i="46"/>
  <c r="J44" i="46"/>
  <c r="A60" i="46"/>
  <c r="A83" i="46"/>
  <c r="L84" i="46"/>
  <c r="A75" i="46"/>
  <c r="F47" i="46"/>
  <c r="J31" i="46"/>
  <c r="J32" i="46"/>
  <c r="I33" i="46"/>
  <c r="H34" i="46"/>
  <c r="C40" i="46"/>
  <c r="K43" i="46"/>
  <c r="A66" i="46"/>
  <c r="K42" i="46"/>
  <c r="C42" i="46"/>
  <c r="I44" i="46"/>
  <c r="E44" i="46"/>
  <c r="L44" i="46"/>
  <c r="N98" i="46"/>
  <c r="A100" i="46"/>
  <c r="G110" i="46"/>
  <c r="N110" i="46"/>
  <c r="F110" i="46"/>
  <c r="M110" i="46"/>
  <c r="E110" i="46"/>
  <c r="E112" i="46" s="1"/>
  <c r="E59" i="46" s="1"/>
  <c r="L110" i="46"/>
  <c r="D110" i="46"/>
  <c r="K110" i="46"/>
  <c r="C110" i="46"/>
  <c r="I110" i="46"/>
  <c r="H110" i="46"/>
  <c r="G118" i="46"/>
  <c r="F118" i="46"/>
  <c r="E118" i="46"/>
  <c r="L118" i="46"/>
  <c r="D118" i="46"/>
  <c r="K118" i="46"/>
  <c r="C118" i="46"/>
  <c r="I118" i="46"/>
  <c r="H118" i="46"/>
  <c r="J35" i="46"/>
  <c r="J45" i="46"/>
  <c r="M58" i="46"/>
  <c r="N106" i="46" s="1"/>
  <c r="D106" i="46"/>
  <c r="L106" i="46"/>
  <c r="J108" i="46"/>
  <c r="C111" i="46"/>
  <c r="K111" i="46"/>
  <c r="D114" i="46"/>
  <c r="L114" i="46"/>
  <c r="I115" i="46"/>
  <c r="C117" i="46"/>
  <c r="K117" i="46"/>
  <c r="J121" i="46"/>
  <c r="L123" i="46"/>
  <c r="I124" i="46"/>
  <c r="F125" i="46"/>
  <c r="C126" i="46"/>
  <c r="K126" i="46"/>
  <c r="D111" i="46"/>
  <c r="L111" i="46"/>
  <c r="J115" i="46"/>
  <c r="D117" i="46"/>
  <c r="L117" i="46"/>
  <c r="H122" i="46"/>
  <c r="J124" i="46"/>
  <c r="G125" i="46"/>
  <c r="D126" i="46"/>
  <c r="L126" i="46"/>
  <c r="F111" i="46"/>
  <c r="F112" i="46" s="1"/>
  <c r="F59" i="46" s="1"/>
  <c r="N111" i="46"/>
  <c r="F117" i="46"/>
  <c r="J122" i="46"/>
  <c r="H106" i="46"/>
  <c r="F108" i="46"/>
  <c r="N108" i="46"/>
  <c r="I109" i="46"/>
  <c r="M109" i="46" s="1"/>
  <c r="G111" i="46"/>
  <c r="H114" i="46"/>
  <c r="E115" i="46"/>
  <c r="E140" i="46" s="1"/>
  <c r="J116" i="46"/>
  <c r="G117" i="46"/>
  <c r="I119" i="46"/>
  <c r="K122" i="46"/>
  <c r="H123" i="46"/>
  <c r="J125" i="46"/>
  <c r="G126" i="46"/>
  <c r="I106" i="46"/>
  <c r="H111" i="46"/>
  <c r="I114" i="46"/>
  <c r="F115" i="46"/>
  <c r="F140" i="46" s="1"/>
  <c r="C116" i="46"/>
  <c r="H117" i="46"/>
  <c r="L122" i="46"/>
  <c r="I123" i="46"/>
  <c r="C125" i="46"/>
  <c r="K125" i="46"/>
  <c r="H126" i="46"/>
  <c r="I111" i="46"/>
  <c r="I117" i="46"/>
  <c r="D125" i="46"/>
  <c r="I126" i="46"/>
  <c r="H47" i="33"/>
  <c r="I47" i="33"/>
  <c r="J47" i="33"/>
  <c r="K47" i="33"/>
  <c r="L47" i="33"/>
  <c r="H29" i="33"/>
  <c r="I29" i="33"/>
  <c r="J29" i="33"/>
  <c r="K29" i="33"/>
  <c r="L29" i="33"/>
  <c r="C29" i="33"/>
  <c r="D28" i="33"/>
  <c r="E28" i="33"/>
  <c r="F28" i="33"/>
  <c r="G28" i="33"/>
  <c r="H28" i="33"/>
  <c r="I28" i="33"/>
  <c r="J28" i="33"/>
  <c r="K28" i="33"/>
  <c r="L28" i="33"/>
  <c r="C28" i="33"/>
  <c r="M110" i="51" l="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48" i="48" s="1"/>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N90" i="47"/>
  <c r="A91" i="47"/>
  <c r="A84" i="47"/>
  <c r="A83" i="47"/>
  <c r="A60" i="47"/>
  <c r="N58" i="47"/>
  <c r="N66" i="47" s="1"/>
  <c r="N74" i="47" s="1"/>
  <c r="N82" i="47" s="1"/>
  <c r="A59" i="47"/>
  <c r="A75" i="47"/>
  <c r="A76" i="47"/>
  <c r="A99" i="47"/>
  <c r="N98" i="47"/>
  <c r="A100" i="47"/>
  <c r="M107" i="46"/>
  <c r="M108" i="46"/>
  <c r="M106" i="46"/>
  <c r="C112" i="46"/>
  <c r="C59" i="46" s="1"/>
  <c r="C84" i="46"/>
  <c r="A92" i="46"/>
  <c r="A91" i="46"/>
  <c r="N90" i="46"/>
  <c r="A86" i="46"/>
  <c r="A67" i="46"/>
  <c r="N66" i="46"/>
  <c r="N74" i="46" s="1"/>
  <c r="N82" i="46" s="1"/>
  <c r="A68" i="46"/>
  <c r="M83" i="46"/>
  <c r="E83" i="46"/>
  <c r="L83" i="46"/>
  <c r="D83" i="46"/>
  <c r="K83" i="46"/>
  <c r="C83" i="46"/>
  <c r="H83" i="46"/>
  <c r="G83" i="46"/>
  <c r="F83" i="46"/>
  <c r="J83" i="46"/>
  <c r="I83" i="46"/>
  <c r="L100" i="46"/>
  <c r="D100" i="46"/>
  <c r="K100" i="46"/>
  <c r="C100" i="46"/>
  <c r="J100" i="46"/>
  <c r="G100" i="46"/>
  <c r="A101" i="46"/>
  <c r="F100" i="46"/>
  <c r="I100" i="46"/>
  <c r="N100" i="46"/>
  <c r="H100" i="46"/>
  <c r="E100" i="46"/>
  <c r="A78" i="46"/>
  <c r="I60" i="46"/>
  <c r="H60" i="46"/>
  <c r="K60" i="46"/>
  <c r="A61" i="46"/>
  <c r="N60" i="46"/>
  <c r="L60" i="46"/>
  <c r="J60" i="46"/>
  <c r="D112" i="46"/>
  <c r="D59" i="46" s="1"/>
  <c r="K75" i="46"/>
  <c r="C75" i="46"/>
  <c r="J75" i="46"/>
  <c r="I75" i="46"/>
  <c r="F75" i="46"/>
  <c r="M75" i="46"/>
  <c r="E75" i="46"/>
  <c r="L75" i="46"/>
  <c r="H75" i="46"/>
  <c r="G75" i="46"/>
  <c r="D75" i="46"/>
  <c r="C50" i="46"/>
  <c r="B29" i="46"/>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K67" i="51" l="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C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J60" i="48"/>
  <c r="I60" i="48"/>
  <c r="H60" i="48"/>
  <c r="A61" i="48"/>
  <c r="N60" i="48"/>
  <c r="L60" i="48"/>
  <c r="K60" i="48"/>
  <c r="C60" i="48"/>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4" i="47"/>
  <c r="H84" i="47"/>
  <c r="G84" i="47"/>
  <c r="J84" i="47"/>
  <c r="A85" i="47"/>
  <c r="F84" i="47"/>
  <c r="E84" i="47"/>
  <c r="L84" i="47"/>
  <c r="D84" i="47"/>
  <c r="K84" i="47"/>
  <c r="C84" i="47"/>
  <c r="H91" i="47"/>
  <c r="G91" i="47"/>
  <c r="N91" i="47"/>
  <c r="F91" i="47"/>
  <c r="I91" i="47"/>
  <c r="M91" i="47"/>
  <c r="E91" i="47"/>
  <c r="L91" i="47"/>
  <c r="D91" i="47"/>
  <c r="K91" i="47"/>
  <c r="C91" i="47"/>
  <c r="J91" i="47"/>
  <c r="G76" i="47"/>
  <c r="A77" i="47"/>
  <c r="F76" i="47"/>
  <c r="E76" i="47"/>
  <c r="L76" i="47"/>
  <c r="D76" i="47"/>
  <c r="K76" i="47"/>
  <c r="C76" i="47"/>
  <c r="H76" i="47"/>
  <c r="J76" i="47"/>
  <c r="I76" i="47"/>
  <c r="L75" i="47"/>
  <c r="D75" i="47"/>
  <c r="K75" i="47"/>
  <c r="C75" i="47"/>
  <c r="M75" i="47"/>
  <c r="J75" i="47"/>
  <c r="E75" i="47"/>
  <c r="I75" i="47"/>
  <c r="H75" i="47"/>
  <c r="G75" i="47"/>
  <c r="F75" i="47"/>
  <c r="H59" i="47"/>
  <c r="G59" i="47"/>
  <c r="I59" i="47"/>
  <c r="N59" i="47"/>
  <c r="F59" i="47"/>
  <c r="M59" i="47"/>
  <c r="E59" i="47"/>
  <c r="L59" i="47"/>
  <c r="D59" i="47"/>
  <c r="K59" i="47"/>
  <c r="C59" i="47"/>
  <c r="J59" i="47"/>
  <c r="K92" i="47"/>
  <c r="C92" i="47"/>
  <c r="J92" i="47"/>
  <c r="I92" i="47"/>
  <c r="H92" i="47"/>
  <c r="L92" i="47"/>
  <c r="G92" i="47"/>
  <c r="A93" i="47"/>
  <c r="F92" i="47"/>
  <c r="D92" i="47"/>
  <c r="N92" i="47"/>
  <c r="E92" i="47"/>
  <c r="E68" i="47"/>
  <c r="L68" i="47"/>
  <c r="D68" i="47"/>
  <c r="K68" i="47"/>
  <c r="C68" i="47"/>
  <c r="F68" i="47"/>
  <c r="J68" i="47"/>
  <c r="I68" i="47"/>
  <c r="H68" i="47"/>
  <c r="A69" i="47"/>
  <c r="G68" i="47"/>
  <c r="N100" i="47"/>
  <c r="E100" i="47"/>
  <c r="A101" i="47"/>
  <c r="L100" i="47"/>
  <c r="D100" i="47"/>
  <c r="K100" i="47"/>
  <c r="C100" i="47"/>
  <c r="J100" i="47"/>
  <c r="I100" i="47"/>
  <c r="H100" i="47"/>
  <c r="G100" i="47"/>
  <c r="F100" i="47"/>
  <c r="K60" i="47"/>
  <c r="C60" i="47"/>
  <c r="J60" i="47"/>
  <c r="I60" i="47"/>
  <c r="H60" i="47"/>
  <c r="L60" i="47"/>
  <c r="G60" i="47"/>
  <c r="D60" i="47"/>
  <c r="A61" i="47"/>
  <c r="F60" i="47"/>
  <c r="N60" i="47"/>
  <c r="N68" i="47" s="1"/>
  <c r="N76" i="47" s="1"/>
  <c r="N84" i="47" s="1"/>
  <c r="E60" i="47"/>
  <c r="J67" i="47"/>
  <c r="I67" i="47"/>
  <c r="K67" i="47"/>
  <c r="H67" i="47"/>
  <c r="G67" i="47"/>
  <c r="N67" i="47"/>
  <c r="N75" i="47" s="1"/>
  <c r="N83" i="47" s="1"/>
  <c r="F67" i="47"/>
  <c r="M67" i="47"/>
  <c r="E67" i="47"/>
  <c r="L67" i="47"/>
  <c r="D67" i="47"/>
  <c r="C67" i="47"/>
  <c r="J99" i="47"/>
  <c r="I99" i="47"/>
  <c r="H99" i="47"/>
  <c r="G99" i="47"/>
  <c r="N99" i="47"/>
  <c r="F99" i="47"/>
  <c r="M99" i="47"/>
  <c r="E99" i="47"/>
  <c r="C99" i="47"/>
  <c r="L99" i="47"/>
  <c r="D99" i="47"/>
  <c r="K99" i="47"/>
  <c r="F83" i="47"/>
  <c r="M83" i="47"/>
  <c r="E83" i="47"/>
  <c r="G83" i="47"/>
  <c r="L83" i="47"/>
  <c r="D83" i="47"/>
  <c r="K83" i="47"/>
  <c r="C83" i="47"/>
  <c r="J83" i="47"/>
  <c r="I83" i="47"/>
  <c r="H83" i="47"/>
  <c r="C48" i="46"/>
  <c r="C60" i="46" s="1"/>
  <c r="C76" i="46"/>
  <c r="J86" i="46"/>
  <c r="I86" i="46"/>
  <c r="H86" i="46"/>
  <c r="L86" i="46"/>
  <c r="C86" i="46"/>
  <c r="C124" i="46" s="1"/>
  <c r="D33" i="46" s="1"/>
  <c r="K86" i="46"/>
  <c r="N101" i="46"/>
  <c r="A102" i="46"/>
  <c r="H78" i="46"/>
  <c r="K78" i="46"/>
  <c r="C78" i="46"/>
  <c r="C123" i="46" s="1"/>
  <c r="D32" i="46" s="1"/>
  <c r="J78" i="46"/>
  <c r="L78" i="46"/>
  <c r="I78" i="46"/>
  <c r="G91" i="46"/>
  <c r="N91" i="46"/>
  <c r="F91" i="46"/>
  <c r="M91" i="46"/>
  <c r="E91" i="46"/>
  <c r="J91" i="46"/>
  <c r="I91" i="46"/>
  <c r="C91" i="46"/>
  <c r="K91" i="46"/>
  <c r="L91" i="46"/>
  <c r="H91" i="46"/>
  <c r="D91" i="46"/>
  <c r="A69" i="46"/>
  <c r="N68" i="46"/>
  <c r="N76" i="46" s="1"/>
  <c r="N84" i="46" s="1"/>
  <c r="L68" i="46"/>
  <c r="I68" i="46"/>
  <c r="H68" i="46"/>
  <c r="K68" i="46"/>
  <c r="J68" i="46"/>
  <c r="J92" i="46"/>
  <c r="I92" i="46"/>
  <c r="H92" i="46"/>
  <c r="N92" i="46"/>
  <c r="E92" i="46"/>
  <c r="L92" i="46"/>
  <c r="D92" i="46"/>
  <c r="G92" i="46"/>
  <c r="F92" i="46"/>
  <c r="C92" i="46"/>
  <c r="A93" i="46"/>
  <c r="K92" i="46"/>
  <c r="A62" i="46"/>
  <c r="N61" i="46"/>
  <c r="K67" i="46"/>
  <c r="C67" i="46"/>
  <c r="J67" i="46"/>
  <c r="I67" i="46"/>
  <c r="N67" i="46"/>
  <c r="N75" i="46" s="1"/>
  <c r="N83" i="46" s="1"/>
  <c r="F67" i="46"/>
  <c r="M67" i="46"/>
  <c r="E67" i="46"/>
  <c r="L67" i="46"/>
  <c r="H67" i="46"/>
  <c r="D67" i="46"/>
  <c r="G67" i="46"/>
  <c r="C49" i="46"/>
  <c r="C68" i="46" s="1"/>
  <c r="C58" i="33"/>
  <c r="F57" i="33"/>
  <c r="F74" i="33"/>
  <c r="F58" i="33" s="1"/>
  <c r="E74" i="33"/>
  <c r="E66" i="33"/>
  <c r="D58" i="33"/>
  <c r="E58" i="33"/>
  <c r="C86" i="51" l="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N101" i="47"/>
  <c r="A62" i="47"/>
  <c r="N61" i="47"/>
  <c r="A86" i="47"/>
  <c r="N77" i="47"/>
  <c r="N85" i="47" s="1"/>
  <c r="A78" i="47"/>
  <c r="A94" i="47"/>
  <c r="N93" i="47"/>
  <c r="A70" i="47"/>
  <c r="N69" i="47"/>
  <c r="K62" i="46"/>
  <c r="C62" i="46"/>
  <c r="C121" i="46" s="1"/>
  <c r="J62" i="46"/>
  <c r="I62" i="46"/>
  <c r="N62" i="46"/>
  <c r="L62" i="46"/>
  <c r="H62" i="46"/>
  <c r="A94" i="46"/>
  <c r="N93" i="46"/>
  <c r="F102" i="46"/>
  <c r="N102" i="46"/>
  <c r="E102" i="46"/>
  <c r="L102" i="46"/>
  <c r="D102" i="46"/>
  <c r="I102" i="46"/>
  <c r="H102" i="46"/>
  <c r="G102" i="46"/>
  <c r="C102" i="46"/>
  <c r="K102" i="46"/>
  <c r="J102" i="46"/>
  <c r="A70" i="46"/>
  <c r="N69" i="46"/>
  <c r="N77" i="46" s="1"/>
  <c r="N85" i="46" s="1"/>
  <c r="C127" i="51" l="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L86" i="47"/>
  <c r="J86" i="47"/>
  <c r="I86" i="47"/>
  <c r="H86" i="47"/>
  <c r="G86" i="47"/>
  <c r="F86" i="47"/>
  <c r="D86" i="47"/>
  <c r="E86" i="47"/>
  <c r="I78" i="47"/>
  <c r="J78" i="47"/>
  <c r="H78" i="47"/>
  <c r="G78" i="47"/>
  <c r="F78" i="47"/>
  <c r="E78" i="47"/>
  <c r="L78" i="47"/>
  <c r="D78" i="47"/>
  <c r="K78" i="47"/>
  <c r="C78" i="47"/>
  <c r="G70" i="47"/>
  <c r="F70" i="47"/>
  <c r="E70" i="47"/>
  <c r="L70" i="47"/>
  <c r="D70" i="47"/>
  <c r="H70" i="47"/>
  <c r="K70" i="47"/>
  <c r="C70" i="47"/>
  <c r="J70" i="47"/>
  <c r="I70" i="47"/>
  <c r="N62" i="47"/>
  <c r="N70" i="47" s="1"/>
  <c r="N78" i="47" s="1"/>
  <c r="N86" i="47" s="1"/>
  <c r="E62" i="47"/>
  <c r="F62" i="47"/>
  <c r="L62" i="47"/>
  <c r="D62" i="47"/>
  <c r="K62" i="47"/>
  <c r="C62" i="47"/>
  <c r="J62" i="47"/>
  <c r="I62" i="47"/>
  <c r="H62" i="47"/>
  <c r="G62" i="47"/>
  <c r="N94" i="47"/>
  <c r="E94" i="47"/>
  <c r="F94" i="47"/>
  <c r="L94" i="47"/>
  <c r="D94" i="47"/>
  <c r="K94" i="47"/>
  <c r="C94" i="47"/>
  <c r="J94" i="47"/>
  <c r="I94" i="47"/>
  <c r="H94" i="47"/>
  <c r="G94" i="47"/>
  <c r="G102" i="47"/>
  <c r="F102" i="47"/>
  <c r="N102" i="47"/>
  <c r="E102" i="47"/>
  <c r="L102" i="47"/>
  <c r="D102" i="47"/>
  <c r="K102" i="47"/>
  <c r="C102" i="47"/>
  <c r="J102" i="47"/>
  <c r="H102" i="47"/>
  <c r="I102" i="47"/>
  <c r="L94" i="46"/>
  <c r="D94" i="46"/>
  <c r="K94" i="46"/>
  <c r="C94" i="46"/>
  <c r="J94" i="46"/>
  <c r="G94" i="46"/>
  <c r="F94" i="46"/>
  <c r="H94" i="46"/>
  <c r="N94" i="46"/>
  <c r="I94" i="46"/>
  <c r="E94" i="46"/>
  <c r="H70" i="46"/>
  <c r="K70" i="46"/>
  <c r="C70" i="46"/>
  <c r="C122" i="46" s="1"/>
  <c r="D31" i="46" s="1"/>
  <c r="J70" i="46"/>
  <c r="I70" i="46"/>
  <c r="N70" i="46"/>
  <c r="N78" i="46" s="1"/>
  <c r="N86" i="46" s="1"/>
  <c r="L70" i="46"/>
  <c r="D30" i="46"/>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129" i="51" l="1"/>
  <c r="D29" i="51"/>
  <c r="C130" i="51"/>
  <c r="C129" i="50"/>
  <c r="D29" i="50"/>
  <c r="C130" i="50"/>
  <c r="C127" i="49"/>
  <c r="D29" i="49" s="1"/>
  <c r="D30" i="49"/>
  <c r="C127" i="48"/>
  <c r="D30" i="48"/>
  <c r="C127" i="46"/>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51" l="1"/>
  <c r="D38" i="51"/>
  <c r="C134" i="51"/>
  <c r="C131" i="51"/>
  <c r="D37" i="51"/>
  <c r="C132" i="50"/>
  <c r="D38" i="50"/>
  <c r="C134" i="50"/>
  <c r="C131" i="50"/>
  <c r="D37" i="50"/>
  <c r="C130" i="49"/>
  <c r="D38" i="49" s="1"/>
  <c r="C129" i="49"/>
  <c r="D37" i="49" s="1"/>
  <c r="C129" i="48"/>
  <c r="D29" i="48"/>
  <c r="C130" i="48"/>
  <c r="C129" i="46"/>
  <c r="D29" i="46"/>
  <c r="C130" i="46"/>
  <c r="P5" i="41"/>
  <c r="D39" i="51" l="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D38" i="46"/>
  <c r="D46" i="46" s="1"/>
  <c r="C132" i="46"/>
  <c r="C134" i="46"/>
  <c r="D37" i="46"/>
  <c r="C131" i="46"/>
  <c r="F11" i="31"/>
  <c r="D42" i="51" l="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39" i="46"/>
  <c r="D43" i="46" s="1"/>
  <c r="D40" i="46"/>
  <c r="D41" i="46"/>
  <c r="C135" i="46"/>
  <c r="C136" i="46"/>
  <c r="C137" i="46"/>
  <c r="D51" i="51" l="1"/>
  <c r="D50" i="51" s="1"/>
  <c r="D51" i="50"/>
  <c r="D84" i="50" s="1"/>
  <c r="D86" i="50" s="1"/>
  <c r="D124" i="50" s="1"/>
  <c r="E33" i="50" s="1"/>
  <c r="D49" i="49"/>
  <c r="D68" i="49" s="1"/>
  <c r="D60" i="49"/>
  <c r="D76" i="49"/>
  <c r="D41" i="48"/>
  <c r="D42" i="48"/>
  <c r="D43" i="48"/>
  <c r="D51" i="48" s="1"/>
  <c r="D42" i="46"/>
  <c r="D84" i="46"/>
  <c r="D86" i="46" s="1"/>
  <c r="D124" i="46" s="1"/>
  <c r="E33" i="46" s="1"/>
  <c r="A1" i="33"/>
  <c r="D84" i="51" l="1"/>
  <c r="D86" i="51" s="1"/>
  <c r="D124" i="51" s="1"/>
  <c r="E33" i="51" s="1"/>
  <c r="D48" i="51"/>
  <c r="D60" i="51" s="1"/>
  <c r="D61" i="51" s="1"/>
  <c r="D114" i="51" s="1"/>
  <c r="D76" i="51"/>
  <c r="D77" i="51" s="1"/>
  <c r="D116" i="51" s="1"/>
  <c r="D49" i="51"/>
  <c r="D68" i="51" s="1"/>
  <c r="D69" i="51" s="1"/>
  <c r="D115" i="51" s="1"/>
  <c r="D140" i="51" s="1"/>
  <c r="D50" i="48"/>
  <c r="D48" i="48" s="1"/>
  <c r="D60" i="48" s="1"/>
  <c r="D50" i="50"/>
  <c r="D49" i="50" s="1"/>
  <c r="D68" i="50" s="1"/>
  <c r="D69" i="50" s="1"/>
  <c r="D115" i="50" s="1"/>
  <c r="D140" i="50" s="1"/>
  <c r="D77" i="49"/>
  <c r="D116" i="49" s="1"/>
  <c r="D69" i="49"/>
  <c r="D115" i="49" s="1"/>
  <c r="D140" i="49" s="1"/>
  <c r="D61" i="49"/>
  <c r="D114" i="49" s="1"/>
  <c r="D84" i="48"/>
  <c r="D86" i="48" s="1"/>
  <c r="D124" i="48" s="1"/>
  <c r="E33" i="48" s="1"/>
  <c r="D60" i="46"/>
  <c r="D62" i="46" s="1"/>
  <c r="D121" i="46" s="1"/>
  <c r="D76" i="46"/>
  <c r="D78" i="46" s="1"/>
  <c r="D123" i="46" s="1"/>
  <c r="E32" i="46" s="1"/>
  <c r="D68" i="46"/>
  <c r="D70" i="46" s="1"/>
  <c r="D122" i="46" s="1"/>
  <c r="E31" i="46" s="1"/>
  <c r="H129" i="33"/>
  <c r="I129" i="33"/>
  <c r="J129" i="33"/>
  <c r="K129" i="33"/>
  <c r="L129" i="33"/>
  <c r="D62" i="51" l="1"/>
  <c r="D121" i="51" s="1"/>
  <c r="E30" i="51" s="1"/>
  <c r="D78" i="51"/>
  <c r="D123" i="51" s="1"/>
  <c r="E32" i="51" s="1"/>
  <c r="D70" i="51"/>
  <c r="D122" i="51" s="1"/>
  <c r="E31" i="51" s="1"/>
  <c r="D76" i="48"/>
  <c r="D78" i="48" s="1"/>
  <c r="D123" i="48" s="1"/>
  <c r="E32" i="48" s="1"/>
  <c r="D49" i="48"/>
  <c r="D68" i="48" s="1"/>
  <c r="D70" i="48" s="1"/>
  <c r="D122" i="48" s="1"/>
  <c r="E31" i="48" s="1"/>
  <c r="D70" i="50"/>
  <c r="D122" i="50" s="1"/>
  <c r="E31" i="50" s="1"/>
  <c r="D48" i="50"/>
  <c r="D60" i="50" s="1"/>
  <c r="D61" i="50" s="1"/>
  <c r="D114" i="50" s="1"/>
  <c r="D76" i="50"/>
  <c r="D77" i="50" s="1"/>
  <c r="D116" i="50" s="1"/>
  <c r="D78" i="49"/>
  <c r="D123" i="49" s="1"/>
  <c r="E32" i="49" s="1"/>
  <c r="D70" i="49"/>
  <c r="D122" i="49" s="1"/>
  <c r="E31" i="49" s="1"/>
  <c r="D62" i="49"/>
  <c r="D121" i="49" s="1"/>
  <c r="D61" i="48"/>
  <c r="D114" i="48" s="1"/>
  <c r="D127" i="46"/>
  <c r="E30" i="46"/>
  <c r="C66" i="33"/>
  <c r="D66" i="33"/>
  <c r="D65" i="33"/>
  <c r="C65" i="33"/>
  <c r="D127" i="51" l="1"/>
  <c r="D78" i="50"/>
  <c r="D123" i="50" s="1"/>
  <c r="E32" i="50" s="1"/>
  <c r="D62" i="50"/>
  <c r="D121" i="50" s="1"/>
  <c r="E30" i="50" s="1"/>
  <c r="E30" i="49"/>
  <c r="D127" i="49"/>
  <c r="D62" i="48"/>
  <c r="D121" i="48" s="1"/>
  <c r="D129" i="46"/>
  <c r="E29" i="46"/>
  <c r="D130" i="46"/>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E29" i="51" l="1"/>
  <c r="D129" i="51"/>
  <c r="D130" i="51"/>
  <c r="D127" i="50"/>
  <c r="D129" i="50" s="1"/>
  <c r="D129" i="49"/>
  <c r="E29" i="49"/>
  <c r="D130" i="49"/>
  <c r="E30" i="48"/>
  <c r="D127" i="48"/>
  <c r="D132" i="46"/>
  <c r="E38" i="46"/>
  <c r="E46" i="46" s="1"/>
  <c r="D134" i="46"/>
  <c r="D131" i="46"/>
  <c r="E37" i="46"/>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2" i="51" l="1"/>
  <c r="E38" i="51"/>
  <c r="D134" i="51"/>
  <c r="D131" i="51"/>
  <c r="E37" i="51"/>
  <c r="D130" i="50"/>
  <c r="D132" i="50" s="1"/>
  <c r="E29" i="50"/>
  <c r="D134" i="50"/>
  <c r="D131" i="50"/>
  <c r="E37" i="50"/>
  <c r="E38" i="49"/>
  <c r="D132" i="49"/>
  <c r="D131" i="49"/>
  <c r="D134" i="49"/>
  <c r="E37" i="49"/>
  <c r="E29" i="48"/>
  <c r="D130" i="48"/>
  <c r="D129" i="48"/>
  <c r="E39" i="46"/>
  <c r="E41" i="46" s="1"/>
  <c r="D135" i="46"/>
  <c r="D137" i="46"/>
  <c r="D136" i="46"/>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E39" i="51" l="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E43" i="46"/>
  <c r="E68" i="46" s="1"/>
  <c r="E70" i="46" s="1"/>
  <c r="E122" i="46" s="1"/>
  <c r="F31" i="46" s="1"/>
  <c r="E42" i="46"/>
  <c r="E40" i="46"/>
  <c r="C84" i="33"/>
  <c r="C50" i="33"/>
  <c r="C48" i="33" s="1"/>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E42" i="51" l="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E84" i="46"/>
  <c r="E86" i="46" s="1"/>
  <c r="E124" i="46" s="1"/>
  <c r="F33" i="46" s="1"/>
  <c r="E60" i="46"/>
  <c r="E62" i="46" s="1"/>
  <c r="E121" i="46" s="1"/>
  <c r="E76" i="46"/>
  <c r="E78" i="46" s="1"/>
  <c r="E123" i="46" s="1"/>
  <c r="F32" i="46" s="1"/>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1" i="51" l="1"/>
  <c r="E50" i="51" s="1"/>
  <c r="E84" i="50"/>
  <c r="E86" i="50" s="1"/>
  <c r="E124" i="50" s="1"/>
  <c r="F33" i="50" s="1"/>
  <c r="E40" i="50"/>
  <c r="E60" i="50" s="1"/>
  <c r="E42" i="50"/>
  <c r="E76" i="50" s="1"/>
  <c r="E41" i="50"/>
  <c r="E49" i="50"/>
  <c r="E50" i="49"/>
  <c r="E48" i="49" s="1"/>
  <c r="E60" i="49" s="1"/>
  <c r="E84" i="49"/>
  <c r="E86" i="49" s="1"/>
  <c r="E124" i="49" s="1"/>
  <c r="F33" i="49" s="1"/>
  <c r="E42" i="48"/>
  <c r="E41" i="48"/>
  <c r="E43" i="48"/>
  <c r="E127" i="46"/>
  <c r="F30" i="46"/>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6" i="51" l="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E129" i="46"/>
  <c r="F29" i="46"/>
  <c r="E130" i="46"/>
  <c r="G67" i="33"/>
  <c r="G75" i="33"/>
  <c r="G83" i="33"/>
  <c r="G91" i="33"/>
  <c r="C62" i="33"/>
  <c r="C121" i="33" s="1"/>
  <c r="D30" i="33" s="1"/>
  <c r="E70" i="50" l="1"/>
  <c r="E122" i="50" s="1"/>
  <c r="F31" i="50" s="1"/>
  <c r="E62" i="51"/>
  <c r="E121" i="51" s="1"/>
  <c r="E78" i="51"/>
  <c r="E123" i="51" s="1"/>
  <c r="F32" i="51" s="1"/>
  <c r="E70" i="51"/>
  <c r="E122" i="51" s="1"/>
  <c r="F31" i="51" s="1"/>
  <c r="E50" i="48"/>
  <c r="E48" i="48" s="1"/>
  <c r="E60" i="48" s="1"/>
  <c r="E61" i="48" s="1"/>
  <c r="E114" i="48" s="1"/>
  <c r="E62" i="50"/>
  <c r="E121" i="50" s="1"/>
  <c r="F30" i="50" s="1"/>
  <c r="E78" i="50"/>
  <c r="E123" i="50" s="1"/>
  <c r="F32" i="50" s="1"/>
  <c r="E78" i="49"/>
  <c r="E123" i="49" s="1"/>
  <c r="F32" i="49" s="1"/>
  <c r="E70" i="49"/>
  <c r="E122" i="49" s="1"/>
  <c r="F31" i="49" s="1"/>
  <c r="E62" i="49"/>
  <c r="E121" i="49" s="1"/>
  <c r="E134" i="46"/>
  <c r="E131" i="46"/>
  <c r="F37" i="46"/>
  <c r="E132" i="46"/>
  <c r="F38" i="46"/>
  <c r="F46" i="46" s="1"/>
  <c r="E127" i="51" l="1"/>
  <c r="F30" i="51"/>
  <c r="E76" i="48"/>
  <c r="E78" i="48" s="1"/>
  <c r="E123" i="48" s="1"/>
  <c r="F32" i="48" s="1"/>
  <c r="E49" i="48"/>
  <c r="E68" i="48" s="1"/>
  <c r="E70" i="48" s="1"/>
  <c r="E122" i="48" s="1"/>
  <c r="F31" i="48" s="1"/>
  <c r="E127" i="50"/>
  <c r="E127" i="49"/>
  <c r="F30" i="49"/>
  <c r="E62" i="48"/>
  <c r="E121" i="48" s="1"/>
  <c r="F39" i="46"/>
  <c r="F42" i="46" s="1"/>
  <c r="E137" i="46"/>
  <c r="E135" i="46"/>
  <c r="E136" i="46"/>
  <c r="F29" i="51" l="1"/>
  <c r="E129" i="51"/>
  <c r="E130" i="51"/>
  <c r="E127" i="48"/>
  <c r="E129" i="48" s="1"/>
  <c r="E134" i="48" s="1"/>
  <c r="E129" i="50"/>
  <c r="F29" i="50"/>
  <c r="E130" i="50"/>
  <c r="E129" i="49"/>
  <c r="F29" i="49"/>
  <c r="E130" i="49"/>
  <c r="F30" i="48"/>
  <c r="F43" i="46"/>
  <c r="F84" i="46" s="1"/>
  <c r="F86" i="46" s="1"/>
  <c r="F124" i="46" s="1"/>
  <c r="G33" i="46" s="1"/>
  <c r="F41" i="46"/>
  <c r="F40" i="46"/>
  <c r="E132" i="51" l="1"/>
  <c r="F38" i="51"/>
  <c r="E131" i="51"/>
  <c r="F37" i="51"/>
  <c r="E134" i="51"/>
  <c r="F37" i="48"/>
  <c r="F29" i="48"/>
  <c r="E130" i="48"/>
  <c r="E132" i="48" s="1"/>
  <c r="E131" i="48"/>
  <c r="E137" i="48" s="1"/>
  <c r="E132" i="50"/>
  <c r="F38" i="50"/>
  <c r="E134" i="50"/>
  <c r="E131" i="50"/>
  <c r="F37" i="50"/>
  <c r="F38" i="49"/>
  <c r="E132" i="49"/>
  <c r="E134" i="49"/>
  <c r="F37" i="49"/>
  <c r="E131" i="49"/>
  <c r="F68" i="46"/>
  <c r="F70" i="46" s="1"/>
  <c r="F122" i="46" s="1"/>
  <c r="G31" i="46" s="1"/>
  <c r="F39" i="51" l="1"/>
  <c r="F44" i="51" s="1"/>
  <c r="F92" i="51" s="1"/>
  <c r="F94" i="51" s="1"/>
  <c r="F125" i="51" s="1"/>
  <c r="E137" i="51"/>
  <c r="E136" i="51"/>
  <c r="E135" i="51"/>
  <c r="F46" i="51"/>
  <c r="E135" i="48"/>
  <c r="E136" i="48"/>
  <c r="F38" i="48"/>
  <c r="F39" i="48" s="1"/>
  <c r="F43" i="48" s="1"/>
  <c r="F51" i="48" s="1"/>
  <c r="F84" i="48" s="1"/>
  <c r="F86" i="48" s="1"/>
  <c r="F124" i="48" s="1"/>
  <c r="G33" i="48" s="1"/>
  <c r="F39" i="50"/>
  <c r="F42" i="50" s="1"/>
  <c r="E137" i="50"/>
  <c r="E135" i="50"/>
  <c r="E136" i="50"/>
  <c r="F46" i="50"/>
  <c r="F46" i="49"/>
  <c r="F39" i="49"/>
  <c r="F42" i="49" s="1"/>
  <c r="E135" i="49"/>
  <c r="E137" i="49"/>
  <c r="E136" i="49"/>
  <c r="F76" i="46"/>
  <c r="F78" i="46" s="1"/>
  <c r="F123" i="46" s="1"/>
  <c r="G32" i="46" s="1"/>
  <c r="F60" i="46"/>
  <c r="F62" i="46" s="1"/>
  <c r="F121" i="46" s="1"/>
  <c r="F127" i="46" s="1"/>
  <c r="F41" i="51" l="1"/>
  <c r="F40" i="51"/>
  <c r="F42" i="51"/>
  <c r="F43" i="51"/>
  <c r="F41" i="48"/>
  <c r="F40" i="48"/>
  <c r="F42" i="48"/>
  <c r="F69" i="48"/>
  <c r="F115" i="48" s="1"/>
  <c r="F140" i="48" s="1"/>
  <c r="F46" i="48"/>
  <c r="F77" i="48" s="1"/>
  <c r="F116" i="48" s="1"/>
  <c r="F40" i="50"/>
  <c r="F43" i="50"/>
  <c r="F51" i="50" s="1"/>
  <c r="F41" i="50"/>
  <c r="F40" i="49"/>
  <c r="F41" i="49"/>
  <c r="F43" i="49"/>
  <c r="G30" i="46"/>
  <c r="F129" i="46"/>
  <c r="G29" i="46"/>
  <c r="F130" i="46"/>
  <c r="F51" i="51" l="1"/>
  <c r="F50" i="51" s="1"/>
  <c r="F50" i="48"/>
  <c r="F48" i="48" s="1"/>
  <c r="F60" i="48" s="1"/>
  <c r="F61" i="48" s="1"/>
  <c r="F114" i="48" s="1"/>
  <c r="F50" i="50"/>
  <c r="F48" i="50" s="1"/>
  <c r="F60" i="50" s="1"/>
  <c r="F51" i="49"/>
  <c r="F84" i="50"/>
  <c r="F86" i="50" s="1"/>
  <c r="F124" i="50" s="1"/>
  <c r="G33" i="50" s="1"/>
  <c r="F132" i="46"/>
  <c r="G38" i="46"/>
  <c r="G46" i="46" s="1"/>
  <c r="F134" i="46"/>
  <c r="F131" i="46"/>
  <c r="G37" i="46"/>
  <c r="G39" i="46" s="1"/>
  <c r="F48" i="51" l="1"/>
  <c r="F60" i="51" s="1"/>
  <c r="F61" i="51" s="1"/>
  <c r="F114" i="51" s="1"/>
  <c r="F76" i="51"/>
  <c r="F77" i="51" s="1"/>
  <c r="F116" i="51" s="1"/>
  <c r="F49" i="51"/>
  <c r="F68" i="51" s="1"/>
  <c r="F69" i="51" s="1"/>
  <c r="F115" i="51" s="1"/>
  <c r="F140" i="51" s="1"/>
  <c r="F84" i="51"/>
  <c r="F86" i="51" s="1"/>
  <c r="F124" i="51" s="1"/>
  <c r="G33" i="51" s="1"/>
  <c r="F76" i="48"/>
  <c r="F78" i="48" s="1"/>
  <c r="F123" i="48" s="1"/>
  <c r="G32" i="48" s="1"/>
  <c r="F49" i="48"/>
  <c r="F68" i="48" s="1"/>
  <c r="F70" i="48" s="1"/>
  <c r="F122" i="48" s="1"/>
  <c r="G31" i="48" s="1"/>
  <c r="F76" i="50"/>
  <c r="F77" i="50" s="1"/>
  <c r="F116" i="50" s="1"/>
  <c r="F62" i="48"/>
  <c r="F121" i="48" s="1"/>
  <c r="G30" i="48" s="1"/>
  <c r="F49" i="50"/>
  <c r="F68" i="50" s="1"/>
  <c r="F69" i="50" s="1"/>
  <c r="F115" i="50" s="1"/>
  <c r="F140" i="50" s="1"/>
  <c r="F50" i="49"/>
  <c r="F48" i="49" s="1"/>
  <c r="F60" i="49" s="1"/>
  <c r="F61" i="49" s="1"/>
  <c r="F114" i="49" s="1"/>
  <c r="F84" i="49"/>
  <c r="F86" i="49" s="1"/>
  <c r="F124" i="49" s="1"/>
  <c r="G33" i="49" s="1"/>
  <c r="F61" i="50"/>
  <c r="F114" i="50" s="1"/>
  <c r="G41" i="46"/>
  <c r="G40" i="46"/>
  <c r="G43" i="46"/>
  <c r="G42" i="46"/>
  <c r="F137" i="46"/>
  <c r="F136" i="46"/>
  <c r="F135" i="46"/>
  <c r="F62" i="51" l="1"/>
  <c r="F121" i="51" s="1"/>
  <c r="G30" i="51" s="1"/>
  <c r="F78" i="51"/>
  <c r="F123" i="51" s="1"/>
  <c r="G32" i="51" s="1"/>
  <c r="F70" i="51"/>
  <c r="F122" i="51" s="1"/>
  <c r="G31" i="51" s="1"/>
  <c r="F127" i="48"/>
  <c r="G29" i="48" s="1"/>
  <c r="F76" i="49"/>
  <c r="F77" i="49" s="1"/>
  <c r="F116" i="49" s="1"/>
  <c r="F49" i="49"/>
  <c r="F68" i="49" s="1"/>
  <c r="F69" i="49" s="1"/>
  <c r="F115" i="49" s="1"/>
  <c r="F140" i="49" s="1"/>
  <c r="F62" i="50"/>
  <c r="F121" i="50" s="1"/>
  <c r="G30" i="50" s="1"/>
  <c r="F78" i="50"/>
  <c r="F123" i="50" s="1"/>
  <c r="G32" i="50" s="1"/>
  <c r="F70" i="50"/>
  <c r="F122" i="50" s="1"/>
  <c r="G31" i="50" s="1"/>
  <c r="F62" i="49"/>
  <c r="F121" i="49" s="1"/>
  <c r="G84" i="46"/>
  <c r="G86" i="46" s="1"/>
  <c r="G124" i="46"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29" i="48" l="1"/>
  <c r="G37" i="48" s="1"/>
  <c r="F127" i="51"/>
  <c r="F130" i="48"/>
  <c r="F132" i="48" s="1"/>
  <c r="F70" i="49"/>
  <c r="F122" i="49" s="1"/>
  <c r="G31" i="49" s="1"/>
  <c r="F127" i="50"/>
  <c r="F78" i="49"/>
  <c r="F123" i="49" s="1"/>
  <c r="G32" i="49" s="1"/>
  <c r="G30" i="49"/>
  <c r="G60" i="46"/>
  <c r="G62" i="46" s="1"/>
  <c r="G121" i="46" s="1"/>
  <c r="G76" i="46"/>
  <c r="G78" i="46" s="1"/>
  <c r="G123" i="46" s="1"/>
  <c r="G68" i="46"/>
  <c r="G70" i="46" s="1"/>
  <c r="G122" i="46" s="1"/>
  <c r="D38" i="16"/>
  <c r="D37" i="16" s="1"/>
  <c r="C37" i="16"/>
  <c r="C32" i="16"/>
  <c r="C33" i="16"/>
  <c r="C55" i="16" s="1"/>
  <c r="D26" i="16" s="1"/>
  <c r="C34" i="16"/>
  <c r="C47" i="16" s="1"/>
  <c r="C56" i="16" s="1"/>
  <c r="D51" i="16"/>
  <c r="E22" i="16"/>
  <c r="F134" i="48" l="1"/>
  <c r="F131" i="48"/>
  <c r="F136" i="48" s="1"/>
  <c r="G38" i="48"/>
  <c r="G69" i="48" s="1"/>
  <c r="G115" i="48" s="1"/>
  <c r="G140" i="48" s="1"/>
  <c r="F129" i="51"/>
  <c r="G29" i="51"/>
  <c r="F130" i="51"/>
  <c r="F129" i="50"/>
  <c r="G29" i="50"/>
  <c r="F130" i="50"/>
  <c r="F127" i="49"/>
  <c r="F129" i="49" s="1"/>
  <c r="G39" i="48"/>
  <c r="G43" i="48" s="1"/>
  <c r="G51" i="48" s="1"/>
  <c r="G127" i="46"/>
  <c r="D50" i="16"/>
  <c r="D60" i="16" s="1"/>
  <c r="E59" i="16"/>
  <c r="E23" i="16"/>
  <c r="E35" i="16"/>
  <c r="E36" i="16" s="1"/>
  <c r="F22" i="16"/>
  <c r="E51" i="16"/>
  <c r="G46" i="48" l="1"/>
  <c r="G77" i="48" s="1"/>
  <c r="G116" i="48" s="1"/>
  <c r="F137" i="48"/>
  <c r="F135" i="48"/>
  <c r="F132" i="51"/>
  <c r="G38" i="51"/>
  <c r="F134" i="51"/>
  <c r="F131" i="51"/>
  <c r="G37" i="51"/>
  <c r="F130" i="49"/>
  <c r="F132" i="49" s="1"/>
  <c r="F132" i="50"/>
  <c r="G38" i="50"/>
  <c r="F134" i="50"/>
  <c r="F131" i="50"/>
  <c r="G37" i="50"/>
  <c r="G29" i="49"/>
  <c r="F131" i="49"/>
  <c r="F134" i="49"/>
  <c r="G37" i="49"/>
  <c r="G42" i="48"/>
  <c r="G40" i="48"/>
  <c r="G41" i="48"/>
  <c r="G84" i="48"/>
  <c r="G86" i="48" s="1"/>
  <c r="G124" i="48" s="1"/>
  <c r="G129" i="46"/>
  <c r="G130" i="46"/>
  <c r="G132" i="46" s="1"/>
  <c r="C49" i="16"/>
  <c r="C54" i="16" s="1"/>
  <c r="E38" i="16"/>
  <c r="E37" i="16" s="1"/>
  <c r="F35" i="16"/>
  <c r="G22" i="16"/>
  <c r="F51" i="16"/>
  <c r="F23" i="16"/>
  <c r="F36" i="16"/>
  <c r="F38" i="16" s="1"/>
  <c r="F59" i="16"/>
  <c r="G50" i="48" l="1"/>
  <c r="G48" i="48" s="1"/>
  <c r="G60" i="48" s="1"/>
  <c r="G39" i="51"/>
  <c r="G44" i="51" s="1"/>
  <c r="G92" i="51" s="1"/>
  <c r="G94" i="51" s="1"/>
  <c r="G125" i="51" s="1"/>
  <c r="F137" i="51"/>
  <c r="F136" i="51"/>
  <c r="F135" i="51"/>
  <c r="G46" i="51"/>
  <c r="G39" i="50"/>
  <c r="G42" i="50" s="1"/>
  <c r="G38" i="49"/>
  <c r="G46" i="49" s="1"/>
  <c r="F137" i="50"/>
  <c r="F135" i="50"/>
  <c r="F136" i="50"/>
  <c r="G46" i="50"/>
  <c r="F137" i="49"/>
  <c r="F136" i="49"/>
  <c r="F135" i="49"/>
  <c r="G131" i="46"/>
  <c r="G134" i="46"/>
  <c r="D25" i="16"/>
  <c r="C57" i="16"/>
  <c r="D24" i="16" s="1"/>
  <c r="D29" i="16" s="1"/>
  <c r="F37" i="16"/>
  <c r="G51" i="16"/>
  <c r="H22" i="16"/>
  <c r="G35" i="16"/>
  <c r="G23" i="16"/>
  <c r="G36" i="16"/>
  <c r="G59" i="16"/>
  <c r="G76" i="48" l="1"/>
  <c r="G78" i="48" s="1"/>
  <c r="G123" i="48" s="1"/>
  <c r="G49" i="48"/>
  <c r="G68" i="48" s="1"/>
  <c r="G70" i="48" s="1"/>
  <c r="G122" i="48" s="1"/>
  <c r="G42" i="51"/>
  <c r="G40" i="51"/>
  <c r="G43" i="51"/>
  <c r="G41" i="51"/>
  <c r="G39" i="49"/>
  <c r="G43" i="49" s="1"/>
  <c r="G51" i="49" s="1"/>
  <c r="G50" i="49" s="1"/>
  <c r="G48" i="49" s="1"/>
  <c r="G40" i="50"/>
  <c r="G41" i="50"/>
  <c r="G43" i="50"/>
  <c r="G61" i="48"/>
  <c r="G114" i="48" s="1"/>
  <c r="G137" i="46"/>
  <c r="G136" i="46"/>
  <c r="G135" i="46"/>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51" l="1"/>
  <c r="G50" i="51" s="1"/>
  <c r="G84" i="49"/>
  <c r="G86" i="49" s="1"/>
  <c r="G124" i="49" s="1"/>
  <c r="H33" i="49" s="1"/>
  <c r="G40" i="49"/>
  <c r="G60" i="49" s="1"/>
  <c r="G42" i="49"/>
  <c r="G76" i="49" s="1"/>
  <c r="G41" i="49"/>
  <c r="G51" i="50"/>
  <c r="G49" i="49"/>
  <c r="G62" i="48"/>
  <c r="G121" i="48" s="1"/>
  <c r="G127" i="48" s="1"/>
  <c r="D32" i="16"/>
  <c r="D45" i="16" s="1"/>
  <c r="D49" i="16" s="1"/>
  <c r="D54" i="16" s="1"/>
  <c r="D34" i="16"/>
  <c r="D47" i="16" s="1"/>
  <c r="D56" i="16" s="1"/>
  <c r="D33" i="16"/>
  <c r="D46" i="16" s="1"/>
  <c r="D55" i="16" s="1"/>
  <c r="E26" i="16" s="1"/>
  <c r="E50" i="16" s="1"/>
  <c r="E60" i="16" s="1"/>
  <c r="H38" i="16"/>
  <c r="H37" i="16" s="1"/>
  <c r="I23" i="16"/>
  <c r="I59" i="16"/>
  <c r="I51" i="16"/>
  <c r="I35" i="16"/>
  <c r="I36" i="16" s="1"/>
  <c r="J22" i="16"/>
  <c r="G48" i="51" l="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G130" i="48"/>
  <c r="G132" i="48" s="1"/>
  <c r="G129" i="48"/>
  <c r="I38" i="16"/>
  <c r="I37" i="16" s="1"/>
  <c r="D57" i="16"/>
  <c r="E24" i="16" s="1"/>
  <c r="E25" i="16"/>
  <c r="J36" i="16"/>
  <c r="J38" i="16" s="1"/>
  <c r="J23" i="16"/>
  <c r="J35" i="16"/>
  <c r="J59" i="16"/>
  <c r="K22" i="16"/>
  <c r="J51" i="16"/>
  <c r="G62" i="51" l="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G131" i="48"/>
  <c r="G134" i="48"/>
  <c r="J37" i="16"/>
  <c r="K36" i="16"/>
  <c r="K59" i="16"/>
  <c r="K23" i="16"/>
  <c r="K35" i="16"/>
  <c r="L22" i="16"/>
  <c r="K51" i="16"/>
  <c r="E27" i="16"/>
  <c r="E29" i="16"/>
  <c r="E31" i="16" s="1"/>
  <c r="E30" i="16"/>
  <c r="G127" i="51" l="1"/>
  <c r="G78" i="50"/>
  <c r="G123" i="50" s="1"/>
  <c r="H32" i="50" s="1"/>
  <c r="G62" i="50"/>
  <c r="G121" i="50" s="1"/>
  <c r="H30" i="50" s="1"/>
  <c r="G70" i="50"/>
  <c r="G122" i="50" s="1"/>
  <c r="H31" i="50" s="1"/>
  <c r="G127" i="49"/>
  <c r="H30" i="49"/>
  <c r="G137" i="48"/>
  <c r="G136" i="48"/>
  <c r="G135" i="48"/>
  <c r="L36" i="16"/>
  <c r="L59" i="16"/>
  <c r="L23" i="16"/>
  <c r="L35" i="16"/>
  <c r="L38" i="16"/>
  <c r="L51" i="16"/>
  <c r="L37" i="16"/>
  <c r="K38" i="16"/>
  <c r="K37" i="16" s="1"/>
  <c r="E33" i="16"/>
  <c r="E46" i="16" s="1"/>
  <c r="E55" i="16" s="1"/>
  <c r="F26" i="16" s="1"/>
  <c r="E32" i="16"/>
  <c r="E45" i="16" s="1"/>
  <c r="E34" i="16"/>
  <c r="E47" i="16" s="1"/>
  <c r="E56" i="16" s="1"/>
  <c r="G129" i="51" l="1"/>
  <c r="H29" i="51"/>
  <c r="G130" i="51"/>
  <c r="G127" i="50"/>
  <c r="G129" i="50" s="1"/>
  <c r="G129" i="49"/>
  <c r="H37" i="49" s="1"/>
  <c r="H29" i="49"/>
  <c r="G130" i="49"/>
  <c r="E49" i="16"/>
  <c r="E54" i="16" s="1"/>
  <c r="F50" i="16"/>
  <c r="F60" i="16" s="1"/>
  <c r="H38" i="51" l="1"/>
  <c r="G132" i="51"/>
  <c r="G131" i="51"/>
  <c r="H37" i="51"/>
  <c r="G134" i="51"/>
  <c r="G130" i="50"/>
  <c r="G132" i="50" s="1"/>
  <c r="H29" i="50"/>
  <c r="G131" i="50"/>
  <c r="G134" i="50"/>
  <c r="H37" i="50"/>
  <c r="G132" i="49"/>
  <c r="H38" i="49"/>
  <c r="G131" i="49"/>
  <c r="G134" i="49"/>
  <c r="E57" i="16"/>
  <c r="F24" i="16" s="1"/>
  <c r="F25" i="16"/>
  <c r="H39" i="51" l="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H46" i="50" l="1"/>
  <c r="H40" i="51"/>
  <c r="H43" i="51"/>
  <c r="H41" i="51"/>
  <c r="H42" i="51"/>
  <c r="H42" i="50"/>
  <c r="H43" i="50"/>
  <c r="H51" i="50" s="1"/>
  <c r="H41" i="50"/>
  <c r="H43" i="49"/>
  <c r="H40" i="49"/>
  <c r="H41" i="49"/>
  <c r="F32" i="16"/>
  <c r="F45" i="16" s="1"/>
  <c r="F34" i="16"/>
  <c r="F47" i="16" s="1"/>
  <c r="F56" i="16" s="1"/>
  <c r="F33" i="16"/>
  <c r="F46" i="16" s="1"/>
  <c r="F55" i="16" s="1"/>
  <c r="G26" i="16" s="1"/>
  <c r="H51" i="51" l="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L39" i="51" s="1"/>
  <c r="L44" i="51" s="1"/>
  <c r="L92" i="51" s="1"/>
  <c r="L94" i="51" s="1"/>
  <c r="L125" i="51" s="1"/>
  <c r="K131" i="51"/>
  <c r="K78" i="50"/>
  <c r="K123" i="50" s="1"/>
  <c r="L32" i="50" s="1"/>
  <c r="K69" i="50"/>
  <c r="K115" i="50" s="1"/>
  <c r="K140" i="50" s="1"/>
  <c r="K61" i="50"/>
  <c r="K114" i="50" s="1"/>
  <c r="K127" i="49"/>
  <c r="N13" i="2"/>
  <c r="O13" i="2"/>
  <c r="M13" i="2"/>
  <c r="K137" i="51" l="1"/>
  <c r="K135" i="51"/>
  <c r="K136" i="51"/>
  <c r="L41" i="51"/>
  <c r="L43" i="51"/>
  <c r="L51" i="51" s="1"/>
  <c r="L42" i="51"/>
  <c r="L40" i="51"/>
  <c r="L46" i="51"/>
  <c r="K62" i="50"/>
  <c r="K121" i="50" s="1"/>
  <c r="L30" i="50" s="1"/>
  <c r="K70" i="50"/>
  <c r="K122" i="50" s="1"/>
  <c r="L31" i="50" s="1"/>
  <c r="K130" i="49"/>
  <c r="L29" i="49"/>
  <c r="K129" i="49"/>
  <c r="P13" i="2"/>
  <c r="L50" i="51" l="1"/>
  <c r="L84" i="51"/>
  <c r="L86" i="51" s="1"/>
  <c r="L124" i="51" s="1"/>
  <c r="K127" i="50"/>
  <c r="L37" i="49"/>
  <c r="K131" i="49"/>
  <c r="K134" i="49"/>
  <c r="K132" i="49"/>
  <c r="L38" i="49"/>
  <c r="L48" i="51" l="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49" i="33" s="1"/>
  <c r="E48" i="33" l="1"/>
  <c r="E76" i="33"/>
  <c r="E84" i="33"/>
  <c r="E117" i="33" s="1"/>
  <c r="E116" i="33"/>
  <c r="E68" i="33" l="1"/>
  <c r="E70" i="33" s="1"/>
  <c r="E122" i="33" s="1"/>
  <c r="F31" i="33" s="1"/>
  <c r="E86" i="33"/>
  <c r="E124" i="33" s="1"/>
  <c r="F33" i="33" s="1"/>
  <c r="E78" i="33"/>
  <c r="E123" i="33" s="1"/>
  <c r="F32" i="33" s="1"/>
  <c r="E60" i="33"/>
  <c r="E62" i="33" s="1"/>
  <c r="E121" i="33" s="1"/>
  <c r="F30" i="33" s="1"/>
  <c r="E127" i="33" l="1"/>
  <c r="F29" i="33" s="1"/>
  <c r="E129" i="33" l="1"/>
  <c r="E131" i="33" s="1"/>
  <c r="E130" i="33"/>
  <c r="E132" i="33" s="1"/>
  <c r="E136" i="33" l="1"/>
  <c r="E137" i="33"/>
  <c r="E135" i="33"/>
  <c r="F38" i="33"/>
  <c r="F46" i="33" s="1"/>
  <c r="E134" i="33"/>
  <c r="F37" i="33"/>
  <c r="F39" i="33" s="1"/>
  <c r="F40" i="33" s="1"/>
  <c r="F41" i="33" l="1"/>
  <c r="F44" i="33"/>
  <c r="F92" i="33" s="1"/>
  <c r="F42" i="33"/>
  <c r="F43" i="33"/>
  <c r="F51" i="33" s="1"/>
  <c r="F50" i="33" l="1"/>
  <c r="F49" i="33" s="1"/>
  <c r="F94" i="33"/>
  <c r="F125" i="33" s="1"/>
  <c r="G34" i="33" s="1"/>
  <c r="F48" i="33" l="1"/>
  <c r="F76" i="33"/>
  <c r="F84" i="33"/>
  <c r="F117" i="33" l="1"/>
  <c r="F86" i="33" l="1"/>
  <c r="F124" i="33" s="1"/>
  <c r="G33" i="33" s="1"/>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s="1"/>
  <c r="G42" i="33" s="1"/>
  <c r="G40" i="33" l="1"/>
  <c r="G44" i="33"/>
  <c r="G92" i="33" s="1"/>
  <c r="G43" i="33"/>
  <c r="G51" i="33" s="1"/>
  <c r="G41" i="33"/>
  <c r="G50" i="33" l="1"/>
  <c r="G49" i="33" s="1"/>
  <c r="G94" i="33"/>
  <c r="G125" i="33" s="1"/>
  <c r="G48" i="33" l="1"/>
  <c r="G84" i="33"/>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<sst xmlns="http://schemas.openxmlformats.org/spreadsheetml/2006/main" count="1090" uniqueCount="351">
  <si>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</si>
  <si>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</si>
  <si>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</si>
  <si>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</si>
  <si>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</si>
  <si>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</si>
  <si>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</si>
  <si>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</si>
  <si>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</si>
  <si>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</si>
  <si>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</si>
  <si>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</si>
  <si>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</si>
  <si>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</si>
  <si>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</si>
  <si>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</si>
  <si>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</si>
  <si>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</si>
  <si>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</si>
  <si>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</si>
  <si>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</si>
  <si>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</si>
  <si>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</si>
  <si>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</si>
  <si>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</si>
  <si>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</si>
  <si>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</si>
  <si>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</si>
  <si>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</si>
  <si>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</si>
  <si>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</si>
  <si>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</si>
  <si>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</si>
  <si>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</si>
  <si>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</si>
  <si>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</si>
  <si>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</si>
  <si>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</si>
  <si>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</si>
  <si>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</si>
  <si>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</si>
  <si>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</si>
  <si>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</si>
  <si>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</si>
  <si>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</si>
  <si>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</si>
  <si>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</si>
  <si>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</si>
  <si>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</si>
  <si>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</si>
  <si>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</si>
  <si>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</si>
  <si>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</si>
  <si>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</si>
  <si>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</si>
  <si>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</si>
  <si>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</si>
  <si>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</si>
  <si>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</si>
  <si>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</si>
  <si>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</si>
  <si>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</si>
  <si>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</si>
  <si>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</si>
  <si>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</si>
  <si>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</si>
  <si>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</si>
  <si>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</si>
  <si>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</si>
  <si>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</si>
  <si>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</si>
  <si>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</si>
  <si>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</si>
  <si>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</si>
  <si>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</si>
  <si>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</si>
  <si>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</si>
  <si>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</si>
  <si>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</si>
  <si>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</si>
  <si>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</si>
  <si>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</si>
  <si>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</si>
  <si>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</si>
  <si>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</si>
  <si>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</si>
  <si>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</si>
  <si>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</si>
  <si>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</si>
  <si>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</si>
  <si>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</si>
  <si>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</si>
  <si>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</si>
  <si>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</si>
  <si>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</si>
  <si>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</si>
  <si>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</si>
  <si>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</si>
  <si>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</si>
  <si>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</si>
  <si>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</si>
  <si>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</si>
  <si>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</si>
  <si>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</si>
  <si>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</si>
  <si>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</si>
  <si>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</si>
  <si>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</si>
  <si>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</si>
  <si>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</si>
  <si>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</si>
  <si>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</si>
  <si>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</si>
  <si>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</si>
  <si>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</si>
  <si>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</si>
  <si>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</si>
  <si>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</si>
  <si>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</si>
  <si>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</si>
  <si>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</si>
  <si>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</si>
  <si>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</si>
  <si>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</si>
  <si>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</si>
  <si>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</si>
  <si>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</si>
  <si>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</si>
  <si>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</si>
  <si>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</si>
  <si>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</si>
  <si>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</si>
  <si>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</si>
  <si>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</si>
  <si>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</si>
  <si>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</si>
  <si>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</si>
  <si>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</si>
  <si>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</si>
  <si>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</si>
  <si>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</si>
  <si>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</si>
  <si>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</si>
  <si>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</si>
  <si>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</si>
  <si>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</si>
  <si>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</si>
  <si>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</si>
  <si>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</si>
  <si>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</si>
  <si>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</si>
  <si>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</si>
  <si>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</si>
  <si>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</si>
  <si>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</si>
  <si>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</si>
  <si>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</si>
  <si>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</si>
  <si>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</si>
  <si>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</si>
  <si>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</si>
  <si>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</si>
  <si>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</si>
  <si>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</si>
  <si>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</si>
  <si>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</si>
  <si>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</si>
  <si>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</si>
  <si>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</si>
  <si>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</si>
  <si>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</si>
  <si>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</si>
  <si>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</si>
  <si>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</si>
  <si>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</si>
  <si>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</si>
  <si>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</si>
  <si>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</si>
  <si>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</si>
  <si>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</si>
  <si>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</si>
  <si>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</si>
  <si>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</si>
  <si>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</si>
  <si>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</si>
  <si>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</si>
  <si>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</si>
  <si>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</si>
  <si>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</si>
  <si>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</si>
  <si>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</si>
  <si>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</si>
  <si>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</si>
  <si>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</si>
  <si>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</si>
  <si>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</si>
  <si>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</si>
  <si>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</si>
  <si>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</si>
  <si>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</si>
  <si>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</si>
  <si>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</si>
  <si>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</si>
  <si>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</si>
  <si>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</si>
  <si>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</si>
  <si>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</si>
  <si>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</si>
  <si>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</si>
  <si>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</si>
  <si>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</si>
  <si>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</si>
  <si>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</si>
  <si>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</si>
  <si>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</si>
  <si>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</si>
  <si>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</si>
  <si>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</si>
  <si>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</si>
  <si>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</si>
  <si>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</si>
  <si>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</si>
  <si>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</si>
  <si>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</si>
  <si>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</si>
  <si>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</si>
  <si>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</si>
  <si>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</si>
  <si>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</si>
  <si>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</si>
  <si>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</si>
  <si>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</si>
  <si>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</si>
  <si>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</si>
  <si>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</si>
  <si>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</si>
  <si>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</si>
  <si>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</si>
  <si>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</si>
  <si>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</si>
  <si>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</si>
  <si>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</si>
  <si>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</si>
  <si>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</si>
  <si>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</si>
  <si>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</si>
  <si>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</si>
  <si>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</si>
  <si>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</si>
  <si>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</si>
  <si>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</si>
  <si>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</si>
  <si>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</si>
  <si>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</si>
  <si>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</si>
  <si>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</si>
  <si>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</si>
  <si>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</si>
  <si>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</si>
  <si>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</si>
  <si>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</si>
  <si>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</si>
  <si>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</si>
  <si>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</si>
  <si>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</si>
  <si>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Account for join power revenues from Mead and Powell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</si>
  <si>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</si>
  <si>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</si>
  <si>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</si>
  <si>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</si>
  <si>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</si>
  <si>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</si>
  <si>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</si>
  <si>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</si>
  <si>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</si>
  <si>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</si>
  <si>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</si>
  <si>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</si>
  <si>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</si>
  <si>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</si>
  <si>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</si>
  <si>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</si>
  <si>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</si>
  <si>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</si>
  <si>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</si>
  <si>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</si>
  <si>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</si>
  <si>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</si>
  <si>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</si>
  <si>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</si>
  <si>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</si>
  <si>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</si>
  <si>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</si>
  <si>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</si>
  <si>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</si>
  <si>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</si>
  <si>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</si>
  <si>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</si>
  <si>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</si>
  <si>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</si>
  <si>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</si>
  <si>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</si>
  <si>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</si>
  <si>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</si>
  <si>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</si>
  <si>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</si>
  <si>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</si>
  <si>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</si>
  <si>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</si>
  <si>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</si>
  <si>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</si>
  <si>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</si>
  <si>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</si>
  <si>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</si>
  <si>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</si>
  <si>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</si>
  <si>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</si>
  <si>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</si>
  <si>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</si>
  <si>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</si>
  <si>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</si>
  <si>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</si>
  <si>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</si>
  <si>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</si>
  <si>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</si>
  <si>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</si>
  <si>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</si>
  <si>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</si>
  <si>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</si>
  <si>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</si>
  <si>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</si>
  <si>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</si>
  <si>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</si>
  <si>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</si>
  <si>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</si>
  <si>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r>
      <t>The purpose of this numerical model is to promote thought and discussion about the renegotiations of the 2007 Colorado River Interim Guidelines and th</t>
    </r>
    <r>
      <rPr>
        <sz val="11"/>
        <color theme="1"/>
        <rFont val="Calibri"/>
        <family val="2"/>
        <scheme val="minor"/>
      </rPr>
      <t>e</t>
    </r>
    <r>
      <rPr>
        <b/>
        <sz val="11"/>
        <color theme="1"/>
        <rFont val="Calibri"/>
        <family val="2"/>
        <scheme val="minor"/>
      </rPr>
      <t xml:space="preserve"> 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a shrinking pie (lose-lose) environmental conflict -- the Colorado River basin in drought -- into expanding pie (win-win) arrangements?</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</si>
  <si>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</si>
  <si>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</si>
  <si>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</si>
  <si>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their year-to-year water consumption and conservation decsions while they track other players' choices and monitor combined and individual reservoir storage.</t>
    </r>
  </si>
  <si>
    <t>Use either solo (play all the parties) or with other people (each person playes one or more party).</t>
  </si>
  <si>
    <t>On the new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</si>
  <si>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or may not reveal the hydrologic scenario to the players. See HydrologicScenarios worksheet for some potential hydrologies.</t>
    </r>
  </si>
  <si>
    <t>Enter reservoir evaporation rates, storating storages, and protect elevations for Lake Powell and Lake Mead in Rows 20-23.</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</si>
  <si>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C26, </t>
    </r>
    <r>
      <rPr>
        <b/>
        <sz val="11"/>
        <color theme="1"/>
        <rFont val="Calibri"/>
        <family val="2"/>
        <scheme val="minor"/>
      </rPr>
      <t>Grand Canyon tributary inflow</t>
    </r>
    <r>
      <rPr>
        <sz val="11"/>
        <color theme="1"/>
        <rFont val="Calibri"/>
        <family val="2"/>
        <scheme val="minor"/>
      </rPr>
      <t xml:space="preserve"> in Cell C27, and Havasu/Parker evaporation and evapotranspiration in Cell C28.</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</si>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</sst>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8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1" fillId="8"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8" borderId="9" xfId="0" applyFont="1" applyFill="1" applyBorder="1" applyAlignment="1">
      <alignment horizontal="center" vertical="center"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6" xfId="3" applyNumberFormat="1" applyBorder="1" applyAlignment="1">
      <alignment horizontal="center"/>
    </xf>
    <xf numFmtId="2" fontId="4" fillId="3" borderId="16" xfId="3" applyNumberFormat="1" applyBorder="1" applyAlignment="1">
      <alignment horizontal="center"/>
    </xf>
    <xf numFmtId="164" fontId="4" fillId="3" borderId="17"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0" fillId="14" borderId="9" xfId="10" applyFont="1" applyBorder="1" applyAlignment="1">
      <alignment horizontal="center"/>
    </xf>
    <xf numFmtId="0" fontId="2" fillId="14" borderId="9" xfId="10" applyBorder="1" applyAlignment="1">
      <alignment horizontal="center"/>
    </xf>
    <xf numFmtId="0" fontId="2" fillId="14" borderId="9" xfId="10" applyBorder="1" applyAlignment="1">
      <alignment horizontal="center"/>
    </xf>
    <xf numFmtId="0" fontId="2" fillId="14" borderId="9" xfId="10" applyBorder="1" applyAlignment="1">
      <alignment horizontal="left"/>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0" fontId="0" fillId="14" borderId="9" xfId="10" applyFont="1" applyBorder="1" applyAlignment="1">
      <alignment horizontal="left"/>
    </xf>
    <xf numFmtId="0" fontId="1" fillId="14" borderId="9" xfId="10" applyFont="1" applyBorder="1" applyAlignment="1">
      <alignment horizontal="center"/>
    </xf>
    <xf numFmtId="0" fontId="9" fillId="5" borderId="9" xfId="6" applyFont="1" applyBorder="1" applyAlignment="1">
      <alignment horizontal="center"/>
    </xf>
    <xf numFmtId="0" fontId="2" fillId="16" borderId="9" xfId="12"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6"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0" fillId="0" borderId="0" xfId="0" applyAlignment="1">
      <alignment horizontal="left" vertical="top" wrapText="1"/>
    </xf>
    <xf numFmtId="0" fontId="7" fillId="0" borderId="0" xfId="7" applyAlignment="1">
      <alignment vertical="top"/>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4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4.0256851225942052</c:v>
                </c:pt>
                <c:pt idx="2">
                  <c:v>0</c:v>
                </c:pt>
                <c:pt idx="3">
                  <c:v>0</c:v>
                </c:pt>
                <c:pt idx="4">
                  <c:v>0</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3.5040452368981789</c:v>
                </c:pt>
                <c:pt idx="2">
                  <c:v>1.8046756171877996</c:v>
                </c:pt>
                <c:pt idx="3">
                  <c:v>1.5073083708761699</c:v>
                </c:pt>
                <c:pt idx="4">
                  <c:v>0.82058243277347653</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3.4040452368981784</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16.611442566000601</c:v>
                </c:pt>
                <c:pt idx="3">
                  <c:v>14.115209246000601</c:v>
                </c:pt>
                <c:pt idx="4">
                  <c:v>13.103063047500001</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9"/>
  <sheetViews>
    <sheetView topLeftCell="A13" zoomScale="150" zoomScaleNormal="150" workbookViewId="0">
      <selection activeCell="B24" sqref="B24:L2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207</v>
      </c>
      <c r="B1" s="1"/>
      <c r="C1" s="2"/>
      <c r="D1"/>
    </row>
    <row r="2" spans="1:18" x14ac:dyDescent="0.35">
      <c r="A2" s="1"/>
      <c r="B2" s="1"/>
      <c r="C2" s="2"/>
      <c r="D2"/>
    </row>
    <row r="3" spans="1:18" x14ac:dyDescent="0.35">
      <c r="A3" s="1" t="s">
        <v>238</v>
      </c>
      <c r="B3" s="1"/>
      <c r="C3" s="2"/>
      <c r="D3"/>
      <c r="N3" s="1" t="s">
        <v>333</v>
      </c>
    </row>
    <row r="4" spans="1:18" s="83" customFormat="1" ht="60" customHeight="1" x14ac:dyDescent="0.35">
      <c r="A4" s="120" t="s">
        <v>335</v>
      </c>
      <c r="B4" s="120"/>
      <c r="C4" s="120"/>
      <c r="D4" s="120"/>
      <c r="E4" s="120"/>
      <c r="F4" s="120"/>
      <c r="G4" s="120"/>
      <c r="H4" s="120"/>
      <c r="I4" s="120"/>
      <c r="J4" s="120"/>
      <c r="K4" s="120"/>
      <c r="L4" s="120"/>
      <c r="N4" s="181" t="s">
        <v>334</v>
      </c>
      <c r="O4" s="181"/>
      <c r="P4" s="181"/>
      <c r="Q4" s="181"/>
      <c r="R4" s="181"/>
    </row>
    <row r="5" spans="1:18" s="32" customFormat="1" ht="16" customHeight="1" x14ac:dyDescent="0.35">
      <c r="A5" s="120" t="s">
        <v>336</v>
      </c>
      <c r="B5" s="120"/>
      <c r="C5" s="120"/>
      <c r="D5" s="120"/>
      <c r="E5" s="120"/>
      <c r="F5" s="120"/>
      <c r="G5" s="120"/>
      <c r="H5" s="120"/>
      <c r="I5" s="120"/>
      <c r="J5" s="120"/>
      <c r="K5" s="120"/>
      <c r="L5" s="120"/>
    </row>
    <row r="6" spans="1:18" s="32" customFormat="1" ht="32.5" customHeight="1" x14ac:dyDescent="0.35">
      <c r="A6" s="123" t="s">
        <v>232</v>
      </c>
      <c r="B6" s="123"/>
      <c r="C6" s="123"/>
      <c r="D6" s="123"/>
      <c r="E6" s="123"/>
      <c r="F6" s="123"/>
      <c r="G6" s="123"/>
      <c r="H6" s="123"/>
      <c r="I6" s="123"/>
      <c r="J6" s="123"/>
      <c r="K6" s="123"/>
      <c r="L6" s="123"/>
      <c r="N6" s="182" t="s">
        <v>337</v>
      </c>
    </row>
    <row r="7" spans="1:18" s="32" customFormat="1" ht="32.5" customHeight="1" x14ac:dyDescent="0.35">
      <c r="A7" s="123" t="s">
        <v>234</v>
      </c>
      <c r="B7" s="123"/>
      <c r="C7" s="123"/>
      <c r="D7" s="123"/>
      <c r="E7" s="123"/>
      <c r="F7" s="123"/>
      <c r="G7" s="123"/>
      <c r="H7" s="123"/>
      <c r="I7" s="123"/>
      <c r="J7" s="123"/>
      <c r="K7" s="123"/>
      <c r="L7" s="123"/>
    </row>
    <row r="8" spans="1:18" s="32" customFormat="1" ht="16.5" customHeight="1" x14ac:dyDescent="0.35">
      <c r="A8" s="123" t="s">
        <v>338</v>
      </c>
      <c r="B8" s="123"/>
      <c r="C8" s="123"/>
      <c r="D8" s="123"/>
      <c r="E8" s="123"/>
      <c r="F8" s="123"/>
      <c r="G8" s="123"/>
      <c r="H8" s="123"/>
      <c r="I8" s="123"/>
      <c r="J8" s="123"/>
      <c r="K8" s="123"/>
      <c r="L8" s="123"/>
    </row>
    <row r="9" spans="1:18" s="32" customFormat="1" ht="15" customHeight="1" x14ac:dyDescent="0.35">
      <c r="A9" s="123" t="s">
        <v>239</v>
      </c>
      <c r="B9" s="123"/>
      <c r="C9" s="123"/>
      <c r="D9" s="123"/>
      <c r="E9" s="123"/>
      <c r="F9" s="123"/>
      <c r="G9" s="123"/>
      <c r="H9" s="123"/>
      <c r="I9" s="123"/>
      <c r="J9" s="123"/>
      <c r="K9" s="123"/>
      <c r="L9" s="123"/>
    </row>
    <row r="10" spans="1:18" s="32" customFormat="1" ht="30" customHeight="1" x14ac:dyDescent="0.35">
      <c r="A10" s="123" t="s">
        <v>235</v>
      </c>
      <c r="B10" s="123"/>
      <c r="C10" s="123"/>
      <c r="D10" s="123"/>
      <c r="E10" s="123"/>
      <c r="F10" s="123"/>
      <c r="G10" s="123"/>
      <c r="H10" s="123"/>
      <c r="I10" s="123"/>
      <c r="J10" s="123"/>
      <c r="K10" s="123"/>
      <c r="L10" s="123"/>
    </row>
    <row r="11" spans="1:18" ht="69" customHeight="1" x14ac:dyDescent="0.35">
      <c r="A11" s="123" t="s">
        <v>236</v>
      </c>
      <c r="B11" s="123"/>
      <c r="C11" s="123"/>
      <c r="D11" s="123"/>
      <c r="E11" s="123"/>
      <c r="F11" s="123"/>
      <c r="G11" s="123"/>
      <c r="H11" s="123"/>
      <c r="I11" s="123"/>
      <c r="J11" s="123"/>
      <c r="K11" s="123"/>
      <c r="L11" s="123"/>
    </row>
    <row r="12" spans="1:18" ht="50.5" customHeight="1" x14ac:dyDescent="0.35">
      <c r="A12" s="123" t="s">
        <v>339</v>
      </c>
      <c r="B12" s="123"/>
      <c r="C12" s="123"/>
      <c r="D12" s="123"/>
      <c r="E12" s="123"/>
      <c r="F12" s="123"/>
      <c r="G12" s="123"/>
      <c r="H12" s="123"/>
      <c r="I12" s="123"/>
      <c r="J12" s="123"/>
      <c r="K12" s="123"/>
      <c r="L12" s="123"/>
    </row>
    <row r="13" spans="1:18" ht="48.5" customHeight="1" x14ac:dyDescent="0.35">
      <c r="A13" s="123" t="s">
        <v>201</v>
      </c>
      <c r="B13" s="123"/>
      <c r="C13" s="123"/>
      <c r="D13" s="123"/>
      <c r="E13" s="123"/>
      <c r="F13" s="123"/>
      <c r="G13" s="123"/>
      <c r="H13" s="123"/>
      <c r="I13" s="123"/>
      <c r="J13" s="123"/>
      <c r="K13" s="123"/>
      <c r="L13" s="123"/>
    </row>
    <row r="14" spans="1:18" ht="15.5" customHeight="1" x14ac:dyDescent="0.35">
      <c r="A14" s="123" t="s">
        <v>340</v>
      </c>
      <c r="B14" s="123"/>
      <c r="C14" s="123"/>
      <c r="D14" s="123"/>
      <c r="E14" s="123"/>
      <c r="F14" s="123"/>
      <c r="G14" s="123"/>
      <c r="H14" s="123"/>
      <c r="I14" s="123"/>
      <c r="J14" s="123"/>
      <c r="K14" s="123"/>
      <c r="L14" s="123"/>
    </row>
    <row r="15" spans="1:18" x14ac:dyDescent="0.35">
      <c r="B15" s="15"/>
      <c r="C15" s="15"/>
      <c r="D15" s="15"/>
      <c r="E15" s="15"/>
      <c r="F15" s="15"/>
      <c r="G15" s="15"/>
      <c r="H15" s="15"/>
      <c r="I15" s="15"/>
      <c r="J15" s="15"/>
      <c r="K15" s="15"/>
      <c r="L15" s="15"/>
    </row>
    <row r="16" spans="1:18" ht="16.5" customHeight="1" x14ac:dyDescent="0.35">
      <c r="A16" s="125" t="s">
        <v>202</v>
      </c>
      <c r="B16" s="126"/>
      <c r="C16" s="126"/>
      <c r="D16" s="126"/>
      <c r="E16" s="126"/>
      <c r="F16" s="126"/>
      <c r="G16" s="126"/>
      <c r="H16" s="126"/>
      <c r="I16" s="126"/>
      <c r="J16" s="126"/>
      <c r="K16" s="126"/>
      <c r="L16" s="127"/>
    </row>
    <row r="17" spans="1:12" ht="16.5" customHeight="1" x14ac:dyDescent="0.35">
      <c r="A17" s="28">
        <v>1</v>
      </c>
      <c r="B17" s="121" t="s">
        <v>142</v>
      </c>
      <c r="C17" s="121"/>
      <c r="D17" s="121"/>
      <c r="E17" s="121"/>
      <c r="F17" s="121"/>
      <c r="G17" s="121"/>
      <c r="H17" s="121"/>
      <c r="I17" s="121"/>
      <c r="J17" s="121"/>
      <c r="K17" s="121"/>
      <c r="L17" s="122"/>
    </row>
    <row r="18" spans="1:12" ht="16.5" customHeight="1" x14ac:dyDescent="0.35">
      <c r="A18" s="28">
        <v>2</v>
      </c>
      <c r="B18" s="121" t="s">
        <v>203</v>
      </c>
      <c r="C18" s="121"/>
      <c r="D18" s="121"/>
      <c r="E18" s="121"/>
      <c r="F18" s="121"/>
      <c r="G18" s="121"/>
      <c r="H18" s="121"/>
      <c r="I18" s="121"/>
      <c r="J18" s="121"/>
      <c r="K18" s="121"/>
      <c r="L18" s="122"/>
    </row>
    <row r="19" spans="1:12" ht="16.5" customHeight="1" x14ac:dyDescent="0.35">
      <c r="A19" s="28">
        <v>3</v>
      </c>
      <c r="B19" s="121" t="s">
        <v>92</v>
      </c>
      <c r="C19" s="121"/>
      <c r="D19" s="121"/>
      <c r="E19" s="121"/>
      <c r="F19" s="121"/>
      <c r="G19" s="121"/>
      <c r="H19" s="121"/>
      <c r="I19" s="121"/>
      <c r="J19" s="121"/>
      <c r="K19" s="121"/>
      <c r="L19" s="122"/>
    </row>
    <row r="20" spans="1:12" ht="32.5" customHeight="1" x14ac:dyDescent="0.35">
      <c r="A20" s="28">
        <v>4</v>
      </c>
      <c r="B20" s="121" t="s">
        <v>341</v>
      </c>
      <c r="C20" s="121"/>
      <c r="D20" s="121"/>
      <c r="E20" s="121"/>
      <c r="F20" s="121"/>
      <c r="G20" s="121"/>
      <c r="H20" s="121"/>
      <c r="I20" s="121"/>
      <c r="J20" s="121"/>
      <c r="K20" s="121"/>
      <c r="L20" s="122"/>
    </row>
    <row r="21" spans="1:12" ht="29" customHeight="1" x14ac:dyDescent="0.35">
      <c r="A21" s="28">
        <v>5</v>
      </c>
      <c r="B21" s="121" t="s">
        <v>342</v>
      </c>
      <c r="C21" s="121"/>
      <c r="D21" s="121"/>
      <c r="E21" s="121"/>
      <c r="F21" s="121"/>
      <c r="G21" s="121"/>
      <c r="H21" s="121"/>
      <c r="I21" s="121"/>
      <c r="J21" s="121"/>
      <c r="K21" s="121"/>
      <c r="L21" s="122"/>
    </row>
    <row r="22" spans="1:12" ht="16.5" customHeight="1" x14ac:dyDescent="0.35">
      <c r="A22" s="28">
        <v>6</v>
      </c>
      <c r="B22" s="121" t="s">
        <v>343</v>
      </c>
      <c r="C22" s="121"/>
      <c r="D22" s="121"/>
      <c r="E22" s="121"/>
      <c r="F22" s="121"/>
      <c r="G22" s="121"/>
      <c r="H22" s="121"/>
      <c r="I22" s="121"/>
      <c r="J22" s="121"/>
      <c r="K22" s="121"/>
      <c r="L22" s="122"/>
    </row>
    <row r="23" spans="1:12" ht="17.5" customHeight="1" x14ac:dyDescent="0.35">
      <c r="A23" s="28">
        <v>7</v>
      </c>
      <c r="B23" s="121" t="s">
        <v>344</v>
      </c>
      <c r="C23" s="121"/>
      <c r="D23" s="121"/>
      <c r="E23" s="121"/>
      <c r="F23" s="121"/>
      <c r="G23" s="121"/>
      <c r="H23" s="121"/>
      <c r="I23" s="121"/>
      <c r="J23" s="121"/>
      <c r="K23" s="121"/>
      <c r="L23" s="122"/>
    </row>
    <row r="24" spans="1:12" ht="31.5" customHeight="1" x14ac:dyDescent="0.35">
      <c r="A24" s="28">
        <v>8</v>
      </c>
      <c r="B24" s="121" t="s">
        <v>269</v>
      </c>
      <c r="C24" s="121"/>
      <c r="D24" s="121"/>
      <c r="E24" s="121"/>
      <c r="F24" s="121"/>
      <c r="G24" s="121"/>
      <c r="H24" s="121"/>
      <c r="I24" s="121"/>
      <c r="J24" s="121"/>
      <c r="K24" s="121"/>
      <c r="L24" s="122"/>
    </row>
    <row r="25" spans="1:12" ht="60.5" customHeight="1" x14ac:dyDescent="0.35">
      <c r="A25" s="28">
        <v>10</v>
      </c>
      <c r="B25" s="121" t="s">
        <v>270</v>
      </c>
      <c r="C25" s="121"/>
      <c r="D25" s="121"/>
      <c r="E25" s="121"/>
      <c r="F25" s="121"/>
      <c r="G25" s="121"/>
      <c r="H25" s="121"/>
      <c r="I25" s="121"/>
      <c r="J25" s="121"/>
      <c r="K25" s="121"/>
      <c r="L25" s="122"/>
    </row>
    <row r="26" spans="1:12" ht="16.5" customHeight="1" x14ac:dyDescent="0.35">
      <c r="A26" s="28">
        <v>11</v>
      </c>
      <c r="B26" s="121" t="s">
        <v>204</v>
      </c>
      <c r="C26" s="121"/>
      <c r="D26" s="121"/>
      <c r="E26" s="121"/>
      <c r="F26" s="121"/>
      <c r="G26" s="121"/>
      <c r="H26" s="121"/>
      <c r="I26" s="121"/>
      <c r="J26" s="121"/>
      <c r="K26" s="121"/>
      <c r="L26" s="122"/>
    </row>
    <row r="27" spans="1:12" ht="16.5" customHeight="1" x14ac:dyDescent="0.35">
      <c r="A27" s="28">
        <v>12</v>
      </c>
      <c r="B27" s="121" t="s">
        <v>271</v>
      </c>
      <c r="C27" s="121"/>
      <c r="D27" s="121"/>
      <c r="E27" s="121"/>
      <c r="F27" s="121"/>
      <c r="G27" s="121"/>
      <c r="H27" s="121"/>
      <c r="I27" s="121"/>
      <c r="J27" s="121"/>
      <c r="K27" s="121"/>
      <c r="L27" s="122"/>
    </row>
    <row r="28" spans="1:12" ht="32" customHeight="1" x14ac:dyDescent="0.35">
      <c r="A28" s="28">
        <v>13</v>
      </c>
      <c r="B28" s="121" t="s">
        <v>272</v>
      </c>
      <c r="C28" s="121"/>
      <c r="D28" s="121"/>
      <c r="E28" s="121"/>
      <c r="F28" s="121"/>
      <c r="G28" s="121"/>
      <c r="H28" s="121"/>
      <c r="I28" s="121"/>
      <c r="J28" s="121"/>
      <c r="K28" s="121"/>
      <c r="L28" s="122"/>
    </row>
    <row r="29" spans="1:12" ht="16.5" customHeight="1" x14ac:dyDescent="0.35">
      <c r="A29" s="28">
        <v>14</v>
      </c>
      <c r="B29" s="121" t="s">
        <v>273</v>
      </c>
      <c r="C29" s="121"/>
      <c r="D29" s="121"/>
      <c r="E29" s="121"/>
      <c r="F29" s="121"/>
      <c r="G29" s="121"/>
      <c r="H29" s="121"/>
      <c r="I29" s="121"/>
      <c r="J29" s="121"/>
      <c r="K29" s="121"/>
      <c r="L29" s="122"/>
    </row>
    <row r="30" spans="1:12" ht="16.5" customHeight="1" x14ac:dyDescent="0.35">
      <c r="A30" s="28">
        <v>15</v>
      </c>
      <c r="B30" s="128" t="s">
        <v>205</v>
      </c>
      <c r="C30" s="128"/>
      <c r="D30" s="128"/>
      <c r="E30" s="128"/>
      <c r="F30" s="128"/>
      <c r="G30" s="128"/>
      <c r="H30" s="128"/>
      <c r="I30" s="128"/>
      <c r="J30" s="128"/>
      <c r="K30" s="128"/>
      <c r="L30" s="129"/>
    </row>
    <row r="31" spans="1:12" ht="32" customHeight="1" x14ac:dyDescent="0.35">
      <c r="A31" s="28">
        <v>16</v>
      </c>
      <c r="B31" s="121" t="s">
        <v>206</v>
      </c>
      <c r="C31" s="121"/>
      <c r="D31" s="121"/>
      <c r="E31" s="121"/>
      <c r="F31" s="121"/>
      <c r="G31" s="121"/>
      <c r="H31" s="121"/>
      <c r="I31" s="121"/>
      <c r="J31" s="121"/>
      <c r="K31" s="121"/>
      <c r="L31" s="122"/>
    </row>
    <row r="32" spans="1:12" ht="31" customHeight="1" x14ac:dyDescent="0.35">
      <c r="A32" s="69">
        <v>17</v>
      </c>
      <c r="B32" s="130" t="s">
        <v>209</v>
      </c>
      <c r="C32" s="130"/>
      <c r="D32" s="130"/>
      <c r="E32" s="130"/>
      <c r="F32" s="130"/>
      <c r="G32" s="130"/>
      <c r="H32" s="130"/>
      <c r="I32" s="130"/>
      <c r="J32" s="130"/>
      <c r="K32" s="130"/>
      <c r="L32" s="131"/>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155</v>
      </c>
    </row>
    <row r="36" spans="1:12" x14ac:dyDescent="0.35">
      <c r="B36" s="2" t="s">
        <v>158</v>
      </c>
      <c r="C36" t="s">
        <v>200</v>
      </c>
    </row>
    <row r="37" spans="1:12" x14ac:dyDescent="0.35">
      <c r="B37" s="2" t="s">
        <v>275</v>
      </c>
      <c r="C37" t="s">
        <v>278</v>
      </c>
    </row>
    <row r="38" spans="1:12" x14ac:dyDescent="0.35">
      <c r="B38" s="2" t="s">
        <v>276</v>
      </c>
      <c r="C38" t="s">
        <v>279</v>
      </c>
    </row>
    <row r="39" spans="1:12" x14ac:dyDescent="0.35">
      <c r="B39" s="2" t="s">
        <v>277</v>
      </c>
      <c r="C39" t="s">
        <v>274</v>
      </c>
    </row>
    <row r="40" spans="1:12" x14ac:dyDescent="0.35">
      <c r="B40" s="2" t="s">
        <v>220</v>
      </c>
      <c r="C40" t="s">
        <v>222</v>
      </c>
    </row>
    <row r="41" spans="1:12" x14ac:dyDescent="0.35">
      <c r="B41" s="2" t="s">
        <v>221</v>
      </c>
      <c r="C41" t="s">
        <v>143</v>
      </c>
    </row>
    <row r="42" spans="1:12" x14ac:dyDescent="0.35">
      <c r="B42" s="2" t="s">
        <v>156</v>
      </c>
      <c r="C42" t="s">
        <v>223</v>
      </c>
    </row>
    <row r="43" spans="1:12" x14ac:dyDescent="0.35">
      <c r="B43" s="2" t="s">
        <v>224</v>
      </c>
      <c r="C43" t="s">
        <v>225</v>
      </c>
    </row>
    <row r="44" spans="1:12" x14ac:dyDescent="0.35">
      <c r="B44" s="2" t="s">
        <v>257</v>
      </c>
      <c r="C44" t="s">
        <v>258</v>
      </c>
    </row>
    <row r="45" spans="1:12" x14ac:dyDescent="0.35">
      <c r="B45" s="2" t="s">
        <v>95</v>
      </c>
      <c r="C45" t="s">
        <v>96</v>
      </c>
    </row>
    <row r="46" spans="1:12" x14ac:dyDescent="0.35">
      <c r="B46" s="2" t="s">
        <v>97</v>
      </c>
      <c r="C46" t="s">
        <v>98</v>
      </c>
    </row>
    <row r="47" spans="1:12" x14ac:dyDescent="0.35">
      <c r="B47" s="2" t="s">
        <v>144</v>
      </c>
      <c r="C47" t="s">
        <v>145</v>
      </c>
    </row>
    <row r="49" spans="1:12" x14ac:dyDescent="0.35">
      <c r="A49" s="1" t="s">
        <v>211</v>
      </c>
    </row>
    <row r="50" spans="1:12" x14ac:dyDescent="0.35">
      <c r="A50" t="s">
        <v>212</v>
      </c>
    </row>
    <row r="51" spans="1:12" x14ac:dyDescent="0.35">
      <c r="A51" t="s">
        <v>213</v>
      </c>
    </row>
    <row r="52" spans="1:12" x14ac:dyDescent="0.35">
      <c r="A52" s="70" t="s">
        <v>214</v>
      </c>
    </row>
    <row r="53" spans="1:12" x14ac:dyDescent="0.35">
      <c r="A53" s="70" t="s">
        <v>216</v>
      </c>
    </row>
    <row r="54" spans="1:12" x14ac:dyDescent="0.35">
      <c r="A54" s="70"/>
    </row>
    <row r="55" spans="1:12" x14ac:dyDescent="0.35">
      <c r="A55" s="1" t="s">
        <v>215</v>
      </c>
    </row>
    <row r="56" spans="1:12" x14ac:dyDescent="0.35">
      <c r="A56" t="s">
        <v>237</v>
      </c>
    </row>
    <row r="58" spans="1:12" ht="16" customHeight="1" x14ac:dyDescent="0.35">
      <c r="A58" s="1" t="s">
        <v>49</v>
      </c>
    </row>
    <row r="59" spans="1:12" x14ac:dyDescent="0.35">
      <c r="A59" s="124" t="s">
        <v>233</v>
      </c>
      <c r="B59" s="124"/>
      <c r="C59" s="124"/>
      <c r="D59" s="124"/>
      <c r="E59" s="124"/>
      <c r="F59" s="124"/>
      <c r="G59" s="124"/>
      <c r="H59" s="124"/>
      <c r="I59" s="124"/>
      <c r="J59" s="124"/>
      <c r="K59" s="124"/>
      <c r="L59" s="124"/>
    </row>
  </sheetData>
  <mergeCells count="30">
    <mergeCell ref="N4:R4"/>
    <mergeCell ref="A10:L10"/>
    <mergeCell ref="A9:L9"/>
    <mergeCell ref="A59:L59"/>
    <mergeCell ref="A16:L16"/>
    <mergeCell ref="B21:L21"/>
    <mergeCell ref="B17:L17"/>
    <mergeCell ref="B19:L19"/>
    <mergeCell ref="B25:L25"/>
    <mergeCell ref="B26:L26"/>
    <mergeCell ref="B29:L29"/>
    <mergeCell ref="B30:L30"/>
    <mergeCell ref="B32:L32"/>
    <mergeCell ref="B31:L31"/>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2" r:id="rId1" xr:uid="{6B934EC2-E381-41EE-938C-08FAF5E51BBE}"/>
    <hyperlink ref="A53"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abSelected="1" topLeftCell="I1" workbookViewId="0">
      <selection activeCell="AB30" sqref="AB30"/>
    </sheetView>
  </sheetViews>
  <sheetFormatPr defaultRowHeight="14.5" x14ac:dyDescent="0.35"/>
  <cols>
    <col min="7" max="7" width="7.90625" customWidth="1"/>
  </cols>
  <sheetData>
    <row r="1" spans="7:36" ht="36" x14ac:dyDescent="0.8">
      <c r="G1" s="47" t="s">
        <v>39</v>
      </c>
      <c r="P1" s="139" t="s">
        <v>40</v>
      </c>
      <c r="Q1" s="139"/>
      <c r="R1" s="139"/>
      <c r="S1" s="139"/>
      <c r="T1" s="139"/>
      <c r="U1" s="139"/>
      <c r="V1" s="139"/>
      <c r="W1" s="139"/>
      <c r="X1" s="139"/>
      <c r="Y1" s="139"/>
      <c r="AA1" s="139" t="s">
        <v>210</v>
      </c>
      <c r="AB1" s="139"/>
      <c r="AC1" s="139"/>
      <c r="AD1" s="139"/>
      <c r="AE1" s="139"/>
      <c r="AF1" s="139"/>
      <c r="AG1" s="139"/>
      <c r="AH1" s="139"/>
      <c r="AI1" s="139"/>
      <c r="AJ1" s="139"/>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c r="C5" s="165" t="s">
        <v>217</v>
      </c>
      <c r="D5" s="158"/>
      <c r="E5" s="158"/>
      <c r="F5" s="158"/>
      <c r="G5" s="158"/>
      <c r="M5" t="s">
        <v>322</v>
      </c>
    </row>
    <row r="6" spans="1:13" x14ac:dyDescent="0.35">
      <c r="A6" s="157" t="s">
        <v>40</v>
      </c>
      <c r="B6" s="157"/>
      <c r="C6" s="165" t="s">
        <v>218</v>
      </c>
      <c r="D6" s="158"/>
      <c r="E6" s="158"/>
      <c r="F6" s="158"/>
      <c r="G6" s="158"/>
      <c r="M6" t="s">
        <v>327</v>
      </c>
    </row>
    <row r="7" spans="1:13" x14ac:dyDescent="0.35">
      <c r="A7" s="157" t="s">
        <v>41</v>
      </c>
      <c r="B7" s="157"/>
      <c r="C7" s="165" t="s">
        <v>152</v>
      </c>
      <c r="D7" s="158"/>
      <c r="E7" s="158"/>
      <c r="F7" s="158"/>
      <c r="G7" s="158"/>
      <c r="M7" t="s">
        <v>328</v>
      </c>
    </row>
    <row r="8" spans="1:13" x14ac:dyDescent="0.35">
      <c r="A8" s="117" t="s">
        <v>157</v>
      </c>
      <c r="B8" s="117"/>
      <c r="C8" s="132" t="s">
        <v>332</v>
      </c>
      <c r="D8" s="132"/>
      <c r="E8" s="132"/>
      <c r="F8" s="132"/>
      <c r="G8" s="132"/>
    </row>
    <row r="9" spans="1:13" x14ac:dyDescent="0.35">
      <c r="A9" s="162" t="s">
        <v>148</v>
      </c>
      <c r="B9" s="157"/>
      <c r="C9" s="158" t="s">
        <v>219</v>
      </c>
      <c r="D9" s="158"/>
      <c r="E9" s="158"/>
      <c r="F9" s="158"/>
      <c r="G9" s="158"/>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v>12.4</v>
      </c>
      <c r="D26" s="170">
        <v>12.4</v>
      </c>
      <c r="E26" s="170">
        <v>12.4</v>
      </c>
      <c r="F26" s="170">
        <v>12.4</v>
      </c>
      <c r="G26" s="170">
        <v>12.4</v>
      </c>
      <c r="H26" s="170">
        <v>12.4</v>
      </c>
      <c r="I26" s="170">
        <v>14.4</v>
      </c>
      <c r="J26" s="170">
        <v>14.4</v>
      </c>
      <c r="K26" s="170">
        <v>14.4</v>
      </c>
      <c r="L26" s="170">
        <v>14.4</v>
      </c>
    </row>
    <row r="27" spans="1:14" x14ac:dyDescent="0.35">
      <c r="A27" s="1" t="s">
        <v>121</v>
      </c>
      <c r="B27" s="1"/>
      <c r="C27" s="169">
        <f>IF(C$26&lt;&gt;"",0.8,"")</f>
        <v>0.8</v>
      </c>
      <c r="D27" s="169">
        <f t="shared" ref="D27:L27" si="0">IF(D$26&lt;&gt;"",0.8,"")</f>
        <v>0.8</v>
      </c>
      <c r="E27" s="169">
        <f t="shared" si="0"/>
        <v>0.8</v>
      </c>
      <c r="F27" s="169">
        <f t="shared" si="0"/>
        <v>0.8</v>
      </c>
      <c r="G27" s="169">
        <f t="shared" si="0"/>
        <v>0.8</v>
      </c>
      <c r="H27" s="169">
        <f t="shared" si="0"/>
        <v>0.8</v>
      </c>
      <c r="I27" s="169">
        <f t="shared" si="0"/>
        <v>0.8</v>
      </c>
      <c r="J27" s="169">
        <f t="shared" si="0"/>
        <v>0.8</v>
      </c>
      <c r="K27" s="169">
        <f t="shared" si="0"/>
        <v>0.8</v>
      </c>
      <c r="L27" s="169">
        <f t="shared" si="0"/>
        <v>0.8</v>
      </c>
    </row>
    <row r="28" spans="1:14" x14ac:dyDescent="0.35">
      <c r="A28" s="1" t="s">
        <v>305</v>
      </c>
      <c r="B28" s="1"/>
      <c r="C28" s="169">
        <f>IF(C$26&lt;&gt;"",0.6,"")</f>
        <v>0.6</v>
      </c>
      <c r="D28" s="169">
        <f t="shared" ref="D28:L28" si="1">IF(D$26&lt;&gt;"",0.6,"")</f>
        <v>0.6</v>
      </c>
      <c r="E28" s="169">
        <f t="shared" si="1"/>
        <v>0.6</v>
      </c>
      <c r="F28" s="169">
        <f t="shared" si="1"/>
        <v>0.6</v>
      </c>
      <c r="G28" s="169">
        <f t="shared" si="1"/>
        <v>0.6</v>
      </c>
      <c r="H28" s="169">
        <f t="shared" si="1"/>
        <v>0.6</v>
      </c>
      <c r="I28" s="169">
        <f t="shared" si="1"/>
        <v>0.6</v>
      </c>
      <c r="J28" s="169">
        <f t="shared" si="1"/>
        <v>0.6</v>
      </c>
      <c r="K28" s="169">
        <f t="shared" si="1"/>
        <v>0.6</v>
      </c>
      <c r="L28" s="169">
        <f t="shared" si="1"/>
        <v>0.6</v>
      </c>
    </row>
    <row r="29" spans="1:14" x14ac:dyDescent="0.35">
      <c r="A29" s="1" t="s">
        <v>124</v>
      </c>
      <c r="B29" s="114">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IF(A5="","","    "&amp;A5&amp;" Balance")</f>
        <v xml:space="preserve">    Upper Basin Balance</v>
      </c>
      <c r="B30" s="115">
        <f>B21-B23</f>
        <v>5.0734237499999999</v>
      </c>
      <c r="C30" s="112">
        <f>IF(OR(C$26="",$A30=""),"",B30)</f>
        <v>5.0734237499999999</v>
      </c>
      <c r="D30" s="14">
        <f ca="1">IF(OR(D$26="",$A30=""),"",C121)</f>
        <v>4.8040452368981788</v>
      </c>
      <c r="E30" s="14">
        <f t="shared" ref="E30:L30" ca="1" si="3">IF(OR(E$26="",$A30=""),"",D121)</f>
        <v>4.5419931728564817</v>
      </c>
      <c r="F30" s="14">
        <f t="shared" ca="1" si="3"/>
        <v>4.3056329509183469</v>
      </c>
      <c r="G30" s="14">
        <f t="shared" ca="1" si="3"/>
        <v>4.0774992917764452</v>
      </c>
      <c r="H30" s="14">
        <f t="shared" ca="1" si="3"/>
        <v>3.8570559854908533</v>
      </c>
      <c r="I30" s="14">
        <f t="shared" ca="1" si="3"/>
        <v>3.6442700686244685</v>
      </c>
      <c r="J30" s="14">
        <f t="shared" ca="1" si="3"/>
        <v>5.4516808887639714</v>
      </c>
      <c r="K30" s="14">
        <f t="shared" ca="1" si="3"/>
        <v>7.1608058802111989</v>
      </c>
      <c r="L30" s="14">
        <f t="shared" ca="1" si="3"/>
        <v>8.7940838188319255</v>
      </c>
      <c r="N30" t="s">
        <v>177</v>
      </c>
    </row>
    <row r="31" spans="1:14" x14ac:dyDescent="0.35">
      <c r="A31" t="str">
        <f>IF(A6="","","    "&amp;A6&amp;" Balance")</f>
        <v xml:space="preserve">    Lower Basin Balance</v>
      </c>
      <c r="B31" s="115">
        <f>C21-C23-B32</f>
        <v>4.2614069999999993</v>
      </c>
      <c r="C31" s="112">
        <f t="shared" ref="C31:C35" si="4">IF(OR(C$26="",$A31=""),"",B31)</f>
        <v>4.2614069999999993</v>
      </c>
      <c r="D31" s="14">
        <f t="shared" ref="D31:L35" ca="1" si="5">IF(OR(D$26="",$A31=""),"",C122)</f>
        <v>3.1954259677352326</v>
      </c>
      <c r="E31" s="14">
        <f t="shared" ca="1" si="5"/>
        <v>2.1790217521941422</v>
      </c>
      <c r="F31" s="14">
        <f t="shared" ca="1" si="5"/>
        <v>1.5839021107246065</v>
      </c>
      <c r="G31" s="14">
        <f t="shared" ca="1" si="5"/>
        <v>1.0074050543230886</v>
      </c>
      <c r="H31" s="14">
        <f t="shared" ca="1" si="5"/>
        <v>0.44799122939848157</v>
      </c>
      <c r="I31" s="14">
        <f t="shared" ca="1" si="5"/>
        <v>0</v>
      </c>
      <c r="J31" s="14">
        <f t="shared" ca="1" si="5"/>
        <v>0</v>
      </c>
      <c r="K31" s="14">
        <f t="shared" ca="1" si="5"/>
        <v>0</v>
      </c>
      <c r="L31" s="14">
        <f t="shared" ca="1" si="5"/>
        <v>0</v>
      </c>
      <c r="N31" t="s">
        <v>174</v>
      </c>
    </row>
    <row r="32" spans="1:14" x14ac:dyDescent="0.35">
      <c r="A32" t="str">
        <f>IF(A7="","","    "&amp;A7&amp;" Balance")</f>
        <v xml:space="preserve">    Mexico Balance</v>
      </c>
      <c r="B32" s="116">
        <v>0.17399999999999999</v>
      </c>
      <c r="C32" s="113">
        <f t="shared" si="4"/>
        <v>0.17399999999999999</v>
      </c>
      <c r="D32" s="52">
        <f t="shared" ca="1" si="5"/>
        <v>0.16557297647772518</v>
      </c>
      <c r="E32" s="52">
        <f t="shared" ca="1" si="5"/>
        <v>0.15735694647678922</v>
      </c>
      <c r="F32" s="52">
        <f t="shared" ca="1" si="5"/>
        <v>0.13331262156070189</v>
      </c>
      <c r="G32" s="52">
        <f t="shared" ca="1" si="5"/>
        <v>0.12637807157692516</v>
      </c>
      <c r="H32" s="14">
        <f t="shared" ca="1" si="5"/>
        <v>0.1196747903041846</v>
      </c>
      <c r="I32" s="14">
        <f t="shared" ca="1" si="5"/>
        <v>9.7201857291289606E-2</v>
      </c>
      <c r="J32" s="14">
        <f t="shared" ca="1" si="5"/>
        <v>9.1856084294618778E-2</v>
      </c>
      <c r="K32" s="14">
        <f t="shared" ca="1" si="5"/>
        <v>8.7025297944937297E-2</v>
      </c>
      <c r="L32" s="14">
        <f t="shared" ca="1" si="5"/>
        <v>6.6619161013673489E-2</v>
      </c>
      <c r="N32" t="s">
        <v>173</v>
      </c>
    </row>
    <row r="33" spans="1:14" x14ac:dyDescent="0.35">
      <c r="A33" t="str">
        <f>IF(A8="","","    "&amp;A8&amp;" Balance")</f>
        <v xml:space="preserve">    Shared, Reserve Balance</v>
      </c>
      <c r="B33" s="115">
        <f>SUM(B23:C23)</f>
        <v>11.59116925</v>
      </c>
      <c r="C33" s="112">
        <f>IF(OR(C$26="",$A33=""),"",B33)</f>
        <v>11.59116925</v>
      </c>
      <c r="D33" s="14">
        <f t="shared" ca="1" si="5"/>
        <v>11.59116925</v>
      </c>
      <c r="E33" s="14">
        <f t="shared" ca="1" si="5"/>
        <v>11.59116925</v>
      </c>
      <c r="F33" s="14">
        <f t="shared" ca="1" si="5"/>
        <v>11.59116925</v>
      </c>
      <c r="G33" s="14">
        <f t="shared" ca="1" si="5"/>
        <v>11.59116925</v>
      </c>
      <c r="H33" s="14">
        <f t="shared" ca="1" si="5"/>
        <v>11.59116925</v>
      </c>
      <c r="I33" s="14">
        <f t="shared" ca="1" si="5"/>
        <v>11.59116925</v>
      </c>
      <c r="J33" s="14">
        <f t="shared" ca="1" si="5"/>
        <v>11.59116925</v>
      </c>
      <c r="K33" s="14">
        <f t="shared" ca="1" si="5"/>
        <v>11.59116925</v>
      </c>
      <c r="L33" s="14">
        <f t="shared" ca="1" si="5"/>
        <v>11.59116925</v>
      </c>
    </row>
    <row r="34" spans="1:14" x14ac:dyDescent="0.35">
      <c r="A34" t="str">
        <f>IF(A9="","","    "&amp;A9&amp;" Balance")</f>
        <v xml:space="preserve">    Colorado River Delta Balance</v>
      </c>
      <c r="B34" s="164">
        <v>0</v>
      </c>
      <c r="C34" s="112">
        <f>IF(OR(C$26="",$A34=""),"",$B34)</f>
        <v>0</v>
      </c>
      <c r="D34" s="112">
        <f t="shared" ref="D34:L34" si="6">IF(OR(D$26="",$A34=""),"",$B34)</f>
        <v>0</v>
      </c>
      <c r="E34" s="112">
        <f t="shared" si="6"/>
        <v>0</v>
      </c>
      <c r="F34" s="112">
        <f t="shared" si="6"/>
        <v>0</v>
      </c>
      <c r="G34" s="112">
        <f t="shared" si="6"/>
        <v>0</v>
      </c>
      <c r="H34" s="112">
        <f t="shared" si="6"/>
        <v>0</v>
      </c>
      <c r="I34" s="112">
        <f t="shared" si="6"/>
        <v>0</v>
      </c>
      <c r="J34" s="112">
        <f t="shared" si="6"/>
        <v>0</v>
      </c>
      <c r="K34" s="112">
        <f t="shared" si="6"/>
        <v>0</v>
      </c>
      <c r="L34" s="112">
        <f t="shared" si="6"/>
        <v>0</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f>IF(C$26&lt;&gt;"",B21,"")</f>
        <v>11</v>
      </c>
      <c r="D37" s="14">
        <f ca="1">IF(D$26&lt;&gt;"",C129,"")</f>
        <v>9.8858844933333447</v>
      </c>
      <c r="E37" s="14">
        <f t="shared" ref="E37:L38" ca="1" si="7">IF(E$26&lt;&gt;"",D129,"")</f>
        <v>9.2425483385414839</v>
      </c>
      <c r="F37" s="14">
        <f t="shared" ca="1" si="7"/>
        <v>8.8227862443796052</v>
      </c>
      <c r="G37" s="14">
        <f t="shared" ca="1" si="7"/>
        <v>8.4090036116160061</v>
      </c>
      <c r="H37" s="14">
        <f t="shared" ca="1" si="7"/>
        <v>8.015723405374537</v>
      </c>
      <c r="I37" s="14">
        <f t="shared" ca="1" si="7"/>
        <v>7.6820983657356567</v>
      </c>
      <c r="J37" s="14">
        <f t="shared" ca="1" si="7"/>
        <v>8.5751308893070721</v>
      </c>
      <c r="K37" s="14">
        <f t="shared" ca="1" si="7"/>
        <v>9.4272779918558456</v>
      </c>
      <c r="L37" s="14">
        <f t="shared" ca="1" si="7"/>
        <v>10.251713892700577</v>
      </c>
    </row>
    <row r="38" spans="1:14" x14ac:dyDescent="0.35">
      <c r="A38" t="s">
        <v>114</v>
      </c>
      <c r="C38" s="14">
        <f>IF(C$26&lt;&gt;"",C21,"")</f>
        <v>10.1</v>
      </c>
      <c r="D38" s="14">
        <f ca="1">IF(D$26&lt;&gt;"",C130,"")</f>
        <v>9.8858844933333447</v>
      </c>
      <c r="E38" s="14">
        <f t="shared" ca="1" si="7"/>
        <v>9.2425483385414839</v>
      </c>
      <c r="F38" s="14">
        <f t="shared" ca="1" si="7"/>
        <v>8.8227862443796052</v>
      </c>
      <c r="G38" s="14">
        <f t="shared" ca="1" si="7"/>
        <v>8.4090036116160061</v>
      </c>
      <c r="H38" s="14">
        <f t="shared" ca="1" si="7"/>
        <v>8.015723405374537</v>
      </c>
      <c r="I38" s="14">
        <f t="shared" ca="1" si="7"/>
        <v>7.6820983657356567</v>
      </c>
      <c r="J38" s="14">
        <f t="shared" ca="1" si="7"/>
        <v>8.5751308893070721</v>
      </c>
      <c r="K38" s="14">
        <f t="shared" ca="1" si="7"/>
        <v>9.4272779918558456</v>
      </c>
      <c r="L38" s="14">
        <f t="shared" ca="1" si="7"/>
        <v>10.251713892700577</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IF(A5="","","    "&amp;A5&amp;" Share")</f>
        <v xml:space="preserve">    Upper Basin Share</v>
      </c>
      <c r="B40" s="1"/>
      <c r="C40" s="14">
        <f t="shared" ref="C40:L45" si="8">IF(OR(C$26="",$A40=""),"",C$39*C30/C$29)</f>
        <v>0.24571184643515467</v>
      </c>
      <c r="D40" s="14">
        <f t="shared" ca="1" si="8"/>
        <v>0.23838539737502934</v>
      </c>
      <c r="E40" s="14">
        <f t="shared" ca="1" si="8"/>
        <v>0.23219355527146801</v>
      </c>
      <c r="F40" s="14">
        <f t="shared" ca="1" si="8"/>
        <v>0.22396699247523441</v>
      </c>
      <c r="G40" s="14">
        <f t="shared" ca="1" si="8"/>
        <v>0.21627663961892804</v>
      </c>
      <c r="H40" s="14">
        <f t="shared" ca="1" si="8"/>
        <v>0.20861925019972055</v>
      </c>
      <c r="I40" s="14">
        <f t="shared" ca="1" si="8"/>
        <v>0.20042251319383075</v>
      </c>
      <c r="J40" s="14">
        <f t="shared" ca="1" si="8"/>
        <v>0.28670834188610861</v>
      </c>
      <c r="K40" s="14">
        <f t="shared" ca="1" si="8"/>
        <v>0.36255539471260589</v>
      </c>
      <c r="L40" s="14">
        <f t="shared" ca="1" si="8"/>
        <v>0.42997151857234828</v>
      </c>
    </row>
    <row r="41" spans="1:14" x14ac:dyDescent="0.35">
      <c r="A41" t="str">
        <f>IF(A6="","","    "&amp;A6&amp;" Share")</f>
        <v xml:space="preserve">    Lower Basin Share</v>
      </c>
      <c r="B41" s="1"/>
      <c r="C41" s="14">
        <f t="shared" si="8"/>
        <v>0.20638492544244763</v>
      </c>
      <c r="D41" s="14">
        <f t="shared" ca="1" si="8"/>
        <v>0.15856280520640656</v>
      </c>
      <c r="E41" s="14">
        <f t="shared" ca="1" si="8"/>
        <v>0.11139488510891446</v>
      </c>
      <c r="F41" s="14">
        <f t="shared" ca="1" si="8"/>
        <v>8.2390161018835353E-2</v>
      </c>
      <c r="G41" s="14">
        <f t="shared" ca="1" si="8"/>
        <v>5.3434265537100366E-2</v>
      </c>
      <c r="H41" s="14">
        <f t="shared" ca="1" si="8"/>
        <v>2.4230810940969127E-2</v>
      </c>
      <c r="I41" s="14">
        <f t="shared" ca="1" si="8"/>
        <v>0</v>
      </c>
      <c r="J41" s="14">
        <f t="shared" ca="1" si="8"/>
        <v>0</v>
      </c>
      <c r="K41" s="14">
        <f t="shared" ca="1" si="8"/>
        <v>0</v>
      </c>
      <c r="L41" s="14">
        <f t="shared" ca="1" si="8"/>
        <v>0</v>
      </c>
    </row>
    <row r="42" spans="1:14" x14ac:dyDescent="0.35">
      <c r="A42" t="str">
        <f>IF(A7="","","    "&amp;A7&amp;" Share")</f>
        <v xml:space="preserve">    Mexico Share</v>
      </c>
      <c r="B42" s="1"/>
      <c r="C42" s="14">
        <f t="shared" si="8"/>
        <v>8.4270235222746598E-3</v>
      </c>
      <c r="D42" s="14">
        <f t="shared" ca="1" si="8"/>
        <v>8.2160300009359536E-3</v>
      </c>
      <c r="E42" s="14">
        <f t="shared" ca="1" si="8"/>
        <v>8.0443249160872966E-3</v>
      </c>
      <c r="F42" s="14">
        <f t="shared" ca="1" si="8"/>
        <v>6.934549983776757E-3</v>
      </c>
      <c r="G42" s="14">
        <f t="shared" ca="1" si="8"/>
        <v>6.7032812727405092E-3</v>
      </c>
      <c r="H42" s="14">
        <f t="shared" ca="1" si="8"/>
        <v>6.4729330128949414E-3</v>
      </c>
      <c r="I42" s="14">
        <f t="shared" ca="1" si="8"/>
        <v>5.3457729966708053E-3</v>
      </c>
      <c r="J42" s="14">
        <f t="shared" ca="1" si="8"/>
        <v>4.8307863496815494E-3</v>
      </c>
      <c r="K42" s="14">
        <f t="shared" ca="1" si="8"/>
        <v>4.4061369312637065E-3</v>
      </c>
      <c r="L42" s="14">
        <f t="shared" ca="1" si="8"/>
        <v>3.2572286570347539E-3</v>
      </c>
    </row>
    <row r="43" spans="1:14" x14ac:dyDescent="0.35">
      <c r="A43" t="str">
        <f>IF(A8="","","    "&amp;A8&amp;" Share")</f>
        <v xml:space="preserve">    Shared, Reserve Share</v>
      </c>
      <c r="B43" s="1"/>
      <c r="C43" s="14">
        <f t="shared" si="8"/>
        <v>0.56137388460009618</v>
      </c>
      <c r="D43" s="14">
        <f t="shared" ca="1" si="8"/>
        <v>0.57517474366801769</v>
      </c>
      <c r="E43" s="14">
        <f t="shared" ca="1" si="8"/>
        <v>0.59255808969395352</v>
      </c>
      <c r="F43" s="14">
        <f t="shared" ca="1" si="8"/>
        <v>0.60294022871601494</v>
      </c>
      <c r="G43" s="14">
        <f t="shared" ca="1" si="8"/>
        <v>0.6148128927208395</v>
      </c>
      <c r="H43" s="14">
        <f t="shared" ca="1" si="8"/>
        <v>0.62693957437211578</v>
      </c>
      <c r="I43" s="14">
        <f t="shared" ca="1" si="8"/>
        <v>0.63747505760925061</v>
      </c>
      <c r="J43" s="14">
        <f t="shared" ca="1" si="8"/>
        <v>0.6095890394168354</v>
      </c>
      <c r="K43" s="14">
        <f t="shared" ca="1" si="8"/>
        <v>0.58686703883815161</v>
      </c>
      <c r="L43" s="14">
        <f t="shared" ca="1" si="8"/>
        <v>0.56673017304872475</v>
      </c>
    </row>
    <row r="44" spans="1:14" x14ac:dyDescent="0.35">
      <c r="A44" t="str">
        <f>IF(A9="","","    "&amp;A9&amp;" Share")</f>
        <v xml:space="preserve">    Colorado River Delta Share</v>
      </c>
      <c r="B44" s="1"/>
      <c r="C44" s="14">
        <f t="shared" si="8"/>
        <v>0</v>
      </c>
      <c r="D44" s="14">
        <f t="shared" ca="1" si="8"/>
        <v>0</v>
      </c>
      <c r="E44" s="14">
        <f t="shared" ca="1" si="8"/>
        <v>0</v>
      </c>
      <c r="F44" s="14">
        <f t="shared" ca="1" si="8"/>
        <v>0</v>
      </c>
      <c r="G44" s="14">
        <f t="shared" ca="1" si="8"/>
        <v>0</v>
      </c>
      <c r="H44" s="14">
        <f t="shared" ca="1" si="8"/>
        <v>0</v>
      </c>
      <c r="I44" s="14">
        <f t="shared" ca="1" si="8"/>
        <v>0</v>
      </c>
      <c r="J44" s="14">
        <f t="shared" ca="1" si="8"/>
        <v>0</v>
      </c>
      <c r="K44" s="14">
        <f t="shared" ca="1" si="8"/>
        <v>0</v>
      </c>
      <c r="L44" s="14">
        <f t="shared" ca="1" si="8"/>
        <v>0</v>
      </c>
    </row>
    <row r="45" spans="1:14" x14ac:dyDescent="0.35">
      <c r="A45" t="str">
        <f>IF(A10="","","    "&amp;A10&amp;" Share")</f>
        <v/>
      </c>
      <c r="B45" s="1"/>
      <c r="C45" s="14" t="str">
        <f t="shared" si="8"/>
        <v/>
      </c>
      <c r="D45" s="14" t="str">
        <f t="shared" si="8"/>
        <v/>
      </c>
      <c r="E45" s="14" t="str">
        <f t="shared" si="8"/>
        <v/>
      </c>
      <c r="F45" s="14" t="str">
        <f t="shared" si="8"/>
        <v/>
      </c>
      <c r="G45" s="14" t="str">
        <f t="shared" si="8"/>
        <v/>
      </c>
      <c r="H45" s="14" t="str">
        <f t="shared" si="8"/>
        <v/>
      </c>
      <c r="I45" s="14" t="str">
        <f t="shared" si="8"/>
        <v/>
      </c>
      <c r="J45" s="14" t="str">
        <f t="shared" si="8"/>
        <v/>
      </c>
      <c r="K45" s="14" t="str">
        <f t="shared" si="8"/>
        <v/>
      </c>
      <c r="L45" s="14" t="str">
        <f t="shared" si="8"/>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306</v>
      </c>
      <c r="B47" s="1"/>
      <c r="C47" s="51">
        <f>IF(C26="","",SUM(C26:C27)-C28)</f>
        <v>12.600000000000001</v>
      </c>
      <c r="D47" s="51">
        <f t="shared" ref="D47:L47" si="9">IF(D26="","",SUM(D26:D27)-D28)</f>
        <v>12.600000000000001</v>
      </c>
      <c r="E47" s="14">
        <f t="shared" si="9"/>
        <v>12.600000000000001</v>
      </c>
      <c r="F47" s="51">
        <f t="shared" si="9"/>
        <v>12.600000000000001</v>
      </c>
      <c r="G47" s="51">
        <f t="shared" si="9"/>
        <v>12.600000000000001</v>
      </c>
      <c r="H47" s="51">
        <f t="shared" si="9"/>
        <v>12.600000000000001</v>
      </c>
      <c r="I47" s="51">
        <f t="shared" si="9"/>
        <v>14.600000000000001</v>
      </c>
      <c r="J47" s="51">
        <f t="shared" si="9"/>
        <v>14.600000000000001</v>
      </c>
      <c r="K47" s="51">
        <f t="shared" si="9"/>
        <v>14.600000000000001</v>
      </c>
      <c r="L47" s="51">
        <f t="shared" si="9"/>
        <v>14.600000000000001</v>
      </c>
      <c r="M47" s="45"/>
      <c r="N47" s="45"/>
    </row>
    <row r="48" spans="1:14" x14ac:dyDescent="0.35">
      <c r="A48" t="str">
        <f>IF(A5="","","    To "&amp;A5)</f>
        <v xml:space="preserve">    To Upper Basin</v>
      </c>
      <c r="B48" s="163" t="s">
        <v>147</v>
      </c>
      <c r="C48" s="112">
        <f>IF(OR(C$26="",$A48=""),"",IF(C$26&gt;SUM(MIN($B49,C26-C50/2)+C50/2),C$26-SUM(MIN($B49,C26-C50/2)+C50/2),0))</f>
        <v>4.1763333333333339</v>
      </c>
      <c r="D48" s="112">
        <f t="shared" ref="D48:L48" ca="1" si="10">IF(OR(D$26="",$A48=""),"",IF(D$26&gt;SUM(MIN($B49,D26-D50/2)+D50/2),D$26-SUM(MIN($B49,D26-D50/2)+D50/2),0))</f>
        <v>4.1763333333333339</v>
      </c>
      <c r="E48" s="112">
        <f t="shared" ca="1" si="10"/>
        <v>4.1958333333333346</v>
      </c>
      <c r="F48" s="112">
        <f t="shared" ca="1" si="10"/>
        <v>4.1958333333333346</v>
      </c>
      <c r="G48" s="112">
        <f t="shared" ca="1" si="10"/>
        <v>4.1958333333333346</v>
      </c>
      <c r="H48" s="112">
        <f t="shared" ca="1" si="10"/>
        <v>4.1958333333333346</v>
      </c>
      <c r="I48" s="112">
        <f t="shared" ca="1" si="10"/>
        <v>6.2078333333333333</v>
      </c>
      <c r="J48" s="112">
        <f t="shared" ca="1" si="10"/>
        <v>6.1958333333333346</v>
      </c>
      <c r="K48" s="112">
        <f t="shared" ca="1" si="10"/>
        <v>6.1958333333333346</v>
      </c>
      <c r="L48" s="112">
        <f t="shared" ca="1" si="10"/>
        <v>6.1763333333333339</v>
      </c>
      <c r="M48" s="29"/>
      <c r="N48" s="29"/>
    </row>
    <row r="49" spans="1:14" x14ac:dyDescent="0.35">
      <c r="A49" t="str">
        <f>IF(A6="","","    To "&amp;A6)</f>
        <v xml:space="preserve">    To Lower Basin</v>
      </c>
      <c r="B49" s="164">
        <f>7.5</f>
        <v>7.5</v>
      </c>
      <c r="C49" s="112">
        <f>IF(OR(C$26="",$A49=""),"",C27-C28-C51-C50/2-C52+MIN($B49,C26-C50/2))</f>
        <v>6.3994038931776815</v>
      </c>
      <c r="D49" s="112">
        <f t="shared" ref="D49:L49" ca="1" si="11">IF(OR(D$26="",$A49=""),"",D27-D28-D51-D50/2+MIN($B49,D26-D50/2))</f>
        <v>6.4011585896653163</v>
      </c>
      <c r="E49" s="112">
        <f t="shared" ca="1" si="11"/>
        <v>6.4032752436393796</v>
      </c>
      <c r="F49" s="112">
        <f t="shared" ca="1" si="11"/>
        <v>6.3928931046173183</v>
      </c>
      <c r="G49" s="112">
        <f t="shared" ca="1" si="11"/>
        <v>6.3810204406124935</v>
      </c>
      <c r="H49" s="112">
        <f t="shared" ca="1" si="11"/>
        <v>6.3688937589612173</v>
      </c>
      <c r="I49" s="112">
        <f t="shared" ca="1" si="11"/>
        <v>6.3703582757240831</v>
      </c>
      <c r="J49" s="112">
        <f t="shared" ca="1" si="11"/>
        <v>6.3862442939164978</v>
      </c>
      <c r="K49" s="112">
        <f t="shared" ca="1" si="11"/>
        <v>6.4089662944951815</v>
      </c>
      <c r="L49" s="112">
        <f t="shared" ca="1" si="11"/>
        <v>6.4096031602846084</v>
      </c>
      <c r="M49" s="29"/>
      <c r="N49" s="29"/>
    </row>
    <row r="50" spans="1:14" x14ac:dyDescent="0.35">
      <c r="A50" t="str">
        <f>IF(A7="","","    To "&amp;A7)</f>
        <v xml:space="preserve">    To Mexico</v>
      </c>
      <c r="B50" s="164" t="s">
        <v>185</v>
      </c>
      <c r="C50" s="112">
        <f>IF(OR(C$26="",$A50=""),"",IF(C$47&gt;SUM(C51:C52,C46),C46,C$47-SUM(C51:C52)))</f>
        <v>1.4473333333333334</v>
      </c>
      <c r="D50" s="112">
        <f t="shared" ref="D50:L50" ca="1" si="12">IF(OR(D$26="",$A50=""),"",IF(D$47&gt;SUM(D51:D52,D46),D46,D$47-SUM(D51:D52)))</f>
        <v>1.4473333333333334</v>
      </c>
      <c r="E50" s="112">
        <f t="shared" ca="1" si="12"/>
        <v>1.4083333333333332</v>
      </c>
      <c r="F50" s="112">
        <f t="shared" ca="1" si="12"/>
        <v>1.4083333333333332</v>
      </c>
      <c r="G50" s="112">
        <f t="shared" ca="1" si="12"/>
        <v>1.4083333333333332</v>
      </c>
      <c r="H50" s="112">
        <f t="shared" ca="1" si="12"/>
        <v>1.4083333333333332</v>
      </c>
      <c r="I50" s="112">
        <f t="shared" ca="1" si="12"/>
        <v>1.3843333333333332</v>
      </c>
      <c r="J50" s="112">
        <f t="shared" ca="1" si="12"/>
        <v>1.4083333333333332</v>
      </c>
      <c r="K50" s="112">
        <f t="shared" ca="1" si="12"/>
        <v>1.4083333333333332</v>
      </c>
      <c r="L50" s="112">
        <f t="shared" ca="1" si="12"/>
        <v>1.4473333333333334</v>
      </c>
      <c r="M50" s="29"/>
      <c r="N50" s="29"/>
    </row>
    <row r="51" spans="1:14" x14ac:dyDescent="0.35">
      <c r="A51" t="str">
        <f>IF(A8="","","    To "&amp;A8)</f>
        <v xml:space="preserve">    To Shared, Reserve</v>
      </c>
      <c r="B51" s="164" t="s">
        <v>184</v>
      </c>
      <c r="C51" s="112">
        <f>IF(OR(C$26="",$A51=""),"",IF(C$47&gt;C43+C52,C43,C47-C52))</f>
        <v>0.56137388460009618</v>
      </c>
      <c r="D51" s="112">
        <f t="shared" ref="D51:K51" ca="1" si="13">IF(OR(D$26="",$A51=""),"",IF(D$47&gt;D43+D52,D43,D47-D52))</f>
        <v>0.57517474366801769</v>
      </c>
      <c r="E51" s="112">
        <f t="shared" ca="1" si="13"/>
        <v>0.59255808969395352</v>
      </c>
      <c r="F51" s="112">
        <f t="shared" ca="1" si="13"/>
        <v>0.60294022871601494</v>
      </c>
      <c r="G51" s="112">
        <f t="shared" ca="1" si="13"/>
        <v>0.6148128927208395</v>
      </c>
      <c r="H51" s="112">
        <f t="shared" ca="1" si="13"/>
        <v>0.62693957437211578</v>
      </c>
      <c r="I51" s="112">
        <f t="shared" ca="1" si="13"/>
        <v>0.63747505760925061</v>
      </c>
      <c r="J51" s="112">
        <f t="shared" ca="1" si="13"/>
        <v>0.6095890394168354</v>
      </c>
      <c r="K51" s="112">
        <f t="shared" ca="1" si="13"/>
        <v>0.58686703883815161</v>
      </c>
      <c r="L51" s="112">
        <f ca="1">IF(OR(L$26="",$A51=""),"",IF(L$47&gt;L43+L52,L43,L47-L52))</f>
        <v>0.56673017304872475</v>
      </c>
      <c r="M51" s="29"/>
      <c r="N51" s="29"/>
    </row>
    <row r="52" spans="1:14" x14ac:dyDescent="0.35">
      <c r="A52" t="str">
        <f>IF(A9="","","    To "&amp;A9)</f>
        <v xml:space="preserve">    To Colorado River Delta</v>
      </c>
      <c r="B52" s="177">
        <f>0.21/9*(2/3)</f>
        <v>1.5555555555555553E-2</v>
      </c>
      <c r="C52" s="178">
        <f>IF(OR(C$26="",$A52=""),"",IF(C$47&gt;$B52,$B52,C47-$B52))</f>
        <v>1.5555555555555553E-2</v>
      </c>
      <c r="D52" s="178">
        <f t="shared" ref="D52:L52" si="14">IF(OR(D$26="",$A52=""),"",IF(D$47&gt;$B52,$B52,D47-$B52))</f>
        <v>1.5555555555555553E-2</v>
      </c>
      <c r="E52" s="178">
        <f t="shared" si="14"/>
        <v>1.5555555555555553E-2</v>
      </c>
      <c r="F52" s="178">
        <f t="shared" si="14"/>
        <v>1.5555555555555553E-2</v>
      </c>
      <c r="G52" s="178">
        <f t="shared" si="14"/>
        <v>1.5555555555555553E-2</v>
      </c>
      <c r="H52" s="178">
        <f t="shared" si="14"/>
        <v>1.5555555555555553E-2</v>
      </c>
      <c r="I52" s="178">
        <f t="shared" si="14"/>
        <v>1.5555555555555553E-2</v>
      </c>
      <c r="J52" s="178">
        <f t="shared" si="14"/>
        <v>1.5555555555555553E-2</v>
      </c>
      <c r="K52" s="178">
        <f t="shared" si="14"/>
        <v>1.5555555555555553E-2</v>
      </c>
      <c r="L52" s="178">
        <f t="shared" si="14"/>
        <v>1.5555555555555553E-2</v>
      </c>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179"/>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c r="J57" s="159"/>
      <c r="K57" s="159"/>
      <c r="L57" s="159"/>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c r="J58" s="160"/>
      <c r="K58" s="160"/>
      <c r="L58" s="160"/>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5">IF(OR(C$26="",$A59=""),"",C$112)</f>
        <v>0</v>
      </c>
      <c r="D59" s="67">
        <f t="shared" ca="1" si="15"/>
        <v>0</v>
      </c>
      <c r="E59" s="67">
        <f t="shared" ca="1" si="15"/>
        <v>0</v>
      </c>
      <c r="F59" s="67">
        <f t="shared" ca="1" si="15"/>
        <v>0</v>
      </c>
      <c r="G59" s="67">
        <f t="shared" ca="1" si="15"/>
        <v>0</v>
      </c>
      <c r="H59" s="67">
        <f t="shared" ca="1" si="15"/>
        <v>0</v>
      </c>
      <c r="I59" s="67">
        <f t="shared" ca="1" si="15"/>
        <v>0</v>
      </c>
      <c r="J59" s="67">
        <f t="shared" ca="1" si="15"/>
        <v>0</v>
      </c>
      <c r="K59" s="67">
        <f t="shared" ca="1" si="15"/>
        <v>0</v>
      </c>
      <c r="L59" s="67">
        <f t="shared" ca="1" si="15"/>
        <v>0</v>
      </c>
      <c r="M59" t="str">
        <f t="shared" si="15"/>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6">IF(OR(D$26="",$A60=""),"",D30+D48-D40-D57)</f>
        <v>8.7419931728564819</v>
      </c>
      <c r="E60" s="14">
        <f t="shared" ca="1" si="16"/>
        <v>8.505632950918347</v>
      </c>
      <c r="F60" s="14">
        <f t="shared" ca="1" si="16"/>
        <v>8.2774992917764454</v>
      </c>
      <c r="G60" s="14">
        <f t="shared" ca="1" si="16"/>
        <v>8.0570559854908534</v>
      </c>
      <c r="H60" s="14">
        <f t="shared" ca="1" si="16"/>
        <v>7.8442700686244686</v>
      </c>
      <c r="I60" s="14">
        <f t="shared" ca="1" si="16"/>
        <v>9.6516808887639716</v>
      </c>
      <c r="J60" s="14">
        <f t="shared" ca="1" si="16"/>
        <v>11.360805880211199</v>
      </c>
      <c r="K60" s="14">
        <f t="shared" ca="1" si="16"/>
        <v>12.994083818831927</v>
      </c>
      <c r="L60" s="14">
        <f t="shared" ca="1" si="16"/>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f>IF(C60&gt;4.2,4.2,MAX(C60,0))</f>
        <v>4.2</v>
      </c>
      <c r="D61" s="161">
        <f t="shared" ref="D61:L61" ca="1" si="17">IF(D60&gt;4.2,4.2,MAX(D60,0))</f>
        <v>4.2</v>
      </c>
      <c r="E61" s="161">
        <f t="shared" ca="1" si="17"/>
        <v>4.2</v>
      </c>
      <c r="F61" s="161">
        <f t="shared" ca="1" si="17"/>
        <v>4.2</v>
      </c>
      <c r="G61" s="161">
        <f t="shared" ca="1" si="17"/>
        <v>4.2</v>
      </c>
      <c r="H61" s="161">
        <f t="shared" ca="1" si="17"/>
        <v>4.2</v>
      </c>
      <c r="I61" s="161">
        <f t="shared" ca="1" si="17"/>
        <v>4.2</v>
      </c>
      <c r="J61" s="161">
        <f t="shared" ca="1" si="17"/>
        <v>4.2</v>
      </c>
      <c r="K61" s="161">
        <f t="shared" ca="1" si="17"/>
        <v>4.2</v>
      </c>
      <c r="L61" s="161">
        <f t="shared" ca="1" si="17"/>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18">IF(OR(D$26="",$A62=""),"",D60-D61)</f>
        <v>4.5419931728564817</v>
      </c>
      <c r="E62" s="66">
        <f t="shared" ca="1" si="18"/>
        <v>4.3056329509183469</v>
      </c>
      <c r="F62" s="66">
        <f t="shared" ca="1" si="18"/>
        <v>4.0774992917764452</v>
      </c>
      <c r="G62" s="66">
        <f t="shared" ca="1" si="18"/>
        <v>3.8570559854908533</v>
      </c>
      <c r="H62" s="66">
        <f t="shared" ca="1" si="18"/>
        <v>3.6442700686244685</v>
      </c>
      <c r="I62" s="66">
        <f t="shared" ca="1" si="18"/>
        <v>5.4516808887639714</v>
      </c>
      <c r="J62" s="66">
        <f t="shared" ca="1" si="18"/>
        <v>7.1608058802111989</v>
      </c>
      <c r="K62" s="66">
        <f t="shared" ca="1" si="18"/>
        <v>8.7940838188319255</v>
      </c>
      <c r="L62" s="66">
        <f t="shared" ca="1" si="18"/>
        <v>10.34044563359291</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c r="J65" s="159"/>
      <c r="K65" s="159">
        <v>0.02</v>
      </c>
      <c r="L65" s="159"/>
      <c r="M65" s="67">
        <f>SUM(C65:L65)</f>
        <v>0.02</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59"/>
      <c r="J66" s="159"/>
      <c r="K66" s="180">
        <v>7</v>
      </c>
      <c r="L66" s="159"/>
      <c r="M66" s="65">
        <f>SUM(C66:L66)</f>
        <v>7</v>
      </c>
      <c r="N66" t="str">
        <f t="shared" ref="N66:N70" si="19">IF(A66="","",N58)</f>
        <v>Add if multiple transactions, e.g.: $350*0.5 + $450*0.25</v>
      </c>
    </row>
    <row r="67" spans="1:14" x14ac:dyDescent="0.35">
      <c r="A67" s="32" t="str">
        <f>IF(A66="","","   Volume all players (should be zero)")</f>
        <v xml:space="preserve">   Volume all players (should be zero)</v>
      </c>
      <c r="C67" s="67">
        <f t="shared" ref="C67:M67" ca="1" si="20">IF(OR(C$26="",$A67=""),"",C$112)</f>
        <v>0</v>
      </c>
      <c r="D67" s="67">
        <f t="shared" ca="1" si="20"/>
        <v>0</v>
      </c>
      <c r="E67" s="67">
        <f t="shared" ca="1" si="20"/>
        <v>0</v>
      </c>
      <c r="F67" s="67">
        <f t="shared" ca="1" si="20"/>
        <v>0</v>
      </c>
      <c r="G67" s="67">
        <f t="shared" ca="1" si="20"/>
        <v>0</v>
      </c>
      <c r="H67" s="67">
        <f t="shared" ca="1" si="20"/>
        <v>0</v>
      </c>
      <c r="I67" s="67">
        <f t="shared" ca="1" si="20"/>
        <v>0</v>
      </c>
      <c r="J67" s="67">
        <f t="shared" ca="1" si="20"/>
        <v>0</v>
      </c>
      <c r="K67" s="67">
        <f t="shared" ca="1" si="20"/>
        <v>0</v>
      </c>
      <c r="L67" s="67">
        <f t="shared" ca="1" si="20"/>
        <v>0</v>
      </c>
      <c r="M67" t="str">
        <f t="shared" si="20"/>
        <v/>
      </c>
      <c r="N67" t="str">
        <f t="shared" si="19"/>
        <v>If non-zero, players need to change amount(s)</v>
      </c>
    </row>
    <row r="68" spans="1:14" x14ac:dyDescent="0.35">
      <c r="A68" s="1" t="str">
        <f>IF(A66="","","   Available Water [maf]")</f>
        <v xml:space="preserve">   Available Water [maf]</v>
      </c>
      <c r="C68" s="14">
        <f t="shared" ref="C68:L68" si="21">IF(OR(C$26="",$A68=""),"",C31+C49-C41-C65)</f>
        <v>10.454425967735233</v>
      </c>
      <c r="D68" s="14">
        <f t="shared" ca="1" si="21"/>
        <v>9.4380217521941425</v>
      </c>
      <c r="E68" s="14">
        <f t="shared" ca="1" si="21"/>
        <v>8.470902110724607</v>
      </c>
      <c r="F68" s="14">
        <f t="shared" ca="1" si="21"/>
        <v>7.894405054323089</v>
      </c>
      <c r="G68" s="14">
        <f t="shared" ca="1" si="21"/>
        <v>7.334991229398482</v>
      </c>
      <c r="H68" s="14">
        <f t="shared" ca="1" si="21"/>
        <v>6.7926541774187301</v>
      </c>
      <c r="I68" s="14">
        <f t="shared" ca="1" si="21"/>
        <v>6.3703582757240831</v>
      </c>
      <c r="J68" s="14">
        <f t="shared" ca="1" si="21"/>
        <v>6.3862442939164978</v>
      </c>
      <c r="K68" s="14">
        <f t="shared" ca="1" si="21"/>
        <v>6.3889662944951819</v>
      </c>
      <c r="L68" s="14">
        <f t="shared" ca="1" si="21"/>
        <v>6.4096031602846084</v>
      </c>
      <c r="N68" t="str">
        <f t="shared" si="19"/>
        <v>Available water = Account Balance + Available Inflow - Evaporation + Sales - Purchases</v>
      </c>
    </row>
    <row r="69" spans="1:14" x14ac:dyDescent="0.35">
      <c r="A69" s="1" t="str">
        <f>IF(A68="","","   Account Withdraw [maf]")</f>
        <v xml:space="preserve">   Account Withdraw [maf]</v>
      </c>
      <c r="C69" s="161">
        <f>IF(C27&lt;&gt;"",MIN(7.5-VLOOKUP(C38,LowerBasinCuts!$C$5:$P$13,14),C68),"")</f>
        <v>7.2590000000000003</v>
      </c>
      <c r="D69" s="161">
        <f ca="1">IF(D27&lt;&gt;"",MIN(7.5-VLOOKUP(D38,LowerBasinCuts!$C$5:$P$13,14),D68),"")</f>
        <v>7.2590000000000003</v>
      </c>
      <c r="E69" s="161">
        <f ca="1">IF(E27&lt;&gt;"",MIN(7.5-VLOOKUP(E38,LowerBasinCuts!$C$5:$P$13,14),E68),"")</f>
        <v>6.8870000000000005</v>
      </c>
      <c r="F69" s="161">
        <f ca="1">IF(F27&lt;&gt;"",MIN(7.5-VLOOKUP(F38,LowerBasinCuts!$C$5:$P$13,14),F68),"")</f>
        <v>6.8870000000000005</v>
      </c>
      <c r="G69" s="161">
        <f ca="1">IF(G27&lt;&gt;"",MIN(7.5-VLOOKUP(G38,LowerBasinCuts!$C$5:$P$13,14),G68),"")</f>
        <v>6.8870000000000005</v>
      </c>
      <c r="H69" s="161">
        <f ca="1">IF(H27&lt;&gt;"",MIN(7.5-VLOOKUP(H38,LowerBasinCuts!$C$5:$P$13,14),H68),"")</f>
        <v>6.7926541774187301</v>
      </c>
      <c r="I69" s="161">
        <f ca="1">IF(I27&lt;&gt;"",MIN(7.5-VLOOKUP(I38,LowerBasinCuts!$C$5:$P$13,14),I68),"")</f>
        <v>6.3703582757240831</v>
      </c>
      <c r="J69" s="161">
        <f ca="1">IF(J27&lt;&gt;"",MIN(7.5-VLOOKUP(J38,LowerBasinCuts!$C$5:$P$13,14),J68),"")</f>
        <v>6.3862442939164978</v>
      </c>
      <c r="K69" s="161">
        <f ca="1">IF(K27&lt;&gt;"",MIN(7.5-VLOOKUP(K38,LowerBasinCuts!$C$5:$P$13,14),K68),"")</f>
        <v>6.3889662944951819</v>
      </c>
      <c r="L69" s="161">
        <f ca="1">IF(L27&lt;&gt;"",MIN(7.5-VLOOKUP(L38,LowerBasinCuts!$C$5:$P$13,14),L68),"")</f>
        <v>6.4096031602846084</v>
      </c>
      <c r="N69" t="str">
        <f t="shared" si="19"/>
        <v>Must be less than Available water</v>
      </c>
    </row>
    <row r="70" spans="1:14" x14ac:dyDescent="0.35">
      <c r="A70" s="32" t="str">
        <f>IF(A69="","","   End of Year Balance [maf]")</f>
        <v xml:space="preserve">   End of Year Balance [maf]</v>
      </c>
      <c r="C70" s="66">
        <f>IF(OR(C$26="",$A70=""),"",C68-C69)</f>
        <v>3.1954259677352326</v>
      </c>
      <c r="D70" s="66">
        <f t="shared" ref="D70:L70" ca="1" si="22">IF(OR(D$26="",$A70=""),"",D68-D69)</f>
        <v>2.1790217521941422</v>
      </c>
      <c r="E70" s="66">
        <f t="shared" ca="1" si="22"/>
        <v>1.5839021107246065</v>
      </c>
      <c r="F70" s="66">
        <f t="shared" ca="1" si="22"/>
        <v>1.0074050543230886</v>
      </c>
      <c r="G70" s="66">
        <f t="shared" ca="1" si="22"/>
        <v>0.44799122939848157</v>
      </c>
      <c r="H70" s="66">
        <f t="shared" ca="1" si="22"/>
        <v>0</v>
      </c>
      <c r="I70" s="66">
        <f t="shared" ca="1" si="22"/>
        <v>0</v>
      </c>
      <c r="J70" s="66">
        <f t="shared" ca="1" si="22"/>
        <v>0</v>
      </c>
      <c r="K70" s="66">
        <f t="shared" ca="1" si="22"/>
        <v>0</v>
      </c>
      <c r="L70" s="66">
        <f t="shared" ca="1" si="22"/>
        <v>0</v>
      </c>
      <c r="N70" t="str">
        <f t="shared" si="19"/>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v>1.6E-2</v>
      </c>
      <c r="F73" s="159"/>
      <c r="G73" s="159"/>
      <c r="H73" s="159">
        <v>1.6E-2</v>
      </c>
      <c r="I73" s="159"/>
      <c r="J73" s="159"/>
      <c r="K73" s="159">
        <v>1.6E-2</v>
      </c>
      <c r="L73" s="159"/>
      <c r="M73" s="67">
        <f>SUM(C73:L73)</f>
        <v>4.8000000000000001E-2</v>
      </c>
      <c r="N73" t="str">
        <f>IF(A73="","",N65)</f>
        <v>Add if multiple transactions, e.g.: 0.5 + 0.25</v>
      </c>
    </row>
    <row r="74" spans="1:14" x14ac:dyDescent="0.35">
      <c r="A74" s="32" t="str">
        <f>IF(A73="","","   Cash Intake(+) and Payments(-) [$ Mill]")</f>
        <v xml:space="preserve">   Cash Intake(+) and Payments(-) [$ Mill]</v>
      </c>
      <c r="C74" s="160"/>
      <c r="D74" s="160"/>
      <c r="E74" s="160">
        <v>5.6000000000000005</v>
      </c>
      <c r="F74" s="160"/>
      <c r="G74" s="160"/>
      <c r="H74" s="160">
        <v>5.6000000000000005</v>
      </c>
      <c r="I74" s="160"/>
      <c r="J74" s="160"/>
      <c r="K74" s="160">
        <v>5.6000000000000005</v>
      </c>
      <c r="L74" s="160"/>
      <c r="M74" s="65">
        <f>SUM(C74:L74)</f>
        <v>16.8</v>
      </c>
      <c r="N74" t="str">
        <f t="shared" ref="N74:N78" si="23">IF(A74="","",N66)</f>
        <v>Add if multiple transactions, e.g.: $350*0.5 + $450*0.25</v>
      </c>
    </row>
    <row r="75" spans="1:14" x14ac:dyDescent="0.35">
      <c r="A75" s="32" t="str">
        <f>IF(A74="","","   Volume all players (should be zero)")</f>
        <v xml:space="preserve">   Volume all players (should be zero)</v>
      </c>
      <c r="C75" s="67">
        <f t="shared" ref="C75:M75" ca="1" si="24">IF(OR(C$26="",$A75=""),"",C$112)</f>
        <v>0</v>
      </c>
      <c r="D75" s="67">
        <f t="shared" ca="1" si="24"/>
        <v>0</v>
      </c>
      <c r="E75" s="67">
        <f t="shared" ca="1" si="24"/>
        <v>0</v>
      </c>
      <c r="F75" s="67">
        <f t="shared" ca="1" si="24"/>
        <v>0</v>
      </c>
      <c r="G75" s="67">
        <f t="shared" ca="1" si="24"/>
        <v>0</v>
      </c>
      <c r="H75" s="67">
        <f t="shared" ca="1" si="24"/>
        <v>0</v>
      </c>
      <c r="I75" s="67">
        <f t="shared" ca="1" si="24"/>
        <v>0</v>
      </c>
      <c r="J75" s="67">
        <f t="shared" ca="1" si="24"/>
        <v>0</v>
      </c>
      <c r="K75" s="67">
        <f t="shared" ca="1" si="24"/>
        <v>0</v>
      </c>
      <c r="L75" s="67">
        <f t="shared" ca="1" si="24"/>
        <v>0</v>
      </c>
      <c r="M75" t="str">
        <f t="shared" si="24"/>
        <v/>
      </c>
      <c r="N75" t="str">
        <f t="shared" si="23"/>
        <v>If non-zero, players need to change amount(s)</v>
      </c>
    </row>
    <row r="76" spans="1:14" x14ac:dyDescent="0.35">
      <c r="A76" s="1" t="str">
        <f>IF(A74="","","   Available Water [maf]")</f>
        <v xml:space="preserve">   Available Water [maf]</v>
      </c>
      <c r="C76" s="14">
        <f t="shared" ref="C76:L76" si="25">IF(OR(C$26="",$A76=""),"",C32+C50-C42-C73)</f>
        <v>1.6129063098110585</v>
      </c>
      <c r="D76" s="14">
        <f t="shared" ca="1" si="25"/>
        <v>1.6046902798101226</v>
      </c>
      <c r="E76" s="14">
        <f t="shared" ca="1" si="25"/>
        <v>1.5416459548940351</v>
      </c>
      <c r="F76" s="14">
        <f ca="1">IF(OR(F$26="",$A76=""),"",F32+F50-F42-F73)</f>
        <v>1.5347114049102584</v>
      </c>
      <c r="G76" s="14">
        <f t="shared" ca="1" si="25"/>
        <v>1.5280081236375178</v>
      </c>
      <c r="H76" s="14">
        <f t="shared" ca="1" si="25"/>
        <v>1.5055351906246228</v>
      </c>
      <c r="I76" s="14">
        <f t="shared" ca="1" si="25"/>
        <v>1.476189417627952</v>
      </c>
      <c r="J76" s="14">
        <f t="shared" ca="1" si="25"/>
        <v>1.4953586312782705</v>
      </c>
      <c r="K76" s="14">
        <f t="shared" ca="1" si="25"/>
        <v>1.4749524943470067</v>
      </c>
      <c r="L76" s="14">
        <f t="shared" ca="1" si="25"/>
        <v>1.5106952656899721</v>
      </c>
      <c r="N76" t="str">
        <f t="shared" si="23"/>
        <v>Available water = Account Balance + Available Inflow - Evaporation + Sales - Purchases</v>
      </c>
    </row>
    <row r="77" spans="1:14" x14ac:dyDescent="0.35">
      <c r="A77" s="1" t="str">
        <f>IF(A76="","","   Account Withdraw [maf]")</f>
        <v xml:space="preserve">   Account Withdraw [maf]</v>
      </c>
      <c r="C77" s="161">
        <f>MIN(C46,C76)</f>
        <v>1.4473333333333334</v>
      </c>
      <c r="D77" s="161">
        <f t="shared" ref="D77:L77" ca="1" si="26">MIN(D46,D76)</f>
        <v>1.4473333333333334</v>
      </c>
      <c r="E77" s="161">
        <f t="shared" ca="1" si="26"/>
        <v>1.4083333333333332</v>
      </c>
      <c r="F77" s="161">
        <f t="shared" ca="1" si="26"/>
        <v>1.4083333333333332</v>
      </c>
      <c r="G77" s="161">
        <f t="shared" ca="1" si="26"/>
        <v>1.4083333333333332</v>
      </c>
      <c r="H77" s="161">
        <f t="shared" ca="1" si="26"/>
        <v>1.4083333333333332</v>
      </c>
      <c r="I77" s="161">
        <f t="shared" ca="1" si="26"/>
        <v>1.3843333333333332</v>
      </c>
      <c r="J77" s="161">
        <f t="shared" ca="1" si="26"/>
        <v>1.4083333333333332</v>
      </c>
      <c r="K77" s="161">
        <f t="shared" ca="1" si="26"/>
        <v>1.4083333333333332</v>
      </c>
      <c r="L77" s="161">
        <f t="shared" ca="1" si="26"/>
        <v>1.4473333333333334</v>
      </c>
      <c r="N77" t="str">
        <f t="shared" si="23"/>
        <v>Must be less than Available water</v>
      </c>
    </row>
    <row r="78" spans="1:14" x14ac:dyDescent="0.35">
      <c r="A78" s="32" t="str">
        <f>IF(A77="","","   End of Year Balance [maf]")</f>
        <v xml:space="preserve">   End of Year Balance [maf]</v>
      </c>
      <c r="C78" s="66">
        <f>IF(OR(C$26="",$A78=""),"",C76-C77)</f>
        <v>0.16557297647772518</v>
      </c>
      <c r="D78" s="66">
        <f t="shared" ref="D78:L78" ca="1" si="27">IF(OR(D$26="",$A78=""),"",D76-D77)</f>
        <v>0.15735694647678922</v>
      </c>
      <c r="E78" s="66">
        <f t="shared" ca="1" si="27"/>
        <v>0.13331262156070189</v>
      </c>
      <c r="F78" s="66">
        <f t="shared" ca="1" si="27"/>
        <v>0.12637807157692516</v>
      </c>
      <c r="G78" s="66">
        <f t="shared" ca="1" si="27"/>
        <v>0.1196747903041846</v>
      </c>
      <c r="H78" s="66">
        <f t="shared" ca="1" si="27"/>
        <v>9.7201857291289606E-2</v>
      </c>
      <c r="I78" s="66">
        <f t="shared" ca="1" si="27"/>
        <v>9.1856084294618778E-2</v>
      </c>
      <c r="J78" s="66">
        <f t="shared" ca="1" si="27"/>
        <v>8.7025297944937297E-2</v>
      </c>
      <c r="K78" s="66">
        <f t="shared" ca="1" si="27"/>
        <v>6.6619161013673489E-2</v>
      </c>
      <c r="L78" s="66">
        <f t="shared" ca="1" si="27"/>
        <v>6.3361932356638784E-2</v>
      </c>
      <c r="N78" t="str">
        <f t="shared" si="23"/>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28">IF(A82="","",N74)</f>
        <v>Add if multiple transactions, e.g.: $350*0.5 + $450*0.25</v>
      </c>
    </row>
    <row r="83" spans="1:14" x14ac:dyDescent="0.35">
      <c r="A83" s="32" t="str">
        <f>IF(A82="","","   Volume all players (should be zero)")</f>
        <v xml:space="preserve">   Volume all players (should be zero)</v>
      </c>
      <c r="C83" s="67">
        <f t="shared" ref="C83:M83" ca="1" si="29">IF(OR(C$26="",$A83=""),"",C$112)</f>
        <v>0</v>
      </c>
      <c r="D83" s="67">
        <f t="shared" ca="1" si="29"/>
        <v>0</v>
      </c>
      <c r="E83" s="67">
        <f t="shared" ca="1" si="29"/>
        <v>0</v>
      </c>
      <c r="F83" s="67">
        <f t="shared" ca="1" si="29"/>
        <v>0</v>
      </c>
      <c r="G83" s="67">
        <f t="shared" ca="1" si="29"/>
        <v>0</v>
      </c>
      <c r="H83" s="67">
        <f t="shared" ca="1" si="29"/>
        <v>0</v>
      </c>
      <c r="I83" s="67">
        <f t="shared" ca="1" si="29"/>
        <v>0</v>
      </c>
      <c r="J83" s="67">
        <f t="shared" ca="1" si="29"/>
        <v>0</v>
      </c>
      <c r="K83" s="67">
        <f t="shared" ca="1" si="29"/>
        <v>0</v>
      </c>
      <c r="L83" s="67">
        <f t="shared" ca="1" si="29"/>
        <v>0</v>
      </c>
      <c r="M83" t="str">
        <f t="shared" si="29"/>
        <v/>
      </c>
      <c r="N83" t="str">
        <f t="shared" si="28"/>
        <v>If non-zero, players need to change amount(s)</v>
      </c>
    </row>
    <row r="84" spans="1:14" x14ac:dyDescent="0.35">
      <c r="A84" s="1" t="str">
        <f>IF(A82="","","   Available Water [maf]")</f>
        <v xml:space="preserve">   Available Water [maf]</v>
      </c>
      <c r="C84" s="14">
        <f t="shared" ref="C84:L84" si="30">IF(OR(C$26="",$A84=""),"",C33+C51-C43-C81)</f>
        <v>11.59116925</v>
      </c>
      <c r="D84" s="14">
        <f t="shared" ca="1" si="30"/>
        <v>11.59116925</v>
      </c>
      <c r="E84" s="14">
        <f t="shared" ca="1" si="30"/>
        <v>11.59116925</v>
      </c>
      <c r="F84" s="14">
        <f t="shared" ca="1" si="30"/>
        <v>11.59116925</v>
      </c>
      <c r="G84" s="14">
        <f t="shared" ca="1" si="30"/>
        <v>11.59116925</v>
      </c>
      <c r="H84" s="14">
        <f t="shared" ca="1" si="30"/>
        <v>11.59116925</v>
      </c>
      <c r="I84" s="14">
        <f t="shared" ca="1" si="30"/>
        <v>11.59116925</v>
      </c>
      <c r="J84" s="14">
        <f t="shared" ca="1" si="30"/>
        <v>11.59116925</v>
      </c>
      <c r="K84" s="14">
        <f t="shared" ca="1" si="30"/>
        <v>11.59116925</v>
      </c>
      <c r="L84" s="14">
        <f t="shared" ca="1" si="30"/>
        <v>11.59116925</v>
      </c>
      <c r="N84" t="str">
        <f t="shared" si="28"/>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28"/>
        <v>Must be less than Available water</v>
      </c>
    </row>
    <row r="86" spans="1:14" x14ac:dyDescent="0.35">
      <c r="A86" s="32" t="str">
        <f>IF(A85="","","   End of Year Balance [maf]")</f>
        <v xml:space="preserve">   End of Year Balance [maf]</v>
      </c>
      <c r="C86" s="66">
        <f>IF(OR(C$26="",$A86=""),"",C84-C85)</f>
        <v>11.59116925</v>
      </c>
      <c r="D86" s="66">
        <f t="shared" ref="D86:L86" ca="1" si="31">IF(OR(D$26="",$A86=""),"",D84-D85)</f>
        <v>11.59116925</v>
      </c>
      <c r="E86" s="66">
        <f t="shared" ca="1" si="31"/>
        <v>11.59116925</v>
      </c>
      <c r="F86" s="66">
        <f t="shared" ca="1" si="31"/>
        <v>11.59116925</v>
      </c>
      <c r="G86" s="66">
        <f t="shared" ca="1" si="31"/>
        <v>11.59116925</v>
      </c>
      <c r="H86" s="66">
        <f t="shared" ca="1" si="31"/>
        <v>11.59116925</v>
      </c>
      <c r="I86" s="66">
        <f t="shared" ca="1" si="31"/>
        <v>11.59116925</v>
      </c>
      <c r="J86" s="66">
        <f t="shared" ca="1" si="31"/>
        <v>11.59116925</v>
      </c>
      <c r="K86" s="66">
        <f t="shared" ca="1" si="31"/>
        <v>11.59116925</v>
      </c>
      <c r="L86" s="66">
        <f t="shared" ca="1" si="31"/>
        <v>11.59116925</v>
      </c>
      <c r="N86" t="str">
        <f t="shared" si="28"/>
        <v>Available water - Account Withdraw</v>
      </c>
    </row>
    <row r="87" spans="1:14" x14ac:dyDescent="0.35">
      <c r="C87"/>
    </row>
    <row r="88" spans="1:14" x14ac:dyDescent="0.35">
      <c r="A88" s="172" t="str">
        <f>IF(A$9="","[Unused]",A9)</f>
        <v>Colorado River Delta</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xml:space="preserve">   Volume of Sales(+) and Purchases(-) [maf]</v>
      </c>
      <c r="C89" s="159"/>
      <c r="D89" s="159"/>
      <c r="E89" s="159">
        <f>-E73</f>
        <v>-1.6E-2</v>
      </c>
      <c r="F89" s="159"/>
      <c r="G89" s="159"/>
      <c r="H89" s="159">
        <f>-H73</f>
        <v>-1.6E-2</v>
      </c>
      <c r="I89" s="159"/>
      <c r="J89" s="159"/>
      <c r="K89" s="159">
        <f>-SUM(K73,K65)</f>
        <v>-3.6000000000000004E-2</v>
      </c>
      <c r="L89" s="159"/>
      <c r="M89" s="67">
        <f>SUM(C89:L89)</f>
        <v>-6.8000000000000005E-2</v>
      </c>
      <c r="N89" t="str">
        <f>IF(A89="","",N81)</f>
        <v>Add if multiple transactions, e.g.: 0.5 + 0.25</v>
      </c>
    </row>
    <row r="90" spans="1:14" x14ac:dyDescent="0.35">
      <c r="A90" s="32" t="str">
        <f>IF(A89="","","   Cash Intake(+) and Payments(-) [$ Mill]")</f>
        <v xml:space="preserve">   Cash Intake(+) and Payments(-) [$ Mill]</v>
      </c>
      <c r="C90" s="160"/>
      <c r="D90" s="160"/>
      <c r="E90" s="160">
        <f>-E74</f>
        <v>-5.6000000000000005</v>
      </c>
      <c r="F90" s="160"/>
      <c r="G90" s="160"/>
      <c r="H90" s="160">
        <f>-H74</f>
        <v>-5.6000000000000005</v>
      </c>
      <c r="I90" s="160"/>
      <c r="J90" s="160"/>
      <c r="K90" s="159">
        <f>-SUM(K74,K66)</f>
        <v>-12.600000000000001</v>
      </c>
      <c r="L90" s="160"/>
      <c r="M90" s="65">
        <f>SUM(C90:L90)</f>
        <v>-23.800000000000004</v>
      </c>
      <c r="N90" t="str">
        <f t="shared" ref="N90:N94" si="32">IF(A90="","",N82)</f>
        <v>Add if multiple transactions, e.g.: $350*0.5 + $450*0.25</v>
      </c>
    </row>
    <row r="91" spans="1:14" x14ac:dyDescent="0.35">
      <c r="A91" s="32" t="str">
        <f>IF(A90="","","   Volume all players (should be zero)")</f>
        <v xml:space="preserve">   Volume all players (should be zero)</v>
      </c>
      <c r="C91" s="67">
        <f t="shared" ref="C91:M91" ca="1" si="33">IF(OR(C$26="",$A91=""),"",C$112)</f>
        <v>0</v>
      </c>
      <c r="D91" s="67">
        <f t="shared" ca="1" si="33"/>
        <v>0</v>
      </c>
      <c r="E91" s="67">
        <f t="shared" ca="1" si="33"/>
        <v>0</v>
      </c>
      <c r="F91" s="67">
        <f t="shared" ca="1" si="33"/>
        <v>0</v>
      </c>
      <c r="G91" s="67">
        <f t="shared" ca="1" si="33"/>
        <v>0</v>
      </c>
      <c r="H91" s="67">
        <f t="shared" ca="1" si="33"/>
        <v>0</v>
      </c>
      <c r="I91" s="67">
        <f t="shared" ca="1" si="33"/>
        <v>0</v>
      </c>
      <c r="J91" s="67">
        <f t="shared" ca="1" si="33"/>
        <v>0</v>
      </c>
      <c r="K91" s="67">
        <f t="shared" ca="1" si="33"/>
        <v>0</v>
      </c>
      <c r="L91" s="67">
        <f t="shared" ca="1" si="33"/>
        <v>0</v>
      </c>
      <c r="M91" t="str">
        <f t="shared" si="33"/>
        <v/>
      </c>
      <c r="N91" t="str">
        <f t="shared" si="32"/>
        <v>If non-zero, players need to change amount(s)</v>
      </c>
    </row>
    <row r="92" spans="1:14" x14ac:dyDescent="0.35">
      <c r="A92" s="1" t="str">
        <f>IF(A90="","","   Available Water [maf]")</f>
        <v xml:space="preserve">   Available Water [maf]</v>
      </c>
      <c r="C92" s="14">
        <f t="shared" ref="C92:L92" si="34">IF(OR(C$26="",$A92=""),"",C34+C52-C44-C89)</f>
        <v>1.5555555555555553E-2</v>
      </c>
      <c r="D92" s="14">
        <f t="shared" ca="1" si="34"/>
        <v>1.5555555555555553E-2</v>
      </c>
      <c r="E92" s="14">
        <f t="shared" ca="1" si="34"/>
        <v>3.1555555555555552E-2</v>
      </c>
      <c r="F92" s="14">
        <f t="shared" ca="1" si="34"/>
        <v>1.5555555555555553E-2</v>
      </c>
      <c r="G92" s="14">
        <f t="shared" ca="1" si="34"/>
        <v>1.5555555555555553E-2</v>
      </c>
      <c r="H92" s="14">
        <f t="shared" ca="1" si="34"/>
        <v>3.1555555555555552E-2</v>
      </c>
      <c r="I92" s="14">
        <f t="shared" ca="1" si="34"/>
        <v>1.5555555555555553E-2</v>
      </c>
      <c r="J92" s="14">
        <f t="shared" ca="1" si="34"/>
        <v>1.5555555555555553E-2</v>
      </c>
      <c r="K92" s="14">
        <f t="shared" ca="1" si="34"/>
        <v>5.1555555555555556E-2</v>
      </c>
      <c r="L92" s="14">
        <f t="shared" ca="1" si="34"/>
        <v>1.5555555555555553E-2</v>
      </c>
      <c r="N92" t="str">
        <f t="shared" si="32"/>
        <v>Available water = Account Balance + Available Inflow - Evaporation + Sales - Purchases</v>
      </c>
    </row>
    <row r="93" spans="1:14" x14ac:dyDescent="0.35">
      <c r="A93" s="1" t="str">
        <f>IF(A92="","","   Account Withdraw [maf]")</f>
        <v xml:space="preserve">   Account Withdraw [maf]</v>
      </c>
      <c r="C93" s="161"/>
      <c r="D93" s="161"/>
      <c r="E93" s="161"/>
      <c r="F93" s="161"/>
      <c r="G93" s="161"/>
      <c r="H93" s="161"/>
      <c r="I93" s="161"/>
      <c r="J93" s="161"/>
      <c r="K93" s="161"/>
      <c r="L93" s="161"/>
      <c r="N93" t="str">
        <f t="shared" si="32"/>
        <v>Must be less than Available water</v>
      </c>
    </row>
    <row r="94" spans="1:14" x14ac:dyDescent="0.35">
      <c r="A94" s="32" t="str">
        <f>IF(A93="","","   End of Year Balance [maf]")</f>
        <v xml:space="preserve">   End of Year Balance [maf]</v>
      </c>
      <c r="C94" s="66">
        <f>IF(OR(C$26="",$A94=""),"",C92-C93)</f>
        <v>1.5555555555555553E-2</v>
      </c>
      <c r="D94" s="66">
        <f t="shared" ref="D94:L94" ca="1" si="35">IF(OR(D$26="",$A94=""),"",D92-D93)</f>
        <v>1.5555555555555553E-2</v>
      </c>
      <c r="E94" s="66">
        <f t="shared" ca="1" si="35"/>
        <v>3.1555555555555552E-2</v>
      </c>
      <c r="F94" s="66">
        <f t="shared" ca="1" si="35"/>
        <v>1.5555555555555553E-2</v>
      </c>
      <c r="G94" s="66">
        <f t="shared" ca="1" si="35"/>
        <v>1.5555555555555553E-2</v>
      </c>
      <c r="H94" s="66">
        <f t="shared" ca="1" si="35"/>
        <v>3.1555555555555552E-2</v>
      </c>
      <c r="I94" s="66">
        <f t="shared" ca="1" si="35"/>
        <v>1.5555555555555553E-2</v>
      </c>
      <c r="J94" s="66">
        <f t="shared" ca="1" si="35"/>
        <v>1.5555555555555553E-2</v>
      </c>
      <c r="K94" s="66">
        <f t="shared" ca="1" si="35"/>
        <v>5.1555555555555556E-2</v>
      </c>
      <c r="L94" s="66">
        <f t="shared" ca="1" si="35"/>
        <v>1.5555555555555553E-2</v>
      </c>
      <c r="N94" t="str">
        <f t="shared" si="32"/>
        <v>Available water - Account Withdraw</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6">IF(A98="","",N90)</f>
        <v/>
      </c>
    </row>
    <row r="99" spans="1:14" x14ac:dyDescent="0.35">
      <c r="A99" s="32" t="str">
        <f>IF(A98="","","   Volume all players (should be zero)")</f>
        <v/>
      </c>
      <c r="C99" s="67" t="str">
        <f t="shared" ref="C99:M99" si="37">IF(OR(C$26="",$A99=""),"",C$112)</f>
        <v/>
      </c>
      <c r="D99" s="67" t="str">
        <f t="shared" si="37"/>
        <v/>
      </c>
      <c r="E99" s="67" t="str">
        <f t="shared" si="37"/>
        <v/>
      </c>
      <c r="F99" s="67" t="str">
        <f t="shared" si="37"/>
        <v/>
      </c>
      <c r="G99" s="67" t="str">
        <f t="shared" si="37"/>
        <v/>
      </c>
      <c r="H99" s="67" t="str">
        <f t="shared" si="37"/>
        <v/>
      </c>
      <c r="I99" s="67" t="str">
        <f t="shared" si="37"/>
        <v/>
      </c>
      <c r="J99" s="67" t="str">
        <f t="shared" si="37"/>
        <v/>
      </c>
      <c r="K99" s="67" t="str">
        <f t="shared" si="37"/>
        <v/>
      </c>
      <c r="L99" s="67" t="str">
        <f t="shared" si="37"/>
        <v/>
      </c>
      <c r="M99" t="str">
        <f t="shared" si="37"/>
        <v/>
      </c>
      <c r="N99" t="str">
        <f t="shared" si="36"/>
        <v/>
      </c>
    </row>
    <row r="100" spans="1:14" x14ac:dyDescent="0.35">
      <c r="A100" s="1" t="str">
        <f>IF(A98="","","   Available Water [maf]")</f>
        <v/>
      </c>
      <c r="C100" s="14" t="str">
        <f t="shared" ref="C100:L100" si="38">IF(OR(C$26="",$A100=""),"",C35+C53-C45-C97)</f>
        <v/>
      </c>
      <c r="D100" s="14" t="str">
        <f t="shared" si="38"/>
        <v/>
      </c>
      <c r="E100" s="14" t="str">
        <f t="shared" si="38"/>
        <v/>
      </c>
      <c r="F100" s="14" t="str">
        <f t="shared" si="38"/>
        <v/>
      </c>
      <c r="G100" s="14" t="str">
        <f t="shared" si="38"/>
        <v/>
      </c>
      <c r="H100" s="14" t="str">
        <f t="shared" si="38"/>
        <v/>
      </c>
      <c r="I100" s="14" t="str">
        <f t="shared" si="38"/>
        <v/>
      </c>
      <c r="J100" s="14" t="str">
        <f t="shared" si="38"/>
        <v/>
      </c>
      <c r="K100" s="14" t="str">
        <f t="shared" si="38"/>
        <v/>
      </c>
      <c r="L100" s="14" t="str">
        <f t="shared" si="38"/>
        <v/>
      </c>
      <c r="N100" t="str">
        <f t="shared" si="36"/>
        <v/>
      </c>
    </row>
    <row r="101" spans="1:14" x14ac:dyDescent="0.35">
      <c r="A101" s="1" t="str">
        <f>IF(A100="","","   Account Withdraw [maf]")</f>
        <v/>
      </c>
      <c r="C101" s="161"/>
      <c r="D101" s="161"/>
      <c r="E101" s="161"/>
      <c r="F101" s="161"/>
      <c r="G101" s="161"/>
      <c r="H101" s="161"/>
      <c r="I101" s="161"/>
      <c r="J101" s="161"/>
      <c r="K101" s="161"/>
      <c r="L101" s="161"/>
      <c r="N101" t="str">
        <f t="shared" si="36"/>
        <v/>
      </c>
    </row>
    <row r="102" spans="1:14" x14ac:dyDescent="0.35">
      <c r="A102" s="32" t="str">
        <f>IF(A101="","","   End of Year Balance [maf]")</f>
        <v/>
      </c>
      <c r="C102" s="66" t="str">
        <f>IF(OR(C$26="",$A102=""),"",C100-C101)</f>
        <v/>
      </c>
      <c r="D102" s="66" t="str">
        <f t="shared" ref="D102:L102" si="39">IF(OR(D$26="",$A102=""),"",D100-D101)</f>
        <v/>
      </c>
      <c r="E102" s="66" t="str">
        <f t="shared" si="39"/>
        <v/>
      </c>
      <c r="F102" s="66" t="str">
        <f t="shared" si="39"/>
        <v/>
      </c>
      <c r="G102" s="66" t="str">
        <f t="shared" si="39"/>
        <v/>
      </c>
      <c r="H102" s="66" t="str">
        <f t="shared" si="39"/>
        <v/>
      </c>
      <c r="I102" s="66" t="str">
        <f t="shared" si="39"/>
        <v/>
      </c>
      <c r="J102" s="66" t="str">
        <f t="shared" si="39"/>
        <v/>
      </c>
      <c r="K102" s="66" t="str">
        <f t="shared" si="39"/>
        <v/>
      </c>
      <c r="L102" s="66" t="str">
        <f t="shared" si="39"/>
        <v/>
      </c>
      <c r="N102" t="str">
        <f t="shared" si="36"/>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f t="shared" ref="C106:L111" ca="1" si="40">IF(OR(C$26="",$A106=""),"",OFFSET(C$57,8*(ROW(B106)-ROW(B$106)),0))</f>
        <v>0</v>
      </c>
      <c r="D106" s="67">
        <f t="shared" ca="1" si="40"/>
        <v>0</v>
      </c>
      <c r="E106" s="67">
        <f t="shared" ca="1" si="40"/>
        <v>0</v>
      </c>
      <c r="F106" s="67">
        <f t="shared" ca="1" si="40"/>
        <v>0</v>
      </c>
      <c r="G106" s="67">
        <f t="shared" ca="1" si="40"/>
        <v>0</v>
      </c>
      <c r="H106" s="67">
        <f t="shared" ca="1" si="40"/>
        <v>0</v>
      </c>
      <c r="I106" s="67">
        <f t="shared" ca="1" si="40"/>
        <v>0</v>
      </c>
      <c r="J106" s="67">
        <f t="shared" ca="1" si="40"/>
        <v>0</v>
      </c>
      <c r="K106" s="67">
        <f t="shared" ca="1" si="40"/>
        <v>0</v>
      </c>
      <c r="L106" s="67">
        <f t="shared" ca="1" si="40"/>
        <v>0</v>
      </c>
      <c r="M106" s="67">
        <f ca="1">IF(OR($A106=""),"",SUM(C106:L106))</f>
        <v>0</v>
      </c>
      <c r="N106" s="65">
        <f>IF(OR($A106=""),"",M58)</f>
        <v>0</v>
      </c>
    </row>
    <row r="107" spans="1:14" x14ac:dyDescent="0.35">
      <c r="A107" t="str">
        <f>IF(A6="","","    "&amp;A6)</f>
        <v xml:space="preserve">    Lower Basin</v>
      </c>
      <c r="B107" s="1"/>
      <c r="C107" s="67">
        <f t="shared" ca="1" si="40"/>
        <v>0</v>
      </c>
      <c r="D107" s="67">
        <f t="shared" ca="1" si="40"/>
        <v>0</v>
      </c>
      <c r="E107" s="67">
        <f t="shared" ca="1" si="40"/>
        <v>0</v>
      </c>
      <c r="F107" s="67">
        <f t="shared" ca="1" si="40"/>
        <v>0</v>
      </c>
      <c r="G107" s="67">
        <f t="shared" ca="1" si="40"/>
        <v>0</v>
      </c>
      <c r="H107" s="67">
        <f t="shared" ca="1" si="40"/>
        <v>0</v>
      </c>
      <c r="I107" s="67">
        <f t="shared" ca="1" si="40"/>
        <v>0</v>
      </c>
      <c r="J107" s="67">
        <f t="shared" ca="1" si="40"/>
        <v>0</v>
      </c>
      <c r="K107" s="67">
        <f t="shared" ca="1" si="40"/>
        <v>0.02</v>
      </c>
      <c r="L107" s="67">
        <f t="shared" ca="1" si="40"/>
        <v>0</v>
      </c>
      <c r="M107" s="67">
        <f t="shared" ref="M107:M111" ca="1" si="41">IF(OR($A107=""),"",SUM(C107:L107))</f>
        <v>0.02</v>
      </c>
      <c r="N107" s="65">
        <f>IF(OR($A107=""),"",M66)</f>
        <v>7</v>
      </c>
    </row>
    <row r="108" spans="1:14" x14ac:dyDescent="0.35">
      <c r="A108" t="str">
        <f>IF(A7="","","    "&amp;A7)</f>
        <v xml:space="preserve">    Mexico</v>
      </c>
      <c r="B108" s="1"/>
      <c r="C108" s="67">
        <f t="shared" ca="1" si="40"/>
        <v>0</v>
      </c>
      <c r="D108" s="67">
        <f t="shared" ca="1" si="40"/>
        <v>0</v>
      </c>
      <c r="E108" s="67">
        <f t="shared" ca="1" si="40"/>
        <v>1.6E-2</v>
      </c>
      <c r="F108" s="67">
        <f t="shared" ca="1" si="40"/>
        <v>0</v>
      </c>
      <c r="G108" s="67">
        <f t="shared" ca="1" si="40"/>
        <v>0</v>
      </c>
      <c r="H108" s="67">
        <f t="shared" ca="1" si="40"/>
        <v>1.6E-2</v>
      </c>
      <c r="I108" s="67">
        <f t="shared" ca="1" si="40"/>
        <v>0</v>
      </c>
      <c r="J108" s="67">
        <f t="shared" ca="1" si="40"/>
        <v>0</v>
      </c>
      <c r="K108" s="67">
        <f t="shared" ca="1" si="40"/>
        <v>1.6E-2</v>
      </c>
      <c r="L108" s="67">
        <f t="shared" ca="1" si="40"/>
        <v>0</v>
      </c>
      <c r="M108" s="67">
        <f t="shared" ca="1" si="41"/>
        <v>4.8000000000000001E-2</v>
      </c>
      <c r="N108" s="65">
        <f>IF(OR($A108=""),"",M74)</f>
        <v>16.8</v>
      </c>
    </row>
    <row r="109" spans="1:14" x14ac:dyDescent="0.35">
      <c r="A109" t="str">
        <f>IF(A8="","","    "&amp;A8)</f>
        <v xml:space="preserve">    Shared, Reserve</v>
      </c>
      <c r="B109" s="1"/>
      <c r="C109" s="67">
        <f t="shared" ca="1" si="40"/>
        <v>0</v>
      </c>
      <c r="D109" s="67">
        <f t="shared" ca="1" si="40"/>
        <v>0</v>
      </c>
      <c r="E109" s="67">
        <f t="shared" ca="1" si="40"/>
        <v>0</v>
      </c>
      <c r="F109" s="67">
        <f t="shared" ca="1" si="40"/>
        <v>0</v>
      </c>
      <c r="G109" s="67">
        <f t="shared" ca="1" si="40"/>
        <v>0</v>
      </c>
      <c r="H109" s="67">
        <f t="shared" ca="1" si="40"/>
        <v>0</v>
      </c>
      <c r="I109" s="67">
        <f t="shared" ca="1" si="40"/>
        <v>0</v>
      </c>
      <c r="J109" s="67">
        <f t="shared" ca="1" si="40"/>
        <v>0</v>
      </c>
      <c r="K109" s="67">
        <f t="shared" ca="1" si="40"/>
        <v>0</v>
      </c>
      <c r="L109" s="67">
        <f t="shared" ca="1" si="40"/>
        <v>0</v>
      </c>
      <c r="M109" s="67">
        <f t="shared" ca="1" si="41"/>
        <v>0</v>
      </c>
      <c r="N109" s="65">
        <f>IF(OR($A109=""),"",M82)</f>
        <v>0</v>
      </c>
    </row>
    <row r="110" spans="1:14" x14ac:dyDescent="0.35">
      <c r="A110" t="str">
        <f>IF(A9="","","    "&amp;A9)</f>
        <v xml:space="preserve">    Colorado River Delta</v>
      </c>
      <c r="B110" s="1"/>
      <c r="C110" s="67">
        <f t="shared" ca="1" si="40"/>
        <v>0</v>
      </c>
      <c r="D110" s="67">
        <f t="shared" ca="1" si="40"/>
        <v>0</v>
      </c>
      <c r="E110" s="67">
        <f t="shared" ca="1" si="40"/>
        <v>-1.6E-2</v>
      </c>
      <c r="F110" s="67">
        <f t="shared" ca="1" si="40"/>
        <v>0</v>
      </c>
      <c r="G110" s="67">
        <f t="shared" ca="1" si="40"/>
        <v>0</v>
      </c>
      <c r="H110" s="67">
        <f t="shared" ca="1" si="40"/>
        <v>-1.6E-2</v>
      </c>
      <c r="I110" s="67">
        <f t="shared" ca="1" si="40"/>
        <v>0</v>
      </c>
      <c r="J110" s="67">
        <f t="shared" ca="1" si="40"/>
        <v>0</v>
      </c>
      <c r="K110" s="67">
        <f t="shared" ca="1" si="40"/>
        <v>-3.6000000000000004E-2</v>
      </c>
      <c r="L110" s="67">
        <f t="shared" ca="1" si="40"/>
        <v>0</v>
      </c>
      <c r="M110" s="67">
        <f t="shared" ca="1" si="41"/>
        <v>-6.8000000000000005E-2</v>
      </c>
      <c r="N110" s="65">
        <f>IF(OR($A110=""),"",M90)</f>
        <v>-23.800000000000004</v>
      </c>
    </row>
    <row r="111" spans="1:14" x14ac:dyDescent="0.35">
      <c r="A111" t="str">
        <f>IF(A10="","","    "&amp;A10)</f>
        <v/>
      </c>
      <c r="B111" s="1"/>
      <c r="C111" s="67" t="str">
        <f t="shared" ca="1" si="40"/>
        <v/>
      </c>
      <c r="D111" s="67" t="str">
        <f t="shared" ca="1" si="40"/>
        <v/>
      </c>
      <c r="E111" s="67" t="str">
        <f t="shared" ca="1" si="40"/>
        <v/>
      </c>
      <c r="F111" s="67" t="str">
        <f t="shared" ca="1" si="40"/>
        <v/>
      </c>
      <c r="G111" s="67" t="str">
        <f t="shared" ca="1" si="40"/>
        <v/>
      </c>
      <c r="H111" s="67" t="str">
        <f t="shared" ca="1" si="40"/>
        <v/>
      </c>
      <c r="I111" s="67" t="str">
        <f t="shared" ca="1" si="40"/>
        <v/>
      </c>
      <c r="J111" s="67" t="str">
        <f t="shared" ca="1" si="40"/>
        <v/>
      </c>
      <c r="K111" s="67" t="str">
        <f t="shared" ca="1" si="40"/>
        <v/>
      </c>
      <c r="L111" s="67" t="str">
        <f t="shared" ca="1" si="40"/>
        <v/>
      </c>
      <c r="M111" s="67" t="str">
        <f t="shared" si="41"/>
        <v/>
      </c>
      <c r="N111" s="65" t="str">
        <f>IF(OR($A111=""),"",M98)</f>
        <v/>
      </c>
    </row>
    <row r="112" spans="1:14" x14ac:dyDescent="0.35">
      <c r="A112" t="s">
        <v>146</v>
      </c>
      <c r="B112" s="1"/>
      <c r="C112" s="51">
        <f ca="1">IF(C$26&lt;&gt;"",SUM(C106:C111),"")</f>
        <v>0</v>
      </c>
      <c r="D112" s="51">
        <f t="shared" ref="D112:L112" ca="1" si="42">IF(D$26&lt;&gt;"",SUM(D106:D111),"")</f>
        <v>0</v>
      </c>
      <c r="E112" s="119">
        <f t="shared" ca="1" si="42"/>
        <v>0</v>
      </c>
      <c r="F112" s="51">
        <f t="shared" ca="1" si="42"/>
        <v>0</v>
      </c>
      <c r="G112" s="51">
        <f t="shared" ca="1" si="42"/>
        <v>0</v>
      </c>
      <c r="H112" s="51">
        <f t="shared" ca="1" si="42"/>
        <v>0</v>
      </c>
      <c r="I112" s="51">
        <f t="shared" ca="1" si="42"/>
        <v>0</v>
      </c>
      <c r="J112" s="51">
        <f t="shared" ca="1" si="42"/>
        <v>0</v>
      </c>
      <c r="K112" s="51">
        <f t="shared" ca="1" si="42"/>
        <v>0</v>
      </c>
      <c r="L112" s="51">
        <f t="shared" ca="1" si="42"/>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3">IF(OR(C$26="",$A114=""),"",OFFSET(C$61,8*(ROW(B114)-ROW(B$114)),0))</f>
        <v>4.2</v>
      </c>
      <c r="D114" s="67">
        <f t="shared" ca="1" si="43"/>
        <v>4.2</v>
      </c>
      <c r="E114" s="67">
        <f t="shared" ca="1" si="43"/>
        <v>4.2</v>
      </c>
      <c r="F114" s="67">
        <f t="shared" ca="1" si="43"/>
        <v>4.2</v>
      </c>
      <c r="G114" s="67">
        <f t="shared" ca="1" si="43"/>
        <v>4.2</v>
      </c>
      <c r="H114" s="67">
        <f t="shared" ca="1" si="43"/>
        <v>4.2</v>
      </c>
      <c r="I114" s="67">
        <f t="shared" ca="1" si="43"/>
        <v>4.2</v>
      </c>
      <c r="J114" s="67">
        <f t="shared" ca="1" si="43"/>
        <v>4.2</v>
      </c>
      <c r="K114" s="67">
        <f t="shared" ca="1" si="43"/>
        <v>4.2</v>
      </c>
      <c r="L114" s="67">
        <f t="shared" ca="1" si="43"/>
        <v>4.2</v>
      </c>
    </row>
    <row r="115" spans="1:12" x14ac:dyDescent="0.35">
      <c r="A115" t="str">
        <f>IF(A6="","","    "&amp;A6&amp;" - Release from Mead")</f>
        <v xml:space="preserve">    Lower Basin - Release from Mead</v>
      </c>
      <c r="C115" s="67">
        <f t="shared" ca="1" si="43"/>
        <v>7.2590000000000003</v>
      </c>
      <c r="D115" s="67">
        <f t="shared" ca="1" si="43"/>
        <v>7.2590000000000003</v>
      </c>
      <c r="E115" s="67">
        <f t="shared" ca="1" si="43"/>
        <v>6.8870000000000005</v>
      </c>
      <c r="F115" s="67">
        <f t="shared" ca="1" si="43"/>
        <v>6.8870000000000005</v>
      </c>
      <c r="G115" s="67">
        <f t="shared" ca="1" si="43"/>
        <v>6.8870000000000005</v>
      </c>
      <c r="H115" s="67">
        <f t="shared" ca="1" si="43"/>
        <v>6.7926541774187301</v>
      </c>
      <c r="I115" s="67">
        <f t="shared" ca="1" si="43"/>
        <v>6.3703582757240831</v>
      </c>
      <c r="J115" s="67">
        <f t="shared" ca="1" si="43"/>
        <v>6.3862442939164978</v>
      </c>
      <c r="K115" s="67">
        <f t="shared" ca="1" si="43"/>
        <v>6.3889662944951819</v>
      </c>
      <c r="L115" s="67">
        <f t="shared" ca="1" si="43"/>
        <v>6.4096031602846084</v>
      </c>
    </row>
    <row r="116" spans="1:12" x14ac:dyDescent="0.35">
      <c r="A116" t="str">
        <f>IF(A7="","","    "&amp;A7&amp;" - Release from Mead")</f>
        <v xml:space="preserve">    Mexico - Release from Mead</v>
      </c>
      <c r="C116" s="67">
        <f t="shared" ca="1" si="43"/>
        <v>1.4473333333333334</v>
      </c>
      <c r="D116" s="67">
        <f t="shared" ca="1" si="43"/>
        <v>1.4473333333333334</v>
      </c>
      <c r="E116" s="67">
        <f t="shared" ca="1" si="43"/>
        <v>1.4083333333333332</v>
      </c>
      <c r="F116" s="67">
        <f t="shared" ca="1" si="43"/>
        <v>1.4083333333333332</v>
      </c>
      <c r="G116" s="67">
        <f t="shared" ca="1" si="43"/>
        <v>1.4083333333333332</v>
      </c>
      <c r="H116" s="67">
        <f t="shared" ca="1" si="43"/>
        <v>1.4083333333333332</v>
      </c>
      <c r="I116" s="67">
        <f t="shared" ca="1" si="43"/>
        <v>1.3843333333333332</v>
      </c>
      <c r="J116" s="67">
        <f t="shared" ca="1" si="43"/>
        <v>1.4083333333333332</v>
      </c>
      <c r="K116" s="67">
        <f t="shared" ca="1" si="43"/>
        <v>1.4083333333333332</v>
      </c>
      <c r="L116" s="67">
        <f t="shared" ca="1" si="43"/>
        <v>1.4473333333333334</v>
      </c>
    </row>
    <row r="117" spans="1:12" x14ac:dyDescent="0.35">
      <c r="A117" t="str">
        <f>IF(A8="","","    "&amp;A8&amp;" - Release from Mead")</f>
        <v xml:space="preserve">    Shared, Reserve - Release from Mead</v>
      </c>
      <c r="C117" s="67">
        <f t="shared" ca="1" si="43"/>
        <v>0</v>
      </c>
      <c r="D117" s="67">
        <f t="shared" ca="1" si="43"/>
        <v>0</v>
      </c>
      <c r="E117" s="67">
        <f t="shared" ca="1" si="43"/>
        <v>0</v>
      </c>
      <c r="F117" s="67">
        <f t="shared" ca="1" si="43"/>
        <v>0</v>
      </c>
      <c r="G117" s="67">
        <f t="shared" ca="1" si="43"/>
        <v>0</v>
      </c>
      <c r="H117" s="67">
        <f t="shared" ca="1" si="43"/>
        <v>0</v>
      </c>
      <c r="I117" s="67">
        <f t="shared" ca="1" si="43"/>
        <v>0</v>
      </c>
      <c r="J117" s="67">
        <f t="shared" ca="1" si="43"/>
        <v>0</v>
      </c>
      <c r="K117" s="67">
        <f t="shared" ca="1" si="43"/>
        <v>0</v>
      </c>
      <c r="L117" s="67">
        <f t="shared" ca="1" si="43"/>
        <v>0</v>
      </c>
    </row>
    <row r="118" spans="1:12" x14ac:dyDescent="0.35">
      <c r="A118" t="str">
        <f>IF(A9="","","    "&amp;A9&amp;" - Release from Mead")</f>
        <v xml:space="preserve">    Colorado River Delta - Release from Mead</v>
      </c>
      <c r="C118" s="67">
        <f t="shared" ca="1" si="43"/>
        <v>0</v>
      </c>
      <c r="D118" s="67">
        <f t="shared" ca="1" si="43"/>
        <v>0</v>
      </c>
      <c r="E118" s="67">
        <f t="shared" ca="1" si="43"/>
        <v>0</v>
      </c>
      <c r="F118" s="67">
        <f t="shared" ca="1" si="43"/>
        <v>0</v>
      </c>
      <c r="G118" s="67">
        <f t="shared" ca="1" si="43"/>
        <v>0</v>
      </c>
      <c r="H118" s="67">
        <f t="shared" ca="1" si="43"/>
        <v>0</v>
      </c>
      <c r="I118" s="67">
        <f t="shared" ca="1" si="43"/>
        <v>0</v>
      </c>
      <c r="J118" s="67">
        <f t="shared" ca="1" si="43"/>
        <v>0</v>
      </c>
      <c r="K118" s="67">
        <f t="shared" ca="1" si="43"/>
        <v>0</v>
      </c>
      <c r="L118" s="67">
        <f t="shared" ca="1" si="43"/>
        <v>0</v>
      </c>
    </row>
    <row r="119" spans="1:12" x14ac:dyDescent="0.35">
      <c r="A119" t="str">
        <f>IF(A10="","","    "&amp;A10&amp;" - Release from Mead")</f>
        <v/>
      </c>
      <c r="C119" s="67" t="str">
        <f t="shared" ca="1" si="43"/>
        <v/>
      </c>
      <c r="D119" s="67" t="str">
        <f t="shared" ca="1" si="43"/>
        <v/>
      </c>
      <c r="E119" s="67" t="str">
        <f t="shared" ca="1" si="43"/>
        <v/>
      </c>
      <c r="F119" s="67" t="str">
        <f t="shared" ca="1" si="43"/>
        <v/>
      </c>
      <c r="G119" s="67" t="str">
        <f t="shared" ca="1" si="43"/>
        <v/>
      </c>
      <c r="H119" s="67" t="str">
        <f t="shared" ca="1" si="43"/>
        <v/>
      </c>
      <c r="I119" s="67" t="str">
        <f t="shared" ca="1" si="43"/>
        <v/>
      </c>
      <c r="J119" s="67" t="str">
        <f t="shared" ca="1" si="43"/>
        <v/>
      </c>
      <c r="K119" s="67" t="str">
        <f t="shared" ca="1" si="43"/>
        <v/>
      </c>
      <c r="L119" s="67" t="str">
        <f t="shared" ca="1" si="43"/>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f t="shared" ref="C121:L126" ca="1" si="44">IF(OR(C$26="",$A121=""),"",OFFSET(C$62,8*(ROW(B121)-ROW(B$121)),0))</f>
        <v>4.8040452368981788</v>
      </c>
      <c r="D121" s="67">
        <f t="shared" ca="1" si="44"/>
        <v>4.5419931728564817</v>
      </c>
      <c r="E121" s="67">
        <f t="shared" ca="1" si="44"/>
        <v>4.3056329509183469</v>
      </c>
      <c r="F121" s="67">
        <f t="shared" ca="1" si="44"/>
        <v>4.0774992917764452</v>
      </c>
      <c r="G121" s="67">
        <f t="shared" ca="1" si="44"/>
        <v>3.8570559854908533</v>
      </c>
      <c r="H121" s="67">
        <f t="shared" ca="1" si="44"/>
        <v>3.6442700686244685</v>
      </c>
      <c r="I121" s="67">
        <f t="shared" ca="1" si="44"/>
        <v>5.4516808887639714</v>
      </c>
      <c r="J121" s="67">
        <f t="shared" ca="1" si="44"/>
        <v>7.1608058802111989</v>
      </c>
      <c r="K121" s="67">
        <f t="shared" ca="1" si="44"/>
        <v>8.7940838188319255</v>
      </c>
      <c r="L121" s="67">
        <f t="shared" ca="1" si="44"/>
        <v>10.34044563359291</v>
      </c>
    </row>
    <row r="122" spans="1:12" x14ac:dyDescent="0.35">
      <c r="A122" t="str">
        <f>IF(A6="","","    "&amp;A6)</f>
        <v xml:space="preserve">    Lower Basin</v>
      </c>
      <c r="C122" s="67">
        <f t="shared" ca="1" si="44"/>
        <v>3.1954259677352326</v>
      </c>
      <c r="D122" s="67">
        <f t="shared" ca="1" si="44"/>
        <v>2.1790217521941422</v>
      </c>
      <c r="E122" s="67">
        <f t="shared" ca="1" si="44"/>
        <v>1.5839021107246065</v>
      </c>
      <c r="F122" s="67">
        <f t="shared" ca="1" si="44"/>
        <v>1.0074050543230886</v>
      </c>
      <c r="G122" s="67">
        <f t="shared" ca="1" si="44"/>
        <v>0.44799122939848157</v>
      </c>
      <c r="H122" s="67">
        <f t="shared" ca="1" si="44"/>
        <v>0</v>
      </c>
      <c r="I122" s="67">
        <f t="shared" ca="1" si="44"/>
        <v>0</v>
      </c>
      <c r="J122" s="67">
        <f t="shared" ca="1" si="44"/>
        <v>0</v>
      </c>
      <c r="K122" s="67">
        <f t="shared" ca="1" si="44"/>
        <v>0</v>
      </c>
      <c r="L122" s="67">
        <f t="shared" ca="1" si="44"/>
        <v>0</v>
      </c>
    </row>
    <row r="123" spans="1:12" x14ac:dyDescent="0.35">
      <c r="A123" t="str">
        <f>IF(A7="","","    "&amp;A7)</f>
        <v xml:space="preserve">    Mexico</v>
      </c>
      <c r="C123" s="67">
        <f t="shared" ca="1" si="44"/>
        <v>0.16557297647772518</v>
      </c>
      <c r="D123" s="67">
        <f t="shared" ca="1" si="44"/>
        <v>0.15735694647678922</v>
      </c>
      <c r="E123" s="67">
        <f t="shared" ca="1" si="44"/>
        <v>0.13331262156070189</v>
      </c>
      <c r="F123" s="67">
        <f t="shared" ca="1" si="44"/>
        <v>0.12637807157692516</v>
      </c>
      <c r="G123" s="67">
        <f t="shared" ca="1" si="44"/>
        <v>0.1196747903041846</v>
      </c>
      <c r="H123" s="67">
        <f t="shared" ca="1" si="44"/>
        <v>9.7201857291289606E-2</v>
      </c>
      <c r="I123" s="67">
        <f t="shared" ca="1" si="44"/>
        <v>9.1856084294618778E-2</v>
      </c>
      <c r="J123" s="67">
        <f t="shared" ca="1" si="44"/>
        <v>8.7025297944937297E-2</v>
      </c>
      <c r="K123" s="67">
        <f t="shared" ca="1" si="44"/>
        <v>6.6619161013673489E-2</v>
      </c>
      <c r="L123" s="67">
        <f t="shared" ca="1" si="44"/>
        <v>6.3361932356638784E-2</v>
      </c>
    </row>
    <row r="124" spans="1:12" x14ac:dyDescent="0.35">
      <c r="A124" t="str">
        <f>IF(A8="","","    "&amp;A8)</f>
        <v xml:space="preserve">    Shared, Reserve</v>
      </c>
      <c r="C124" s="67">
        <f t="shared" ca="1" si="44"/>
        <v>11.59116925</v>
      </c>
      <c r="D124" s="67">
        <f t="shared" ca="1" si="44"/>
        <v>11.59116925</v>
      </c>
      <c r="E124" s="67">
        <f t="shared" ca="1" si="44"/>
        <v>11.59116925</v>
      </c>
      <c r="F124" s="67">
        <f t="shared" ca="1" si="44"/>
        <v>11.59116925</v>
      </c>
      <c r="G124" s="67">
        <f t="shared" ca="1" si="44"/>
        <v>11.59116925</v>
      </c>
      <c r="H124" s="67">
        <f t="shared" ca="1" si="44"/>
        <v>11.59116925</v>
      </c>
      <c r="I124" s="67">
        <f t="shared" ca="1" si="44"/>
        <v>11.59116925</v>
      </c>
      <c r="J124" s="67">
        <f t="shared" ca="1" si="44"/>
        <v>11.59116925</v>
      </c>
      <c r="K124" s="67">
        <f t="shared" ca="1" si="44"/>
        <v>11.59116925</v>
      </c>
      <c r="L124" s="67">
        <f t="shared" ca="1" si="44"/>
        <v>11.59116925</v>
      </c>
    </row>
    <row r="125" spans="1:12" x14ac:dyDescent="0.35">
      <c r="A125" t="str">
        <f>IF(A9="","","    "&amp;A9)</f>
        <v xml:space="preserve">    Colorado River Delta</v>
      </c>
      <c r="C125" s="67">
        <f t="shared" ca="1" si="44"/>
        <v>1.5555555555555553E-2</v>
      </c>
      <c r="D125" s="67">
        <f t="shared" ca="1" si="44"/>
        <v>1.5555555555555553E-2</v>
      </c>
      <c r="E125" s="67">
        <f t="shared" ca="1" si="44"/>
        <v>3.1555555555555552E-2</v>
      </c>
      <c r="F125" s="67">
        <f t="shared" ca="1" si="44"/>
        <v>1.5555555555555553E-2</v>
      </c>
      <c r="G125" s="67">
        <f t="shared" ca="1" si="44"/>
        <v>1.5555555555555553E-2</v>
      </c>
      <c r="H125" s="67">
        <f t="shared" ca="1" si="44"/>
        <v>3.1555555555555552E-2</v>
      </c>
      <c r="I125" s="67">
        <f t="shared" ca="1" si="44"/>
        <v>1.5555555555555553E-2</v>
      </c>
      <c r="J125" s="67">
        <f t="shared" ca="1" si="44"/>
        <v>1.5555555555555553E-2</v>
      </c>
      <c r="K125" s="67">
        <f t="shared" ca="1" si="44"/>
        <v>5.1555555555555556E-2</v>
      </c>
      <c r="L125" s="67">
        <f t="shared" ca="1" si="44"/>
        <v>1.5555555555555553E-2</v>
      </c>
    </row>
    <row r="126" spans="1:12" x14ac:dyDescent="0.35">
      <c r="A126" t="str">
        <f>IF(A10="","","    "&amp;A10)</f>
        <v/>
      </c>
      <c r="C126" s="67" t="str">
        <f t="shared" ca="1" si="44"/>
        <v/>
      </c>
      <c r="D126" s="67" t="str">
        <f t="shared" ca="1" si="44"/>
        <v/>
      </c>
      <c r="E126" s="67" t="str">
        <f t="shared" ca="1" si="44"/>
        <v/>
      </c>
      <c r="F126" s="67" t="str">
        <f t="shared" ca="1" si="44"/>
        <v/>
      </c>
      <c r="G126" s="67" t="str">
        <f t="shared" ca="1" si="44"/>
        <v/>
      </c>
      <c r="H126" s="67" t="str">
        <f t="shared" ca="1" si="44"/>
        <v/>
      </c>
      <c r="I126" s="67" t="str">
        <f t="shared" ca="1" si="44"/>
        <v/>
      </c>
      <c r="J126" s="67" t="str">
        <f t="shared" ca="1" si="44"/>
        <v/>
      </c>
      <c r="K126" s="67" t="str">
        <f t="shared" ca="1" si="44"/>
        <v/>
      </c>
      <c r="L126" s="67" t="str">
        <f t="shared" ca="1" si="44"/>
        <v/>
      </c>
    </row>
    <row r="127" spans="1:12" x14ac:dyDescent="0.35">
      <c r="A127" s="1" t="s">
        <v>123</v>
      </c>
      <c r="B127" s="1"/>
      <c r="C127" s="14">
        <f ca="1">IF(C$26&lt;&gt;"",SUM(C121:C126),"")</f>
        <v>19.771768986666689</v>
      </c>
      <c r="D127" s="14">
        <f t="shared" ref="D127:L127" ca="1" si="45">IF(D$26&lt;&gt;"",SUM(D121:D126),"")</f>
        <v>18.485096677082968</v>
      </c>
      <c r="E127" s="14">
        <f t="shared" ca="1" si="45"/>
        <v>17.64557248875921</v>
      </c>
      <c r="F127" s="14">
        <f t="shared" ca="1" si="45"/>
        <v>16.818007223232012</v>
      </c>
      <c r="G127" s="14">
        <f t="shared" ca="1" si="45"/>
        <v>16.031446810749074</v>
      </c>
      <c r="H127" s="14">
        <f t="shared" ca="1" si="45"/>
        <v>15.364196731471313</v>
      </c>
      <c r="I127" s="14">
        <f t="shared" ca="1" si="45"/>
        <v>17.150261778614144</v>
      </c>
      <c r="J127" s="14">
        <f t="shared" ca="1" si="45"/>
        <v>18.854555983711691</v>
      </c>
      <c r="K127" s="14">
        <f t="shared" ca="1" si="45"/>
        <v>20.503427785401154</v>
      </c>
      <c r="L127" s="14">
        <f t="shared" ca="1" si="45"/>
        <v>22.010532371505104</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9.8858844933333447</v>
      </c>
      <c r="D129" s="14">
        <f t="shared" ref="D129:L129" ca="1" si="46">IF(D26="","",D$128*D$127)</f>
        <v>9.2425483385414839</v>
      </c>
      <c r="E129" s="14">
        <f t="shared" ca="1" si="46"/>
        <v>8.8227862443796052</v>
      </c>
      <c r="F129" s="14">
        <f t="shared" ca="1" si="46"/>
        <v>8.4090036116160061</v>
      </c>
      <c r="G129" s="14">
        <f t="shared" ca="1" si="46"/>
        <v>8.015723405374537</v>
      </c>
      <c r="H129" s="14">
        <f t="shared" ca="1" si="46"/>
        <v>7.6820983657356567</v>
      </c>
      <c r="I129" s="14">
        <f t="shared" ca="1" si="46"/>
        <v>8.5751308893070721</v>
      </c>
      <c r="J129" s="14">
        <f t="shared" ca="1" si="46"/>
        <v>9.4272779918558456</v>
      </c>
      <c r="K129" s="14">
        <f t="shared" ca="1" si="46"/>
        <v>10.251713892700577</v>
      </c>
      <c r="L129" s="14">
        <f t="shared" ca="1" si="46"/>
        <v>11.005266185752552</v>
      </c>
    </row>
    <row r="130" spans="1:14" x14ac:dyDescent="0.35">
      <c r="A130" s="1" t="s">
        <v>194</v>
      </c>
      <c r="B130" s="1"/>
      <c r="C130" s="14">
        <f ca="1">IF(C27="","",(1-C$128)*C$127)</f>
        <v>9.8858844933333447</v>
      </c>
      <c r="D130" s="14">
        <f t="shared" ref="D130:L130" ca="1" si="47">IF(D27="","",(1-D$128)*D$127)</f>
        <v>9.2425483385414839</v>
      </c>
      <c r="E130" s="14">
        <f t="shared" ca="1" si="47"/>
        <v>8.8227862443796052</v>
      </c>
      <c r="F130" s="14">
        <f t="shared" ca="1" si="47"/>
        <v>8.4090036116160061</v>
      </c>
      <c r="G130" s="14">
        <f t="shared" ca="1" si="47"/>
        <v>8.015723405374537</v>
      </c>
      <c r="H130" s="14">
        <f t="shared" ca="1" si="47"/>
        <v>7.6820983657356567</v>
      </c>
      <c r="I130" s="14">
        <f t="shared" ca="1" si="47"/>
        <v>8.5751308893070721</v>
      </c>
      <c r="J130" s="14">
        <f t="shared" ca="1" si="47"/>
        <v>9.4272779918558456</v>
      </c>
      <c r="K130" s="14">
        <f t="shared" ca="1" si="47"/>
        <v>10.251713892700577</v>
      </c>
      <c r="L130" s="14">
        <f t="shared" ca="1" si="47"/>
        <v>11.005266185752552</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3563</v>
      </c>
      <c r="J131" s="87">
        <f ca="1">IF(J$26&lt;&gt;"",VLOOKUP(J129*1000000,'Powell-Elevation-Area'!$B$5:$H$689,7),"")</f>
        <v>3573.5</v>
      </c>
      <c r="K131" s="87">
        <f ca="1">IF(K$26&lt;&gt;"",VLOOKUP(K129*1000000,'Powell-Elevation-Area'!$B$5:$H$689,7),"")</f>
        <v>3583.5</v>
      </c>
      <c r="L131" s="87">
        <f ca="1">IF(L$26&lt;&gt;"",VLOOKUP(L129*1000000,'Powell-Elevation-Area'!$B$5:$H$689,7),"")</f>
        <v>3592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1061.5</v>
      </c>
      <c r="J132" s="87">
        <f ca="1">IF(J$26&lt;&gt;"",VLOOKUP(J130*1000000,'Mead-Elevation-Area'!$B$5:$H$689,7),"")</f>
        <v>1072.5</v>
      </c>
      <c r="K132" s="87">
        <f ca="1">IF(K$26&lt;&gt;"",VLOOKUP(K130*1000000,'Mead-Elevation-Area'!$B$5:$H$689,7),"")</f>
        <v>1082.5</v>
      </c>
      <c r="L132" s="87">
        <f ca="1">IF(L$26&lt;&gt;"",VLOOKUP(L130*1000000,'Mead-Elevation-Area'!$B$5:$H$689,7),"")</f>
        <v>1091.5</v>
      </c>
    </row>
    <row r="133" spans="1:14" x14ac:dyDescent="0.35">
      <c r="A133" s="1" t="s">
        <v>295</v>
      </c>
      <c r="B133" s="1"/>
    </row>
    <row r="134" spans="1:14" x14ac:dyDescent="0.35">
      <c r="A134" s="32" t="s">
        <v>296</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43" t="s">
        <v>311</v>
      </c>
      <c r="B136" s="88"/>
      <c r="C136" s="142" t="str">
        <f ca="1">IF(C$26&lt;&gt;"",VLOOKUP(C$131,PowellReleaseTemperature!$A$5:$E$11,5),"")</f>
        <v>May benefit or face invasion</v>
      </c>
      <c r="D136" s="142" t="str">
        <f ca="1">IF(D$26&lt;&gt;"",VLOOKUP(D$131,PowellReleaseTemperature!$A$5:$E$11,5),"")</f>
        <v>May benefit or face invasion</v>
      </c>
      <c r="E136" s="142" t="str">
        <f ca="1">IF(E$26&lt;&gt;"",VLOOKUP(E$131,PowellReleaseTemperature!$A$5:$E$11,5),"")</f>
        <v>May benefit or face invasion</v>
      </c>
      <c r="F136" s="142" t="str">
        <f ca="1">IF(F$26&lt;&gt;"",VLOOKUP(F$131,PowellReleaseTemperature!$A$5:$E$11,5),"")</f>
        <v>May benefit or face invasion</v>
      </c>
      <c r="G136" s="142" t="str">
        <f ca="1">IF(G$26&lt;&gt;"",VLOOKUP(G$131,PowellReleaseTemperature!$A$5:$E$11,5),"")</f>
        <v>May benefit or face invasion</v>
      </c>
      <c r="H136" s="142" t="str">
        <f ca="1">IF(H$26&lt;&gt;"",VLOOKUP(H$131,PowellReleaseTemperature!$A$5:$E$11,5),"")</f>
        <v>May benefit or face invasion</v>
      </c>
      <c r="I136" s="142" t="str">
        <f ca="1">IF(I$26&lt;&gt;"",VLOOKUP(I$131,PowellReleaseTemperature!$A$5:$E$11,5),"")</f>
        <v>May benefit or face invasion</v>
      </c>
      <c r="J136" s="142" t="str">
        <f ca="1">IF(J$26&lt;&gt;"",VLOOKUP(J$131,PowellReleaseTemperature!$A$5:$E$11,5),"")</f>
        <v>May benefit or face invasion</v>
      </c>
      <c r="K136" s="142" t="str">
        <f ca="1">IF(K$26&lt;&gt;"",VLOOKUP(K$131,PowellReleaseTemperature!$A$5:$E$11,5),"")</f>
        <v>May benefit or face invasion</v>
      </c>
      <c r="L136" s="142" t="str">
        <f ca="1">IF(L$26&lt;&gt;"",VLOOKUP(L$131,PowellReleaseTemperature!$A$5:$E$11,5),"")</f>
        <v>May benefit or face invasion</v>
      </c>
    </row>
    <row r="137" spans="1:14" s="89" customFormat="1" ht="32" customHeight="1" x14ac:dyDescent="0.35">
      <c r="A137" s="143" t="s">
        <v>317</v>
      </c>
      <c r="B137" s="88"/>
      <c r="C137" s="142" t="str">
        <f ca="1">IF(C$26&lt;&gt;"",VLOOKUP(C$131,PowellReleaseTemperature!$A$5:$F$11,6),"")</f>
        <v>Help grow + incubate</v>
      </c>
      <c r="D137" s="142" t="str">
        <f ca="1">IF(D$26&lt;&gt;"",VLOOKUP(D$131,PowellReleaseTemperature!$A$5:$F$11,6),"")</f>
        <v>Help grow + incubate</v>
      </c>
      <c r="E137" s="142" t="str">
        <f ca="1">IF(E$26&lt;&gt;"",VLOOKUP(E$131,PowellReleaseTemperature!$A$5:$F$11,6),"")</f>
        <v>Help grow + incubate</v>
      </c>
      <c r="F137" s="142" t="str">
        <f ca="1">IF(F$26&lt;&gt;"",VLOOKUP(F$131,PowellReleaseTemperature!$A$5:$F$11,6),"")</f>
        <v>Help grow + incubate</v>
      </c>
      <c r="G137" s="142" t="str">
        <f ca="1">IF(G$26&lt;&gt;"",VLOOKUP(G$131,PowellReleaseTemperature!$A$5:$F$11,6),"")</f>
        <v>Help grow + incubate</v>
      </c>
      <c r="H137" s="142" t="str">
        <f ca="1">IF(H$26&lt;&gt;"",VLOOKUP(H$131,PowellReleaseTemperature!$A$5:$F$11,6),"")</f>
        <v>Help grow + incubate</v>
      </c>
      <c r="I137" s="142" t="str">
        <f ca="1">IF(I$26&lt;&gt;"",VLOOKUP(I$131,PowellReleaseTemperature!$A$5:$F$11,6),"")</f>
        <v>Help grow + incubate</v>
      </c>
      <c r="J137" s="142" t="str">
        <f ca="1">IF(J$26&lt;&gt;"",VLOOKUP(J$131,PowellReleaseTemperature!$A$5:$F$11,6),"")</f>
        <v>Help grow + incubate</v>
      </c>
      <c r="K137" s="142" t="str">
        <f ca="1">IF(K$26&lt;&gt;"",VLOOKUP(K$131,PowellReleaseTemperature!$A$5:$F$11,6),"")</f>
        <v>Help grow + incubate</v>
      </c>
      <c r="L137" s="142" t="str">
        <f ca="1">IF(L$26&lt;&gt;"",VLOOKUP(L$131,PowellReleaseTemperature!$A$5:$F$11,6),"")</f>
        <v>Help grow + incubate</v>
      </c>
    </row>
    <row r="138" spans="1:14" x14ac:dyDescent="0.35">
      <c r="C138" s="29"/>
    </row>
    <row r="139" spans="1:14" x14ac:dyDescent="0.35">
      <c r="A139" s="1" t="s">
        <v>125</v>
      </c>
      <c r="C139" s="169">
        <f>IF(C$26&lt;&gt;"",0.2,"")</f>
        <v>0.2</v>
      </c>
      <c r="D139" s="169">
        <f t="shared" ref="D139:L139" si="48">IF(D$26&lt;&gt;"",0.2,"")</f>
        <v>0.2</v>
      </c>
      <c r="E139" s="169">
        <f t="shared" si="48"/>
        <v>0.2</v>
      </c>
      <c r="F139" s="169">
        <f t="shared" si="48"/>
        <v>0.2</v>
      </c>
      <c r="G139" s="169">
        <f t="shared" si="48"/>
        <v>0.2</v>
      </c>
      <c r="H139" s="169">
        <f t="shared" si="48"/>
        <v>0.2</v>
      </c>
      <c r="I139" s="169">
        <f t="shared" si="48"/>
        <v>0.2</v>
      </c>
      <c r="J139" s="169">
        <f t="shared" si="48"/>
        <v>0.2</v>
      </c>
      <c r="K139" s="169">
        <f t="shared" si="48"/>
        <v>0.2</v>
      </c>
      <c r="L139" s="169">
        <f t="shared" si="48"/>
        <v>0.2</v>
      </c>
    </row>
    <row r="140" spans="1:14" x14ac:dyDescent="0.35">
      <c r="A140" t="s">
        <v>126</v>
      </c>
      <c r="C140" s="14">
        <f t="shared" ref="C140:L140" ca="1" si="49">IF(C$26&lt;&gt;"",C115+C139,"")</f>
        <v>7.4590000000000005</v>
      </c>
      <c r="D140" s="14">
        <f t="shared" ca="1" si="49"/>
        <v>7.4590000000000005</v>
      </c>
      <c r="E140" s="14">
        <f t="shared" ca="1" si="49"/>
        <v>7.0870000000000006</v>
      </c>
      <c r="F140" s="14">
        <f t="shared" ca="1" si="49"/>
        <v>7.0870000000000006</v>
      </c>
      <c r="G140" s="14">
        <f t="shared" ca="1" si="49"/>
        <v>7.0870000000000006</v>
      </c>
      <c r="H140" s="14">
        <f t="shared" ca="1" si="49"/>
        <v>6.9926541774187303</v>
      </c>
      <c r="I140" s="14">
        <f t="shared" ca="1" si="49"/>
        <v>6.5703582757240833</v>
      </c>
      <c r="J140" s="14">
        <f t="shared" ca="1" si="49"/>
        <v>6.586244293916498</v>
      </c>
      <c r="K140" s="14">
        <f t="shared" ca="1" si="49"/>
        <v>6.5889662944951821</v>
      </c>
      <c r="L140" s="14">
        <f t="shared" ca="1" si="49"/>
        <v>6.6096031602846086</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28" priority="3" operator="greaterThan">
      <formula>$C$60</formula>
    </cfRule>
  </conditionalFormatting>
  <conditionalFormatting sqref="C69:L69">
    <cfRule type="cellIs" dxfId="27"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240</v>
      </c>
    </row>
    <row r="3" spans="1:16" s="1" customFormat="1" x14ac:dyDescent="0.35">
      <c r="D3" s="140" t="s">
        <v>241</v>
      </c>
      <c r="E3" s="140"/>
      <c r="F3" s="140" t="s">
        <v>242</v>
      </c>
      <c r="G3" s="140"/>
      <c r="H3" s="140"/>
      <c r="I3" s="140" t="s">
        <v>243</v>
      </c>
      <c r="J3" s="140"/>
      <c r="K3" s="140"/>
      <c r="M3" s="140" t="s">
        <v>41</v>
      </c>
      <c r="N3" s="140"/>
      <c r="O3" s="140"/>
    </row>
    <row r="4" spans="1:16" s="72" customFormat="1" ht="42.5" customHeight="1" x14ac:dyDescent="0.35">
      <c r="A4" s="71" t="s">
        <v>128</v>
      </c>
      <c r="B4" s="71" t="s">
        <v>129</v>
      </c>
      <c r="C4" s="71" t="s">
        <v>252</v>
      </c>
      <c r="D4" s="71" t="s">
        <v>244</v>
      </c>
      <c r="E4" s="71" t="s">
        <v>245</v>
      </c>
      <c r="F4" s="71" t="s">
        <v>244</v>
      </c>
      <c r="G4" s="71" t="s">
        <v>245</v>
      </c>
      <c r="H4" s="71" t="s">
        <v>246</v>
      </c>
      <c r="I4" s="71" t="s">
        <v>244</v>
      </c>
      <c r="J4" s="71" t="s">
        <v>245</v>
      </c>
      <c r="K4" s="71" t="s">
        <v>246</v>
      </c>
      <c r="L4" s="71" t="s">
        <v>250</v>
      </c>
      <c r="M4" s="71" t="s">
        <v>248</v>
      </c>
      <c r="N4" s="71" t="s">
        <v>249</v>
      </c>
      <c r="O4" s="71" t="s">
        <v>247</v>
      </c>
      <c r="P4" s="71"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4">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4">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4">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4">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4">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4">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4">
        <f t="shared" si="4"/>
        <v>0.08</v>
      </c>
      <c r="P11" s="74">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4">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8"/>
    </row>
    <row r="15" spans="1:16" x14ac:dyDescent="0.35">
      <c r="B15" s="76"/>
      <c r="C15" s="77"/>
    </row>
    <row r="16" spans="1:16" x14ac:dyDescent="0.35">
      <c r="A16" t="s">
        <v>251</v>
      </c>
    </row>
    <row r="17" spans="1:16" x14ac:dyDescent="0.35">
      <c r="A17" s="73">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4">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4">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4">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4">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4">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4">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4">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4">
        <f t="shared" si="12"/>
        <v>1.375</v>
      </c>
    </row>
    <row r="26" spans="1:16" x14ac:dyDescent="0.35">
      <c r="A26" s="38">
        <v>955</v>
      </c>
    </row>
    <row r="29" spans="1:16" x14ac:dyDescent="0.35">
      <c r="A29" s="39"/>
      <c r="I29" s="9"/>
      <c r="L29" s="30"/>
      <c r="O29" s="2"/>
      <c r="P29" s="74"/>
    </row>
    <row r="30" spans="1:16" x14ac:dyDescent="0.35">
      <c r="A30" s="39"/>
      <c r="I30" s="9"/>
      <c r="L30" s="30"/>
      <c r="O30" s="2"/>
      <c r="P30" s="74"/>
    </row>
    <row r="31" spans="1:16" x14ac:dyDescent="0.35">
      <c r="A31" s="39"/>
      <c r="I31" s="9"/>
      <c r="L31" s="30"/>
      <c r="O31" s="2"/>
      <c r="P31" s="74"/>
    </row>
    <row r="32" spans="1:16" x14ac:dyDescent="0.35">
      <c r="A32" s="39"/>
      <c r="I32" s="9"/>
      <c r="L32" s="30"/>
      <c r="O32" s="2"/>
      <c r="P32" s="74"/>
    </row>
    <row r="33" spans="1:16" x14ac:dyDescent="0.35">
      <c r="A33" s="39"/>
      <c r="I33" s="9"/>
      <c r="L33" s="30"/>
      <c r="O33" s="2"/>
      <c r="P33" s="74"/>
    </row>
    <row r="34" spans="1:16" x14ac:dyDescent="0.35">
      <c r="A34" s="39"/>
      <c r="I34" s="9"/>
      <c r="L34" s="30"/>
      <c r="O34" s="2"/>
      <c r="P34" s="74"/>
    </row>
    <row r="35" spans="1:16" x14ac:dyDescent="0.35">
      <c r="A35" s="39"/>
      <c r="I35" s="9"/>
      <c r="L35" s="30"/>
      <c r="O35" s="2"/>
      <c r="P35" s="74"/>
    </row>
    <row r="36" spans="1:16" x14ac:dyDescent="0.35">
      <c r="A36" s="39"/>
      <c r="I36" s="9"/>
      <c r="L36" s="30"/>
      <c r="O36" s="2"/>
      <c r="P36" s="74"/>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9" customWidth="1"/>
    <col min="2" max="2" width="12.7265625" style="89" customWidth="1"/>
    <col min="3" max="3" width="9.453125" style="89" customWidth="1"/>
    <col min="4" max="4" width="46.26953125" style="89" customWidth="1"/>
    <col min="5" max="5" width="14.453125" style="149" customWidth="1"/>
    <col min="6" max="6" width="10.6328125" style="2" customWidth="1"/>
  </cols>
  <sheetData>
    <row r="1" spans="1:6" x14ac:dyDescent="0.35">
      <c r="A1" s="88" t="s">
        <v>284</v>
      </c>
    </row>
    <row r="2" spans="1:6" x14ac:dyDescent="0.35">
      <c r="A2" s="89" t="s">
        <v>285</v>
      </c>
    </row>
    <row r="4" spans="1:6" s="81" customFormat="1" ht="43.5" x14ac:dyDescent="0.35">
      <c r="A4" s="56" t="s">
        <v>286</v>
      </c>
      <c r="B4" s="56" t="s">
        <v>291</v>
      </c>
      <c r="C4" s="56" t="s">
        <v>292</v>
      </c>
      <c r="D4" s="57" t="s">
        <v>287</v>
      </c>
      <c r="E4" s="56" t="s">
        <v>312</v>
      </c>
      <c r="F4" s="144" t="s">
        <v>313</v>
      </c>
    </row>
    <row r="5" spans="1:6" s="81" customFormat="1" ht="58" x14ac:dyDescent="0.35">
      <c r="A5" s="94">
        <f>'Powell-Elevation-Area'!A5</f>
        <v>3370</v>
      </c>
      <c r="B5" s="110" t="s">
        <v>300</v>
      </c>
      <c r="C5" s="95" t="s">
        <v>294</v>
      </c>
      <c r="D5" s="96" t="str">
        <f>D7</f>
        <v>Highest uncertainty for native fish. Also represent a substantial risk to the tailwater trout fishery, as sustained temperatures of 19oC or higher are unsuitable for trout.</v>
      </c>
      <c r="E5" s="150" t="s">
        <v>315</v>
      </c>
      <c r="F5" s="145" t="s">
        <v>314</v>
      </c>
    </row>
    <row r="6" spans="1:6" s="81" customFormat="1" ht="58" x14ac:dyDescent="0.35">
      <c r="A6" s="91">
        <v>3425</v>
      </c>
      <c r="B6" s="92" t="str">
        <f>B7</f>
        <v>&gt; 18</v>
      </c>
      <c r="C6" s="92" t="s">
        <v>294</v>
      </c>
      <c r="D6" s="93" t="str">
        <f>D7</f>
        <v>Highest uncertainty for native fish. Also represent a substantial risk to the tailwater trout fishery, as sustained temperatures of 19oC or higher are unsuitable for trout.</v>
      </c>
      <c r="E6" s="150" t="str">
        <f>E5</f>
        <v>Highly uncertain</v>
      </c>
      <c r="F6" s="145" t="s">
        <v>314</v>
      </c>
    </row>
    <row r="7" spans="1:6" s="81" customFormat="1" ht="58" x14ac:dyDescent="0.35">
      <c r="A7" s="97">
        <v>3490</v>
      </c>
      <c r="B7" s="98" t="s">
        <v>300</v>
      </c>
      <c r="C7" s="98" t="s">
        <v>293</v>
      </c>
      <c r="D7" s="99" t="s">
        <v>290</v>
      </c>
      <c r="E7" s="151" t="str">
        <f>E6</f>
        <v>Highly uncertain</v>
      </c>
      <c r="F7" s="145" t="s">
        <v>314</v>
      </c>
    </row>
    <row r="8" spans="1:6" ht="72.5" x14ac:dyDescent="0.35">
      <c r="A8" s="100">
        <v>3525</v>
      </c>
      <c r="B8" s="101" t="s">
        <v>299</v>
      </c>
      <c r="C8" s="101" t="s">
        <v>293</v>
      </c>
      <c r="D8" s="102" t="s">
        <v>289</v>
      </c>
      <c r="E8" s="152" t="s">
        <v>316</v>
      </c>
      <c r="F8" s="146" t="s">
        <v>319</v>
      </c>
    </row>
    <row r="9" spans="1:6" ht="43.5" x14ac:dyDescent="0.35">
      <c r="A9" s="103">
        <v>3600</v>
      </c>
      <c r="B9" s="104" t="s">
        <v>298</v>
      </c>
      <c r="C9" s="104" t="s">
        <v>293</v>
      </c>
      <c r="D9" s="105" t="s">
        <v>308</v>
      </c>
      <c r="E9" s="153" t="s">
        <v>309</v>
      </c>
      <c r="F9" s="147" t="str">
        <f>F8</f>
        <v>Help grow + incubate</v>
      </c>
    </row>
    <row r="10" spans="1:6" ht="101.5" x14ac:dyDescent="0.35">
      <c r="A10" s="106">
        <v>3675</v>
      </c>
      <c r="B10" s="107" t="s">
        <v>297</v>
      </c>
      <c r="C10" s="107" t="s">
        <v>293</v>
      </c>
      <c r="D10" s="108" t="s">
        <v>288</v>
      </c>
      <c r="E10" s="154" t="s">
        <v>318</v>
      </c>
      <c r="F10" s="148" t="s">
        <v>320</v>
      </c>
    </row>
    <row r="11" spans="1:6" ht="101.5" x14ac:dyDescent="0.35">
      <c r="A11" s="106">
        <v>3700</v>
      </c>
      <c r="B11" s="107" t="str">
        <f>B10</f>
        <v>&lt; 12</v>
      </c>
      <c r="C11" s="107" t="s">
        <v>293</v>
      </c>
      <c r="D11" s="10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54" t="str">
        <f>E10</f>
        <v>Help grow, reproduce, and survive</v>
      </c>
      <c r="F11" s="148" t="s">
        <v>320</v>
      </c>
    </row>
    <row r="13" spans="1:6" ht="16.5" x14ac:dyDescent="0.35">
      <c r="D13" s="90"/>
    </row>
    <row r="14" spans="1:6" ht="16.5" x14ac:dyDescent="0.35">
      <c r="D14" s="90"/>
    </row>
    <row r="15" spans="1:6" ht="16.5" x14ac:dyDescent="0.35">
      <c r="D15" s="90"/>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41"/>
      <c r="D5" s="141"/>
      <c r="E5" s="141"/>
      <c r="F5" s="141"/>
      <c r="G5" s="141"/>
      <c r="H5" s="141"/>
    </row>
    <row r="6" spans="1:11" x14ac:dyDescent="0.35">
      <c r="A6" s="16" t="s">
        <v>39</v>
      </c>
      <c r="B6" s="46"/>
      <c r="C6" s="141"/>
      <c r="D6" s="141"/>
      <c r="E6" s="141"/>
      <c r="F6" s="141"/>
      <c r="G6" s="141"/>
      <c r="H6" s="141"/>
    </row>
    <row r="7" spans="1:11" x14ac:dyDescent="0.35">
      <c r="A7" s="16" t="s">
        <v>40</v>
      </c>
      <c r="B7" s="46"/>
      <c r="C7" s="141"/>
      <c r="D7" s="141"/>
      <c r="E7" s="141"/>
      <c r="F7" s="141"/>
      <c r="G7" s="141"/>
      <c r="H7" s="141"/>
    </row>
    <row r="8" spans="1:11" x14ac:dyDescent="0.35">
      <c r="A8" s="16" t="s">
        <v>41</v>
      </c>
      <c r="B8" s="46"/>
      <c r="C8" s="141"/>
      <c r="D8" s="141"/>
      <c r="E8" s="141"/>
      <c r="F8" s="141"/>
      <c r="G8" s="141"/>
      <c r="H8" s="141"/>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3"/>
  <sheetViews>
    <sheetView zoomScale="150" zoomScaleNormal="150" workbookViewId="0"/>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81" customWidth="1"/>
    <col min="9" max="9" width="12.36328125" style="81" customWidth="1"/>
    <col min="10" max="10" width="10.26953125" style="2" customWidth="1"/>
  </cols>
  <sheetData>
    <row r="1" spans="1:10" s="55" customFormat="1" ht="30.5" customHeight="1" x14ac:dyDescent="0.35">
      <c r="A1" s="56" t="s">
        <v>178</v>
      </c>
      <c r="B1" s="56" t="s">
        <v>159</v>
      </c>
      <c r="C1" s="57" t="s">
        <v>160</v>
      </c>
      <c r="D1" s="56" t="s">
        <v>162</v>
      </c>
      <c r="E1" s="56" t="s">
        <v>161</v>
      </c>
      <c r="F1" s="56" t="s">
        <v>163</v>
      </c>
      <c r="H1" s="79" t="s">
        <v>230</v>
      </c>
      <c r="I1" s="79" t="s">
        <v>161</v>
      </c>
      <c r="J1" s="82" t="s">
        <v>163</v>
      </c>
    </row>
    <row r="2" spans="1:10" x14ac:dyDescent="0.35">
      <c r="A2" s="84"/>
      <c r="B2" s="86"/>
      <c r="C2" s="85"/>
      <c r="D2" s="84"/>
      <c r="E2" s="84"/>
      <c r="F2" s="86"/>
      <c r="H2" s="58"/>
      <c r="I2" s="58"/>
      <c r="J2" s="59"/>
    </row>
    <row r="3" spans="1:10" ht="43.5" x14ac:dyDescent="0.35">
      <c r="A3" s="84" t="s">
        <v>348</v>
      </c>
      <c r="B3" s="86">
        <v>44405</v>
      </c>
      <c r="C3" s="58" t="s">
        <v>350</v>
      </c>
      <c r="D3" s="84" t="s">
        <v>153</v>
      </c>
      <c r="E3" s="84" t="s">
        <v>349</v>
      </c>
      <c r="F3" s="86">
        <v>44405</v>
      </c>
      <c r="H3" s="58" t="s">
        <v>231</v>
      </c>
      <c r="I3" s="58" t="s">
        <v>153</v>
      </c>
      <c r="J3" s="59"/>
    </row>
    <row r="4" spans="1:10" ht="30" customHeight="1" x14ac:dyDescent="0.35">
      <c r="A4" s="84" t="s">
        <v>346</v>
      </c>
      <c r="B4" s="86">
        <v>44405</v>
      </c>
      <c r="C4" s="85" t="s">
        <v>347</v>
      </c>
      <c r="D4" s="84" t="s">
        <v>153</v>
      </c>
      <c r="E4" s="84" t="s">
        <v>153</v>
      </c>
      <c r="F4" s="86">
        <v>44405</v>
      </c>
      <c r="H4" s="58" t="s">
        <v>268</v>
      </c>
      <c r="I4" s="58" t="s">
        <v>260</v>
      </c>
      <c r="J4" s="60">
        <v>44385</v>
      </c>
    </row>
    <row r="5" spans="1:10" ht="72.5" x14ac:dyDescent="0.35">
      <c r="A5" s="84" t="s">
        <v>307</v>
      </c>
      <c r="B5" s="86">
        <v>44405</v>
      </c>
      <c r="C5" s="85" t="s">
        <v>345</v>
      </c>
      <c r="D5" s="84" t="s">
        <v>153</v>
      </c>
      <c r="E5" s="84" t="s">
        <v>349</v>
      </c>
      <c r="F5" s="86">
        <v>44391</v>
      </c>
      <c r="H5" s="58"/>
      <c r="I5" s="58"/>
      <c r="J5" s="60"/>
    </row>
    <row r="6" spans="1:10" ht="29" x14ac:dyDescent="0.35">
      <c r="A6" s="84" t="s">
        <v>302</v>
      </c>
      <c r="B6" s="84" t="s">
        <v>303</v>
      </c>
      <c r="C6" s="58" t="s">
        <v>304</v>
      </c>
      <c r="D6" s="84" t="s">
        <v>153</v>
      </c>
      <c r="E6" s="84" t="s">
        <v>349</v>
      </c>
      <c r="F6" s="86">
        <v>44391</v>
      </c>
      <c r="H6" s="58"/>
      <c r="I6" s="84"/>
      <c r="J6" s="60"/>
    </row>
    <row r="7" spans="1:10" ht="29" x14ac:dyDescent="0.35">
      <c r="A7" s="84" t="s">
        <v>302</v>
      </c>
      <c r="B7" s="84" t="s">
        <v>303</v>
      </c>
      <c r="C7" s="58" t="s">
        <v>262</v>
      </c>
      <c r="D7" s="84" t="s">
        <v>153</v>
      </c>
      <c r="E7" s="84" t="s">
        <v>349</v>
      </c>
      <c r="F7" s="86">
        <v>44391</v>
      </c>
      <c r="H7" s="58" t="s">
        <v>263</v>
      </c>
      <c r="I7" s="84" t="s">
        <v>349</v>
      </c>
      <c r="J7" s="60">
        <v>44391</v>
      </c>
    </row>
    <row r="8" spans="1:10" ht="101.5" x14ac:dyDescent="0.35">
      <c r="A8" s="84" t="s">
        <v>280</v>
      </c>
      <c r="B8" s="86">
        <v>44403</v>
      </c>
      <c r="C8" s="85" t="s">
        <v>281</v>
      </c>
      <c r="D8" s="84" t="s">
        <v>153</v>
      </c>
      <c r="E8" s="84" t="s">
        <v>349</v>
      </c>
      <c r="F8" s="86">
        <v>44391</v>
      </c>
      <c r="H8" s="58" t="s">
        <v>264</v>
      </c>
      <c r="I8" s="84" t="s">
        <v>349</v>
      </c>
      <c r="J8" s="60">
        <v>44391</v>
      </c>
    </row>
    <row r="9" spans="1:10" ht="58" x14ac:dyDescent="0.35">
      <c r="A9" s="59" t="s">
        <v>255</v>
      </c>
      <c r="B9" s="60">
        <v>44389</v>
      </c>
      <c r="C9" s="58" t="s">
        <v>256</v>
      </c>
      <c r="D9" s="61" t="s">
        <v>153</v>
      </c>
      <c r="E9" s="61" t="s">
        <v>153</v>
      </c>
      <c r="F9" s="60">
        <v>44389</v>
      </c>
      <c r="H9" s="58" t="s">
        <v>265</v>
      </c>
      <c r="I9" s="84" t="s">
        <v>349</v>
      </c>
      <c r="J9" s="60">
        <v>44391</v>
      </c>
    </row>
    <row r="10" spans="1:10" ht="29" x14ac:dyDescent="0.35">
      <c r="A10" s="59" t="s">
        <v>253</v>
      </c>
      <c r="B10" s="60">
        <v>44389</v>
      </c>
      <c r="C10" s="58" t="s">
        <v>254</v>
      </c>
      <c r="D10" s="61" t="s">
        <v>153</v>
      </c>
      <c r="E10" s="61" t="s">
        <v>260</v>
      </c>
      <c r="F10" s="60">
        <v>44385</v>
      </c>
      <c r="H10" s="80"/>
      <c r="I10" s="58"/>
      <c r="J10" s="60"/>
    </row>
    <row r="11" spans="1:10" ht="58" x14ac:dyDescent="0.35">
      <c r="A11" s="59" t="s">
        <v>226</v>
      </c>
      <c r="B11" s="60">
        <v>44385</v>
      </c>
      <c r="C11" s="58" t="s">
        <v>227</v>
      </c>
      <c r="D11" s="61" t="s">
        <v>153</v>
      </c>
      <c r="E11" s="61" t="s">
        <v>153</v>
      </c>
      <c r="F11" s="60">
        <f>B11</f>
        <v>44385</v>
      </c>
      <c r="H11" s="80"/>
      <c r="I11" s="84"/>
      <c r="J11" s="60"/>
    </row>
    <row r="12" spans="1:10" ht="72.5" x14ac:dyDescent="0.35">
      <c r="A12" s="59" t="s">
        <v>208</v>
      </c>
      <c r="B12" s="60">
        <v>44384</v>
      </c>
      <c r="C12" s="58" t="s">
        <v>228</v>
      </c>
      <c r="D12" s="61" t="s">
        <v>153</v>
      </c>
      <c r="E12" s="61" t="s">
        <v>153</v>
      </c>
      <c r="F12" s="60">
        <v>44384</v>
      </c>
      <c r="H12" s="80" t="s">
        <v>266</v>
      </c>
      <c r="I12" s="84" t="s">
        <v>349</v>
      </c>
      <c r="J12" s="60">
        <v>44391</v>
      </c>
    </row>
    <row r="13" spans="1:10" ht="43.5" x14ac:dyDescent="0.35">
      <c r="A13" s="59" t="s">
        <v>199</v>
      </c>
      <c r="B13" s="60">
        <v>44384</v>
      </c>
      <c r="C13" s="58" t="s">
        <v>229</v>
      </c>
      <c r="D13" s="61" t="s">
        <v>153</v>
      </c>
      <c r="E13" s="61" t="s">
        <v>153</v>
      </c>
      <c r="F13" s="60">
        <v>44384</v>
      </c>
      <c r="H13" s="80" t="s">
        <v>267</v>
      </c>
      <c r="I13" s="84" t="s">
        <v>349</v>
      </c>
      <c r="J13" s="60">
        <v>44391</v>
      </c>
    </row>
    <row r="14" spans="1:10" ht="43.5" x14ac:dyDescent="0.35">
      <c r="A14" s="59" t="s">
        <v>190</v>
      </c>
      <c r="B14" s="60">
        <v>44378</v>
      </c>
      <c r="C14" s="58" t="s">
        <v>191</v>
      </c>
      <c r="D14" s="61" t="s">
        <v>153</v>
      </c>
      <c r="E14" s="61" t="s">
        <v>153</v>
      </c>
      <c r="F14" s="60">
        <v>44378</v>
      </c>
    </row>
    <row r="15" spans="1:10" x14ac:dyDescent="0.35">
      <c r="A15" s="59" t="s">
        <v>188</v>
      </c>
      <c r="B15" s="60">
        <v>44377</v>
      </c>
      <c r="C15" s="58" t="s">
        <v>192</v>
      </c>
      <c r="D15" s="61" t="s">
        <v>153</v>
      </c>
      <c r="E15" s="61" t="s">
        <v>153</v>
      </c>
      <c r="F15" s="60">
        <v>44377</v>
      </c>
    </row>
    <row r="16" spans="1:10" ht="72.5" x14ac:dyDescent="0.35">
      <c r="A16" s="59" t="s">
        <v>186</v>
      </c>
      <c r="B16" s="60">
        <v>44377</v>
      </c>
      <c r="C16" s="58" t="s">
        <v>187</v>
      </c>
      <c r="D16" s="61" t="s">
        <v>153</v>
      </c>
      <c r="E16" s="61" t="s">
        <v>261</v>
      </c>
      <c r="F16" s="60">
        <v>44372</v>
      </c>
    </row>
    <row r="17" spans="1:6" ht="43.5" x14ac:dyDescent="0.35">
      <c r="A17" s="59">
        <v>3.3</v>
      </c>
      <c r="B17" s="60">
        <v>44377</v>
      </c>
      <c r="C17" s="58" t="s">
        <v>180</v>
      </c>
      <c r="D17" s="61" t="s">
        <v>153</v>
      </c>
      <c r="E17" s="61" t="s">
        <v>261</v>
      </c>
      <c r="F17" s="60">
        <v>44372</v>
      </c>
    </row>
    <row r="18" spans="1:6" ht="29" x14ac:dyDescent="0.35">
      <c r="A18" s="59" t="s">
        <v>179</v>
      </c>
      <c r="B18" s="60">
        <v>44377</v>
      </c>
      <c r="C18" s="58" t="s">
        <v>164</v>
      </c>
      <c r="D18" s="61" t="s">
        <v>153</v>
      </c>
      <c r="E18" s="61" t="s">
        <v>153</v>
      </c>
      <c r="F18" s="60">
        <v>44377</v>
      </c>
    </row>
    <row r="19" spans="1:6" ht="116" x14ac:dyDescent="0.35">
      <c r="A19" s="59">
        <v>3.2</v>
      </c>
      <c r="B19" s="60">
        <v>44367</v>
      </c>
      <c r="C19" s="58" t="s">
        <v>171</v>
      </c>
      <c r="D19" s="61" t="s">
        <v>153</v>
      </c>
      <c r="E19" s="61" t="s">
        <v>153</v>
      </c>
      <c r="F19" s="60">
        <v>44367</v>
      </c>
    </row>
    <row r="20" spans="1:6" ht="29" x14ac:dyDescent="0.35">
      <c r="A20" s="59">
        <v>3.1</v>
      </c>
      <c r="B20" s="60">
        <v>44331</v>
      </c>
      <c r="C20" s="58" t="s">
        <v>170</v>
      </c>
      <c r="D20" s="61" t="s">
        <v>153</v>
      </c>
      <c r="E20" s="61" t="s">
        <v>153</v>
      </c>
      <c r="F20" s="60">
        <v>44331</v>
      </c>
    </row>
    <row r="21" spans="1:6" ht="72.5" x14ac:dyDescent="0.35">
      <c r="A21" s="59">
        <v>3</v>
      </c>
      <c r="B21" s="60">
        <v>44319</v>
      </c>
      <c r="C21" s="58" t="s">
        <v>169</v>
      </c>
      <c r="D21" s="61" t="s">
        <v>153</v>
      </c>
      <c r="E21" s="61" t="s">
        <v>165</v>
      </c>
      <c r="F21" s="60">
        <v>44315</v>
      </c>
    </row>
    <row r="22" spans="1:6" ht="29" x14ac:dyDescent="0.35">
      <c r="A22" s="59">
        <v>2</v>
      </c>
      <c r="B22" s="60">
        <v>44307</v>
      </c>
      <c r="C22" s="58" t="s">
        <v>166</v>
      </c>
      <c r="D22" s="61" t="s">
        <v>153</v>
      </c>
      <c r="E22" s="61" t="s">
        <v>260</v>
      </c>
      <c r="F22" s="60">
        <v>44294</v>
      </c>
    </row>
    <row r="23" spans="1:6" ht="29" x14ac:dyDescent="0.35">
      <c r="A23" s="63">
        <v>1</v>
      </c>
      <c r="B23" s="60">
        <v>44291</v>
      </c>
      <c r="C23" s="58" t="s">
        <v>168</v>
      </c>
      <c r="D23" s="61" t="s">
        <v>153</v>
      </c>
      <c r="E23" s="61" t="s">
        <v>167</v>
      </c>
      <c r="F23"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33AE-48C4-4733-B0BD-5F073B5B2728}">
  <dimension ref="A1:N142"/>
  <sheetViews>
    <sheetView topLeftCell="A32" zoomScale="150" zoomScaleNormal="150" workbookViewId="0">
      <selection activeCell="H37"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c r="C5" s="165"/>
      <c r="D5" s="158"/>
      <c r="E5" s="158"/>
      <c r="F5" s="158"/>
      <c r="G5" s="158"/>
      <c r="M5" t="s">
        <v>322</v>
      </c>
    </row>
    <row r="6" spans="1:13" x14ac:dyDescent="0.35">
      <c r="A6" s="157" t="s">
        <v>40</v>
      </c>
      <c r="B6" s="157"/>
      <c r="C6" s="165"/>
      <c r="D6" s="158"/>
      <c r="E6" s="158"/>
      <c r="F6" s="158"/>
      <c r="G6" s="158"/>
      <c r="M6" t="s">
        <v>327</v>
      </c>
    </row>
    <row r="7" spans="1:13" x14ac:dyDescent="0.35">
      <c r="A7" s="157" t="s">
        <v>41</v>
      </c>
      <c r="B7" s="157"/>
      <c r="C7" s="165"/>
      <c r="D7" s="158"/>
      <c r="E7" s="158"/>
      <c r="F7" s="158"/>
      <c r="G7" s="158"/>
      <c r="M7" t="s">
        <v>328</v>
      </c>
    </row>
    <row r="8" spans="1:13" x14ac:dyDescent="0.35">
      <c r="A8" s="117" t="s">
        <v>157</v>
      </c>
      <c r="B8" s="117"/>
      <c r="C8" s="132"/>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c r="D26" s="170"/>
      <c r="E26" s="170"/>
      <c r="F26" s="170"/>
      <c r="G26" s="170"/>
      <c r="H26" s="170"/>
      <c r="I26" s="170"/>
      <c r="J26" s="170"/>
      <c r="K26" s="170"/>
      <c r="L26" s="170"/>
    </row>
    <row r="27" spans="1:14" x14ac:dyDescent="0.35">
      <c r="A27" s="1" t="s">
        <v>121</v>
      </c>
      <c r="B27" s="1"/>
      <c r="C27" s="169" t="str">
        <f>IF(C$26&lt;&gt;"",0.8,"")</f>
        <v/>
      </c>
      <c r="D27" s="169" t="str">
        <f t="shared" ref="D27:L27" si="0">IF(D$26&lt;&gt;"",0.8,"")</f>
        <v/>
      </c>
      <c r="E27" s="169" t="str">
        <f t="shared" si="0"/>
        <v/>
      </c>
      <c r="F27" s="169" t="str">
        <f t="shared" si="0"/>
        <v/>
      </c>
      <c r="G27" s="169" t="str">
        <f t="shared" si="0"/>
        <v/>
      </c>
      <c r="H27" s="169" t="str">
        <f t="shared" si="0"/>
        <v/>
      </c>
      <c r="I27" s="169" t="str">
        <f t="shared" si="0"/>
        <v/>
      </c>
      <c r="J27" s="169" t="str">
        <f t="shared" si="0"/>
        <v/>
      </c>
      <c r="K27" s="169" t="str">
        <f t="shared" si="0"/>
        <v/>
      </c>
      <c r="L27" s="169" t="str">
        <f t="shared" si="0"/>
        <v/>
      </c>
    </row>
    <row r="28" spans="1:14" x14ac:dyDescent="0.35">
      <c r="A28" s="1" t="s">
        <v>305</v>
      </c>
      <c r="B28" s="1"/>
      <c r="C28" s="169" t="str">
        <f>IF(C$26&lt;&gt;"",0.6,"")</f>
        <v/>
      </c>
      <c r="D28" s="169" t="str">
        <f t="shared" ref="D28:L28" si="1">IF(D$26&lt;&gt;"",0.6,"")</f>
        <v/>
      </c>
      <c r="E28" s="169" t="str">
        <f t="shared" si="1"/>
        <v/>
      </c>
      <c r="F28" s="169" t="str">
        <f t="shared" si="1"/>
        <v/>
      </c>
      <c r="G28" s="169" t="str">
        <f t="shared" si="1"/>
        <v/>
      </c>
      <c r="H28" s="169" t="str">
        <f t="shared" si="1"/>
        <v/>
      </c>
      <c r="I28" s="169" t="str">
        <f t="shared" si="1"/>
        <v/>
      </c>
      <c r="J28" s="169" t="str">
        <f t="shared" si="1"/>
        <v/>
      </c>
      <c r="K28" s="169" t="str">
        <f t="shared" si="1"/>
        <v/>
      </c>
      <c r="L28" s="169" t="str">
        <f t="shared" si="1"/>
        <v/>
      </c>
    </row>
    <row r="29" spans="1:14" x14ac:dyDescent="0.35">
      <c r="A29" s="1" t="s">
        <v>124</v>
      </c>
      <c r="B29" s="114">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IF(A5="","","    "&amp;A5&amp;" Balance")</f>
        <v xml:space="preserve">    Upper Basin Balance</v>
      </c>
      <c r="B30" s="115">
        <f>B21-B23</f>
        <v>5.0734237499999999</v>
      </c>
      <c r="C30" s="112" t="str">
        <f>IF(OR(C$26="",$A30=""),"",B30)</f>
        <v/>
      </c>
      <c r="D30" s="14" t="str">
        <f>IF(OR(D$26="",$A30=""),"",C121)</f>
        <v/>
      </c>
      <c r="E30" s="14" t="str">
        <f t="shared" ref="E30:L30" si="3">IF(OR(E$26="",$A30=""),"",D121)</f>
        <v/>
      </c>
      <c r="F30" s="14" t="str">
        <f t="shared" si="3"/>
        <v/>
      </c>
      <c r="G30" s="14" t="str">
        <f t="shared" si="3"/>
        <v/>
      </c>
      <c r="H30" s="14" t="str">
        <f t="shared" si="3"/>
        <v/>
      </c>
      <c r="I30" s="14" t="str">
        <f t="shared" si="3"/>
        <v/>
      </c>
      <c r="J30" s="14" t="str">
        <f t="shared" si="3"/>
        <v/>
      </c>
      <c r="K30" s="14" t="str">
        <f t="shared" si="3"/>
        <v/>
      </c>
      <c r="L30" s="14" t="str">
        <f t="shared" si="3"/>
        <v/>
      </c>
      <c r="N30" t="s">
        <v>177</v>
      </c>
    </row>
    <row r="31" spans="1:14" x14ac:dyDescent="0.35">
      <c r="A31" t="str">
        <f>IF(A6="","","    "&amp;A6&amp;" Balance")</f>
        <v xml:space="preserve">    Lower Basin Balance</v>
      </c>
      <c r="B31" s="115">
        <f>C21-C23-B32</f>
        <v>4.2614069999999993</v>
      </c>
      <c r="C31" s="112" t="str">
        <f t="shared" ref="C31:C35" si="4">IF(OR(C$26="",$A31=""),"",B31)</f>
        <v/>
      </c>
      <c r="D31" s="14" t="str">
        <f t="shared" ref="D31:L35" si="5">IF(OR(D$26="",$A31=""),"",C122)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174</v>
      </c>
    </row>
    <row r="32" spans="1:14" x14ac:dyDescent="0.35">
      <c r="A32" t="str">
        <f>IF(A7="","","    "&amp;A7&amp;" Balance")</f>
        <v xml:space="preserve">    Mexico Balance</v>
      </c>
      <c r="B32" s="116">
        <v>0.17399999999999999</v>
      </c>
      <c r="C32" s="113" t="str">
        <f t="shared" si="4"/>
        <v/>
      </c>
      <c r="D32" s="52" t="str">
        <f t="shared" si="5"/>
        <v/>
      </c>
      <c r="E32" s="52" t="str">
        <f t="shared" si="5"/>
        <v/>
      </c>
      <c r="F32" s="52" t="str">
        <f t="shared" si="5"/>
        <v/>
      </c>
      <c r="G32" s="52" t="str">
        <f t="shared" si="5"/>
        <v/>
      </c>
      <c r="H32" s="14" t="str">
        <f t="shared" si="5"/>
        <v/>
      </c>
      <c r="I32" s="14" t="str">
        <f t="shared" si="5"/>
        <v/>
      </c>
      <c r="J32" s="14" t="str">
        <f t="shared" si="5"/>
        <v/>
      </c>
      <c r="K32" s="14" t="str">
        <f t="shared" si="5"/>
        <v/>
      </c>
      <c r="L32" s="14" t="str">
        <f t="shared" si="5"/>
        <v/>
      </c>
      <c r="N32" t="s">
        <v>173</v>
      </c>
    </row>
    <row r="33" spans="1:14" x14ac:dyDescent="0.35">
      <c r="A33" t="str">
        <f>IF(A8="","","    "&amp;A8&amp;" Balance")</f>
        <v xml:space="preserve">    Shared, Reserve Balance</v>
      </c>
      <c r="B33" s="115">
        <f>SUM(B23:C23)</f>
        <v>11.59116925</v>
      </c>
      <c r="C33" s="112"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IF(A9="","","    "&amp;A9&amp;" Balance")</f>
        <v/>
      </c>
      <c r="B34" s="115"/>
      <c r="C34" s="112"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t="str">
        <f>IF(C$26&lt;&gt;"",B21,"")</f>
        <v/>
      </c>
      <c r="D37" s="14" t="str">
        <f>IF(D$26&lt;&gt;"",C129,"")</f>
        <v/>
      </c>
      <c r="E37" s="14" t="str">
        <f t="shared" ref="E37:G38" si="6">IF(E$26&lt;&gt;"",D129,"")</f>
        <v/>
      </c>
      <c r="F37" s="14" t="str">
        <f t="shared" si="6"/>
        <v/>
      </c>
      <c r="G37" s="14" t="str">
        <f t="shared" si="6"/>
        <v/>
      </c>
      <c r="H37" s="14" t="str">
        <f t="shared" ref="H37:H38" si="7">IF(H$26&lt;&gt;"",G129,"")</f>
        <v/>
      </c>
      <c r="I37" s="14" t="str">
        <f t="shared" ref="I37:I38" si="8">IF(I$26&lt;&gt;"",H129,"")</f>
        <v/>
      </c>
      <c r="J37" s="14" t="str">
        <f t="shared" ref="J37:J38" si="9">IF(J$26&lt;&gt;"",I129,"")</f>
        <v/>
      </c>
      <c r="K37" s="14" t="str">
        <f t="shared" ref="K37:K38" si="10">IF(K$26&lt;&gt;"",J129,"")</f>
        <v/>
      </c>
      <c r="L37" s="14" t="str">
        <f t="shared" ref="L37:L38" si="11">IF(L$26&lt;&gt;"",K129,"")</f>
        <v/>
      </c>
    </row>
    <row r="38" spans="1:14" x14ac:dyDescent="0.35">
      <c r="A38" t="s">
        <v>114</v>
      </c>
      <c r="C38" s="14" t="str">
        <f>IF(C$26&lt;&gt;"",C21,"")</f>
        <v/>
      </c>
      <c r="D38" s="14" t="str">
        <f>IF(D$26&lt;&gt;"",C130,"")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IF(A5="","","    "&amp;A5&amp;" Share")</f>
        <v xml:space="preserve">    Upper Basin Share</v>
      </c>
      <c r="B40" s="1"/>
      <c r="C40" s="14" t="str">
        <f t="shared" ref="C40:L45" si="12">IF(OR(C$26="",$A40=""),"",C$39*C30/C$29)</f>
        <v/>
      </c>
      <c r="D40" s="14" t="str">
        <f t="shared" si="12"/>
        <v/>
      </c>
      <c r="E40" s="14" t="str">
        <f t="shared" si="12"/>
        <v/>
      </c>
      <c r="F40" s="14" t="str">
        <f t="shared" si="12"/>
        <v/>
      </c>
      <c r="G40" s="14" t="str">
        <f t="shared" si="12"/>
        <v/>
      </c>
      <c r="H40" s="14" t="str">
        <f t="shared" si="12"/>
        <v/>
      </c>
      <c r="I40" s="14" t="str">
        <f t="shared" si="12"/>
        <v/>
      </c>
      <c r="J40" s="14" t="str">
        <f t="shared" si="12"/>
        <v/>
      </c>
      <c r="K40" s="14" t="str">
        <f t="shared" si="12"/>
        <v/>
      </c>
      <c r="L40" s="14" t="str">
        <f t="shared" si="12"/>
        <v/>
      </c>
    </row>
    <row r="41" spans="1:14" x14ac:dyDescent="0.35">
      <c r="A41" t="str">
        <f>IF(A6="","","    "&amp;A6&amp;" Share")</f>
        <v xml:space="preserve">    Lower Basin Share</v>
      </c>
      <c r="B41" s="1"/>
      <c r="C41" s="14" t="str">
        <f t="shared" si="12"/>
        <v/>
      </c>
      <c r="D41" s="14" t="str">
        <f t="shared" si="12"/>
        <v/>
      </c>
      <c r="E41" s="14" t="str">
        <f t="shared" si="12"/>
        <v/>
      </c>
      <c r="F41" s="14" t="str">
        <f t="shared" si="12"/>
        <v/>
      </c>
      <c r="G41" s="14" t="str">
        <f t="shared" si="12"/>
        <v/>
      </c>
      <c r="H41" s="14" t="str">
        <f t="shared" si="12"/>
        <v/>
      </c>
      <c r="I41" s="14" t="str">
        <f t="shared" si="12"/>
        <v/>
      </c>
      <c r="J41" s="14" t="str">
        <f t="shared" si="12"/>
        <v/>
      </c>
      <c r="K41" s="14" t="str">
        <f t="shared" si="12"/>
        <v/>
      </c>
      <c r="L41" s="14" t="str">
        <f t="shared" si="12"/>
        <v/>
      </c>
    </row>
    <row r="42" spans="1:14" x14ac:dyDescent="0.35">
      <c r="A42" t="str">
        <f>IF(A7="","","    "&amp;A7&amp;" Share")</f>
        <v xml:space="preserve">    Mexico Share</v>
      </c>
      <c r="B42" s="1"/>
      <c r="C42" s="14" t="str">
        <f t="shared" si="12"/>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IF(A8="","","    "&amp;A8&amp;" Share")</f>
        <v xml:space="preserve">    Shared, Reserve Share</v>
      </c>
      <c r="B43" s="1"/>
      <c r="C43" s="14" t="str">
        <f t="shared" si="12"/>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IF(A9="","","    "&amp;A9&amp;" Share")</f>
        <v/>
      </c>
      <c r="B44" s="1"/>
      <c r="C44" s="14" t="str">
        <f t="shared" si="12"/>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IF(A10="","","    "&amp;A10&amp;" Share")</f>
        <v/>
      </c>
      <c r="B45" s="1"/>
      <c r="C45" s="14" t="str">
        <f t="shared" si="12"/>
        <v/>
      </c>
      <c r="D45" s="14" t="str">
        <f t="shared" si="12"/>
        <v/>
      </c>
      <c r="E45" s="14" t="str">
        <f t="shared" si="12"/>
        <v/>
      </c>
      <c r="F45" s="14" t="str">
        <f t="shared" si="12"/>
        <v/>
      </c>
      <c r="G45" s="14" t="str">
        <f t="shared" si="12"/>
        <v/>
      </c>
      <c r="H45" s="14" t="str">
        <f t="shared" si="12"/>
        <v/>
      </c>
      <c r="I45" s="14" t="str">
        <f t="shared" si="12"/>
        <v/>
      </c>
      <c r="J45" s="14" t="str">
        <f t="shared" si="12"/>
        <v/>
      </c>
      <c r="K45" s="14" t="str">
        <f t="shared" si="12"/>
        <v/>
      </c>
      <c r="L45" s="14" t="str">
        <f t="shared" si="12"/>
        <v/>
      </c>
    </row>
    <row r="46" spans="1:14" x14ac:dyDescent="0.35">
      <c r="A46" s="1" t="s">
        <v>259</v>
      </c>
      <c r="B46" s="75"/>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t="str">
        <f>IF(C26="","",SUM(C26:C27)-C28)</f>
        <v/>
      </c>
      <c r="D47" s="51" t="str">
        <f t="shared" ref="D47:L47" si="13">IF(D26="","",SUM(D26:D27)-D28)</f>
        <v/>
      </c>
      <c r="E47" s="14" t="str">
        <f t="shared" si="13"/>
        <v/>
      </c>
      <c r="F47" s="51" t="str">
        <f t="shared" si="13"/>
        <v/>
      </c>
      <c r="G47" s="51" t="str">
        <f t="shared" si="13"/>
        <v/>
      </c>
      <c r="H47" s="51" t="str">
        <f t="shared" si="13"/>
        <v/>
      </c>
      <c r="I47" s="51" t="str">
        <f t="shared" si="13"/>
        <v/>
      </c>
      <c r="J47" s="51" t="str">
        <f t="shared" si="13"/>
        <v/>
      </c>
      <c r="K47" s="51" t="str">
        <f t="shared" si="13"/>
        <v/>
      </c>
      <c r="L47" s="51" t="str">
        <f t="shared" si="13"/>
        <v/>
      </c>
      <c r="M47" s="45"/>
      <c r="N47" s="45"/>
    </row>
    <row r="48" spans="1:14" x14ac:dyDescent="0.35">
      <c r="A48" t="str">
        <f>IF(A5="","","    To "&amp;A5)</f>
        <v xml:space="preserve">    To Upper Basin</v>
      </c>
      <c r="B48" s="163" t="s">
        <v>147</v>
      </c>
      <c r="C48" s="112" t="str">
        <f>IF(OR(C$26="",$A48=""),"",IF(C$26&gt;SUM(MIN($B49,C26-C50/2)+C50/2),C$26-SUM(MIN($B49,C26-C50/2)+C50/2),0))</f>
        <v/>
      </c>
      <c r="D48" s="112" t="str">
        <f t="shared" ref="D48:L48" si="14">IF(OR(D$26="",$A48=""),"",IF(D$26&gt;SUM(MIN($B49,D26-D50/2)+D50/2),D$26-SUM(MIN($B49,D26-D50/2)+D50/2),0))</f>
        <v/>
      </c>
      <c r="E48" s="112" t="str">
        <f t="shared" si="14"/>
        <v/>
      </c>
      <c r="F48" s="112" t="str">
        <f t="shared" si="14"/>
        <v/>
      </c>
      <c r="G48" s="112" t="str">
        <f t="shared" si="14"/>
        <v/>
      </c>
      <c r="H48" s="112" t="str">
        <f t="shared" si="14"/>
        <v/>
      </c>
      <c r="I48" s="112" t="str">
        <f t="shared" si="14"/>
        <v/>
      </c>
      <c r="J48" s="112" t="str">
        <f t="shared" si="14"/>
        <v/>
      </c>
      <c r="K48" s="112" t="str">
        <f t="shared" si="14"/>
        <v/>
      </c>
      <c r="L48" s="112" t="str">
        <f t="shared" si="14"/>
        <v/>
      </c>
      <c r="M48" s="29"/>
      <c r="N48" s="29"/>
    </row>
    <row r="49" spans="1:14" x14ac:dyDescent="0.35">
      <c r="A49" t="str">
        <f>IF(A6="","","    To "&amp;A6)</f>
        <v xml:space="preserve">    To Lower Basin</v>
      </c>
      <c r="B49" s="164">
        <f>7.5</f>
        <v>7.5</v>
      </c>
      <c r="C49" s="112" t="str">
        <f>IF(OR(C$26="",$A49=""),"",C27-C28-C51-C50/2+MIN($B49,C26-C50/2))</f>
        <v/>
      </c>
      <c r="D49" s="112" t="str">
        <f t="shared" ref="D49:L49" si="15">IF(OR(D$26="",$A49=""),"",D27-D28-D51-D50/2+MIN($B49,D26-D50/2))</f>
        <v/>
      </c>
      <c r="E49" s="112" t="str">
        <f t="shared" si="15"/>
        <v/>
      </c>
      <c r="F49" s="112" t="str">
        <f t="shared" si="15"/>
        <v/>
      </c>
      <c r="G49" s="112" t="str">
        <f t="shared" si="15"/>
        <v/>
      </c>
      <c r="H49" s="112" t="str">
        <f t="shared" si="15"/>
        <v/>
      </c>
      <c r="I49" s="112" t="str">
        <f t="shared" si="15"/>
        <v/>
      </c>
      <c r="J49" s="112" t="str">
        <f t="shared" si="15"/>
        <v/>
      </c>
      <c r="K49" s="112" t="str">
        <f t="shared" si="15"/>
        <v/>
      </c>
      <c r="L49" s="112" t="str">
        <f t="shared" si="15"/>
        <v/>
      </c>
      <c r="M49" s="29"/>
      <c r="N49" s="29"/>
    </row>
    <row r="50" spans="1:14" x14ac:dyDescent="0.35">
      <c r="A50" t="str">
        <f>IF(A7="","","    To "&amp;A7)</f>
        <v xml:space="preserve">    To Mexico</v>
      </c>
      <c r="B50" s="164" t="s">
        <v>185</v>
      </c>
      <c r="C50" s="112" t="str">
        <f>IF(OR(C$26="",$A50=""),"",IF(C$47&gt;SUM(C51:C52,C46),C46,C$47-SUM(C51:C52)))</f>
        <v/>
      </c>
      <c r="D50" s="112" t="str">
        <f t="shared" ref="D50:L50" si="16">IF(OR(D$26="",$A50=""),"",IF(D$47&gt;SUM(D51:D52,D46),D46,D$47-SUM(D51:D52)))</f>
        <v/>
      </c>
      <c r="E50" s="112" t="str">
        <f t="shared" si="16"/>
        <v/>
      </c>
      <c r="F50" s="112" t="str">
        <f t="shared" si="16"/>
        <v/>
      </c>
      <c r="G50" s="112" t="str">
        <f t="shared" si="16"/>
        <v/>
      </c>
      <c r="H50" s="112" t="str">
        <f t="shared" si="16"/>
        <v/>
      </c>
      <c r="I50" s="112" t="str">
        <f t="shared" si="16"/>
        <v/>
      </c>
      <c r="J50" s="112" t="str">
        <f t="shared" si="16"/>
        <v/>
      </c>
      <c r="K50" s="112" t="str">
        <f t="shared" si="16"/>
        <v/>
      </c>
      <c r="L50" s="112" t="str">
        <f t="shared" si="16"/>
        <v/>
      </c>
      <c r="M50" s="29"/>
      <c r="N50" s="29"/>
    </row>
    <row r="51" spans="1:14" x14ac:dyDescent="0.35">
      <c r="A51" t="str">
        <f>IF(A8="","","    To "&amp;A8)</f>
        <v xml:space="preserve">    To Shared, Reserve</v>
      </c>
      <c r="B51" s="164" t="s">
        <v>184</v>
      </c>
      <c r="C51" s="112" t="str">
        <f>IF(OR(C$26="",$A51=""),"",IF(C$47&gt;C43,C43,C47))</f>
        <v/>
      </c>
      <c r="D51" s="112" t="str">
        <f t="shared" ref="D51:L51" si="17">IF(OR(D$26="",$A51=""),"",IF(D$47&gt;D43,D43,D47))</f>
        <v/>
      </c>
      <c r="E51" s="112" t="str">
        <f t="shared" si="17"/>
        <v/>
      </c>
      <c r="F51" s="112" t="str">
        <f t="shared" si="17"/>
        <v/>
      </c>
      <c r="G51" s="112" t="str">
        <f t="shared" si="17"/>
        <v/>
      </c>
      <c r="H51" s="112" t="str">
        <f t="shared" si="17"/>
        <v/>
      </c>
      <c r="I51" s="112" t="str">
        <f t="shared" si="17"/>
        <v/>
      </c>
      <c r="J51" s="112" t="str">
        <f t="shared" si="17"/>
        <v/>
      </c>
      <c r="K51" s="112" t="str">
        <f t="shared" si="17"/>
        <v/>
      </c>
      <c r="L51" s="112" t="str">
        <f t="shared" si="17"/>
        <v/>
      </c>
      <c r="M51" s="29"/>
      <c r="N51" s="29"/>
    </row>
    <row r="52" spans="1:14" x14ac:dyDescent="0.35">
      <c r="A52" t="str">
        <f>IF(A9="","","    To "&amp;A9)</f>
        <v/>
      </c>
      <c r="B52" s="164"/>
      <c r="C52" s="112"/>
      <c r="D52" s="112"/>
      <c r="E52" s="112"/>
      <c r="F52" s="112"/>
      <c r="G52" s="112"/>
      <c r="H52" s="112"/>
      <c r="I52" s="112"/>
      <c r="J52" s="112"/>
      <c r="K52" s="112"/>
      <c r="L52" s="112"/>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c r="J57" s="159"/>
      <c r="K57" s="159"/>
      <c r="L57" s="159"/>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c r="J58" s="160"/>
      <c r="K58" s="160"/>
      <c r="L58" s="160"/>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18">IF(OR(C$26="",$A59=""),"",C$112)</f>
        <v/>
      </c>
      <c r="D59" s="67" t="str">
        <f t="shared" si="18"/>
        <v/>
      </c>
      <c r="E59" s="67" t="str">
        <f t="shared" si="18"/>
        <v/>
      </c>
      <c r="F59" s="67" t="str">
        <f t="shared" si="18"/>
        <v/>
      </c>
      <c r="G59" s="67" t="str">
        <f t="shared" si="18"/>
        <v/>
      </c>
      <c r="H59" s="67" t="str">
        <f t="shared" si="18"/>
        <v/>
      </c>
      <c r="I59" s="67" t="str">
        <f t="shared" si="18"/>
        <v/>
      </c>
      <c r="J59" s="67" t="str">
        <f t="shared" si="18"/>
        <v/>
      </c>
      <c r="K59" s="67" t="str">
        <f t="shared" si="18"/>
        <v/>
      </c>
      <c r="L59" s="67" t="str">
        <f t="shared" si="18"/>
        <v/>
      </c>
      <c r="M59" t="str">
        <f t="shared" si="18"/>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19">IF(OR(D$26="",$A60=""),"",D30+D48-D40-D57)</f>
        <v/>
      </c>
      <c r="E60" s="14" t="str">
        <f t="shared" si="19"/>
        <v/>
      </c>
      <c r="F60" s="14" t="str">
        <f t="shared" si="19"/>
        <v/>
      </c>
      <c r="G60" s="14" t="str">
        <f t="shared" si="19"/>
        <v/>
      </c>
      <c r="H60" s="14" t="str">
        <f t="shared" si="19"/>
        <v/>
      </c>
      <c r="I60" s="14" t="str">
        <f t="shared" si="19"/>
        <v/>
      </c>
      <c r="J60" s="14" t="str">
        <f t="shared" si="19"/>
        <v/>
      </c>
      <c r="K60" s="14" t="str">
        <f t="shared" si="19"/>
        <v/>
      </c>
      <c r="L60" s="14" t="str">
        <f t="shared" si="1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c r="D61" s="161"/>
      <c r="E61" s="161"/>
      <c r="F61" s="161"/>
      <c r="G61" s="161"/>
      <c r="H61" s="161"/>
      <c r="I61" s="161"/>
      <c r="J61" s="161"/>
      <c r="K61" s="161"/>
      <c r="L61" s="161"/>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0">IF(OR(D$26="",$A62=""),"",D60-D61)</f>
        <v/>
      </c>
      <c r="E62" s="66" t="str">
        <f t="shared" si="20"/>
        <v/>
      </c>
      <c r="F62" s="66" t="str">
        <f t="shared" si="20"/>
        <v/>
      </c>
      <c r="G62" s="66" t="str">
        <f t="shared" si="20"/>
        <v/>
      </c>
      <c r="H62" s="66" t="str">
        <f t="shared" si="20"/>
        <v/>
      </c>
      <c r="I62" s="66" t="str">
        <f t="shared" si="20"/>
        <v/>
      </c>
      <c r="J62" s="66" t="str">
        <f t="shared" si="20"/>
        <v/>
      </c>
      <c r="K62" s="66" t="str">
        <f t="shared" si="20"/>
        <v/>
      </c>
      <c r="L62" s="66" t="str">
        <f t="shared" si="20"/>
        <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c r="J65" s="159"/>
      <c r="K65" s="159"/>
      <c r="L65" s="159"/>
      <c r="M65" s="67">
        <f>SUM(C65:L65)</f>
        <v>0</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60"/>
      <c r="J66" s="160"/>
      <c r="K66" s="160"/>
      <c r="L66" s="160"/>
      <c r="M66" s="65">
        <f>SUM(C66:L66)</f>
        <v>0</v>
      </c>
      <c r="N66" t="str">
        <f t="shared" ref="N66:N70" si="21">IF(A66="","",N58)</f>
        <v>Add if multiple transactions, e.g.: $350*0.5 + $450*0.25</v>
      </c>
    </row>
    <row r="67" spans="1:14" x14ac:dyDescent="0.35">
      <c r="A67" s="32" t="str">
        <f>IF(A66="","","   Volume all players (should be zero)")</f>
        <v xml:space="preserve">   Volume all players (should be zero)</v>
      </c>
      <c r="C67" s="67" t="str">
        <f t="shared" ref="C67:M67" si="22">IF(OR(C$26="",$A67=""),"",C$112)</f>
        <v/>
      </c>
      <c r="D67" s="67" t="str">
        <f t="shared" si="22"/>
        <v/>
      </c>
      <c r="E67" s="67" t="str">
        <f t="shared" si="22"/>
        <v/>
      </c>
      <c r="F67" s="67" t="str">
        <f t="shared" si="22"/>
        <v/>
      </c>
      <c r="G67" s="67" t="str">
        <f t="shared" si="22"/>
        <v/>
      </c>
      <c r="H67" s="67" t="str">
        <f t="shared" si="22"/>
        <v/>
      </c>
      <c r="I67" s="67" t="str">
        <f t="shared" si="22"/>
        <v/>
      </c>
      <c r="J67" s="67" t="str">
        <f t="shared" si="22"/>
        <v/>
      </c>
      <c r="K67" s="67" t="str">
        <f t="shared" si="22"/>
        <v/>
      </c>
      <c r="L67" s="67" t="str">
        <f t="shared" si="22"/>
        <v/>
      </c>
      <c r="M67" t="str">
        <f t="shared" si="22"/>
        <v/>
      </c>
      <c r="N67" t="str">
        <f t="shared" si="21"/>
        <v>If non-zero, players need to change amount(s)</v>
      </c>
    </row>
    <row r="68" spans="1:14" x14ac:dyDescent="0.35">
      <c r="A68" s="1" t="str">
        <f>IF(A66="","","   Available Water [maf]")</f>
        <v xml:space="preserve">   Available Water [maf]</v>
      </c>
      <c r="C68" s="14" t="str">
        <f t="shared" ref="C68:L68" si="23">IF(OR(C$26="",$A68=""),"",C31+C49-C41-C65)</f>
        <v/>
      </c>
      <c r="D68" s="14" t="str">
        <f t="shared" si="23"/>
        <v/>
      </c>
      <c r="E68" s="14" t="str">
        <f t="shared" si="23"/>
        <v/>
      </c>
      <c r="F68" s="14" t="str">
        <f t="shared" si="23"/>
        <v/>
      </c>
      <c r="G68" s="14" t="str">
        <f t="shared" si="23"/>
        <v/>
      </c>
      <c r="H68" s="14" t="str">
        <f t="shared" si="23"/>
        <v/>
      </c>
      <c r="I68" s="14" t="str">
        <f t="shared" si="23"/>
        <v/>
      </c>
      <c r="J68" s="14" t="str">
        <f t="shared" si="23"/>
        <v/>
      </c>
      <c r="K68" s="14" t="str">
        <f t="shared" si="23"/>
        <v/>
      </c>
      <c r="L68" s="14" t="str">
        <f t="shared" si="23"/>
        <v/>
      </c>
      <c r="N68" t="str">
        <f t="shared" si="21"/>
        <v>Available water = Account Balance + Available Inflow - Evaporation + Sales - Purchases</v>
      </c>
    </row>
    <row r="69" spans="1:14" x14ac:dyDescent="0.35">
      <c r="A69" s="1" t="str">
        <f>IF(A68="","","   Account Withdraw [maf]")</f>
        <v xml:space="preserve">   Account Withdraw [maf]</v>
      </c>
      <c r="C69" s="161"/>
      <c r="D69" s="161"/>
      <c r="E69" s="161"/>
      <c r="F69" s="161"/>
      <c r="G69" s="161"/>
      <c r="H69" s="161"/>
      <c r="I69" s="161"/>
      <c r="J69" s="161"/>
      <c r="K69" s="161"/>
      <c r="L69" s="161"/>
      <c r="N69" t="str">
        <f t="shared" si="21"/>
        <v>Must be less than Available water</v>
      </c>
    </row>
    <row r="70" spans="1:14" x14ac:dyDescent="0.35">
      <c r="A70" s="32" t="str">
        <f>IF(A69="","","   End of Year Balance [maf]")</f>
        <v xml:space="preserve">   End of Year Balance [maf]</v>
      </c>
      <c r="C70" s="66" t="str">
        <f>IF(OR(C$26="",$A70=""),"",C68-C69)</f>
        <v/>
      </c>
      <c r="D70" s="66" t="str">
        <f t="shared" ref="D70:L70" si="24">IF(OR(D$26="",$A70=""),"",D68-D69)</f>
        <v/>
      </c>
      <c r="E70" s="66" t="str">
        <f t="shared" si="24"/>
        <v/>
      </c>
      <c r="F70" s="66" t="str">
        <f t="shared" si="24"/>
        <v/>
      </c>
      <c r="G70" s="66" t="str">
        <f t="shared" si="24"/>
        <v/>
      </c>
      <c r="H70" s="66" t="str">
        <f t="shared" si="24"/>
        <v/>
      </c>
      <c r="I70" s="66" t="str">
        <f t="shared" si="24"/>
        <v/>
      </c>
      <c r="J70" s="66" t="str">
        <f t="shared" si="24"/>
        <v/>
      </c>
      <c r="K70" s="66" t="str">
        <f t="shared" si="24"/>
        <v/>
      </c>
      <c r="L70" s="66" t="str">
        <f t="shared" si="24"/>
        <v/>
      </c>
      <c r="N70" t="str">
        <f t="shared" si="21"/>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c r="F73" s="159"/>
      <c r="G73" s="159"/>
      <c r="H73" s="159"/>
      <c r="I73" s="159"/>
      <c r="J73" s="159"/>
      <c r="K73" s="159"/>
      <c r="L73" s="159"/>
      <c r="M73" s="67">
        <f>SUM(C73:L73)</f>
        <v>0</v>
      </c>
      <c r="N73" t="str">
        <f>IF(A73="","",N65)</f>
        <v>Add if multiple transactions, e.g.: 0.5 + 0.25</v>
      </c>
    </row>
    <row r="74" spans="1:14" x14ac:dyDescent="0.35">
      <c r="A74" s="32" t="str">
        <f>IF(A73="","","   Cash Intake(+) and Payments(-) [$ Mill]")</f>
        <v xml:space="preserve">   Cash Intake(+) and Payments(-) [$ Mill]</v>
      </c>
      <c r="C74" s="160"/>
      <c r="D74" s="160"/>
      <c r="E74" s="160"/>
      <c r="F74" s="160"/>
      <c r="G74" s="160"/>
      <c r="H74" s="160"/>
      <c r="I74" s="160"/>
      <c r="J74" s="160"/>
      <c r="K74" s="160"/>
      <c r="L74" s="160"/>
      <c r="M74" s="65">
        <f>SUM(C74:L74)</f>
        <v>0</v>
      </c>
      <c r="N74" t="str">
        <f t="shared" ref="N74:N78" si="25">IF(A74="","",N66)</f>
        <v>Add if multiple transactions, e.g.: $350*0.5 + $450*0.25</v>
      </c>
    </row>
    <row r="75" spans="1:14" x14ac:dyDescent="0.35">
      <c r="A75" s="32" t="str">
        <f>IF(A74="","","   Volume all players (should be zero)")</f>
        <v xml:space="preserve">   Volume all players (should be zero)</v>
      </c>
      <c r="C75" s="67" t="str">
        <f t="shared" ref="C75:M75" si="26">IF(OR(C$26="",$A75=""),"",C$112)</f>
        <v/>
      </c>
      <c r="D75" s="67" t="str">
        <f t="shared" si="26"/>
        <v/>
      </c>
      <c r="E75" s="67" t="str">
        <f t="shared" si="26"/>
        <v/>
      </c>
      <c r="F75" s="67" t="str">
        <f t="shared" si="26"/>
        <v/>
      </c>
      <c r="G75" s="67" t="str">
        <f t="shared" si="26"/>
        <v/>
      </c>
      <c r="H75" s="67" t="str">
        <f t="shared" si="26"/>
        <v/>
      </c>
      <c r="I75" s="67" t="str">
        <f t="shared" si="26"/>
        <v/>
      </c>
      <c r="J75" s="67" t="str">
        <f t="shared" si="26"/>
        <v/>
      </c>
      <c r="K75" s="67" t="str">
        <f t="shared" si="26"/>
        <v/>
      </c>
      <c r="L75" s="67" t="str">
        <f t="shared" si="26"/>
        <v/>
      </c>
      <c r="M75" t="str">
        <f t="shared" si="26"/>
        <v/>
      </c>
      <c r="N75" t="str">
        <f t="shared" si="25"/>
        <v>If non-zero, players need to change amount(s)</v>
      </c>
    </row>
    <row r="76" spans="1:14" x14ac:dyDescent="0.35">
      <c r="A76" s="1" t="str">
        <f>IF(A74="","","   Available Water [maf]")</f>
        <v xml:space="preserve">   Available Water [maf]</v>
      </c>
      <c r="C76" s="14" t="str">
        <f t="shared" ref="C76:L76" si="27">IF(OR(C$26="",$A76=""),"",C32+C50-C42-C73)</f>
        <v/>
      </c>
      <c r="D76" s="14" t="str">
        <f t="shared" si="27"/>
        <v/>
      </c>
      <c r="E76" s="14" t="str">
        <f t="shared" si="27"/>
        <v/>
      </c>
      <c r="F76" s="14" t="str">
        <f>IF(OR(F$26="",$A76=""),"",F32+F50-F42-F73)</f>
        <v/>
      </c>
      <c r="G76" s="14" t="str">
        <f t="shared" si="27"/>
        <v/>
      </c>
      <c r="H76" s="14" t="str">
        <f t="shared" si="27"/>
        <v/>
      </c>
      <c r="I76" s="14" t="str">
        <f t="shared" si="27"/>
        <v/>
      </c>
      <c r="J76" s="14" t="str">
        <f t="shared" si="27"/>
        <v/>
      </c>
      <c r="K76" s="14" t="str">
        <f t="shared" si="27"/>
        <v/>
      </c>
      <c r="L76" s="14" t="str">
        <f t="shared" si="27"/>
        <v/>
      </c>
      <c r="N76" t="str">
        <f t="shared" si="25"/>
        <v>Available water = Account Balance + Available Inflow - Evaporation + Sales - Purchases</v>
      </c>
    </row>
    <row r="77" spans="1:14" x14ac:dyDescent="0.35">
      <c r="A77" s="1" t="str">
        <f>IF(A76="","","   Account Withdraw [maf]")</f>
        <v xml:space="preserve">   Account Withdraw [maf]</v>
      </c>
      <c r="C77" s="161"/>
      <c r="D77" s="161"/>
      <c r="E77" s="161"/>
      <c r="F77" s="161"/>
      <c r="G77" s="161"/>
      <c r="H77" s="161"/>
      <c r="I77" s="161"/>
      <c r="J77" s="161"/>
      <c r="K77" s="161"/>
      <c r="L77" s="161"/>
      <c r="N77" t="str">
        <f t="shared" si="25"/>
        <v>Must be less than Available water</v>
      </c>
    </row>
    <row r="78" spans="1:14" x14ac:dyDescent="0.35">
      <c r="A78" s="32" t="str">
        <f>IF(A77="","","   End of Year Balance [maf]")</f>
        <v xml:space="preserve">   End of Year Balance [maf]</v>
      </c>
      <c r="C78" s="66" t="str">
        <f>IF(OR(C$26="",$A78=""),"",C76-C77)</f>
        <v/>
      </c>
      <c r="D78" s="66" t="str">
        <f t="shared" ref="D78:L78" si="28">IF(OR(D$26="",$A78=""),"",D76-D77)</f>
        <v/>
      </c>
      <c r="E78" s="66" t="str">
        <f t="shared" si="28"/>
        <v/>
      </c>
      <c r="F78" s="66" t="str">
        <f t="shared" si="28"/>
        <v/>
      </c>
      <c r="G78" s="66" t="str">
        <f t="shared" si="28"/>
        <v/>
      </c>
      <c r="H78" s="66" t="str">
        <f t="shared" si="28"/>
        <v/>
      </c>
      <c r="I78" s="66" t="str">
        <f t="shared" si="28"/>
        <v/>
      </c>
      <c r="J78" s="66" t="str">
        <f t="shared" si="28"/>
        <v/>
      </c>
      <c r="K78" s="66" t="str">
        <f t="shared" si="28"/>
        <v/>
      </c>
      <c r="L78" s="66" t="str">
        <f t="shared" si="28"/>
        <v/>
      </c>
      <c r="N78" t="str">
        <f t="shared" si="25"/>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29">IF(A82="","",N74)</f>
        <v>Add if multiple transactions, e.g.: $350*0.5 + $450*0.25</v>
      </c>
    </row>
    <row r="83" spans="1:14" x14ac:dyDescent="0.35">
      <c r="A83" s="32" t="str">
        <f>IF(A82="","","   Volume all players (should be zero)")</f>
        <v xml:space="preserve">   Volume all players (should be zero)</v>
      </c>
      <c r="C83" s="67" t="str">
        <f t="shared" ref="C83:M83" si="30">IF(OR(C$26="",$A83=""),"",C$112)</f>
        <v/>
      </c>
      <c r="D83" s="67" t="str">
        <f t="shared" si="30"/>
        <v/>
      </c>
      <c r="E83" s="67" t="str">
        <f t="shared" si="30"/>
        <v/>
      </c>
      <c r="F83" s="67" t="str">
        <f t="shared" si="30"/>
        <v/>
      </c>
      <c r="G83" s="67" t="str">
        <f t="shared" si="30"/>
        <v/>
      </c>
      <c r="H83" s="67" t="str">
        <f t="shared" si="30"/>
        <v/>
      </c>
      <c r="I83" s="67" t="str">
        <f t="shared" si="30"/>
        <v/>
      </c>
      <c r="J83" s="67" t="str">
        <f t="shared" si="30"/>
        <v/>
      </c>
      <c r="K83" s="67" t="str">
        <f t="shared" si="30"/>
        <v/>
      </c>
      <c r="L83" s="67" t="str">
        <f t="shared" si="30"/>
        <v/>
      </c>
      <c r="M83" t="str">
        <f t="shared" si="30"/>
        <v/>
      </c>
      <c r="N83" t="str">
        <f t="shared" si="29"/>
        <v>If non-zero, players need to change amount(s)</v>
      </c>
    </row>
    <row r="84" spans="1:14" x14ac:dyDescent="0.35">
      <c r="A84" s="1" t="str">
        <f>IF(A82="","","   Available Water [maf]")</f>
        <v xml:space="preserve">   Available Water [maf]</v>
      </c>
      <c r="C84" s="14" t="str">
        <f t="shared" ref="C84:L84" si="31">IF(OR(C$26="",$A84=""),"",C33+C51-C43-C81)</f>
        <v/>
      </c>
      <c r="D84" s="14" t="str">
        <f t="shared" si="31"/>
        <v/>
      </c>
      <c r="E84" s="14" t="str">
        <f t="shared" si="31"/>
        <v/>
      </c>
      <c r="F84" s="14" t="str">
        <f t="shared" si="31"/>
        <v/>
      </c>
      <c r="G84" s="14" t="str">
        <f t="shared" si="31"/>
        <v/>
      </c>
      <c r="H84" s="14" t="str">
        <f t="shared" si="31"/>
        <v/>
      </c>
      <c r="I84" s="14" t="str">
        <f t="shared" si="31"/>
        <v/>
      </c>
      <c r="J84" s="14" t="str">
        <f t="shared" si="31"/>
        <v/>
      </c>
      <c r="K84" s="14" t="str">
        <f t="shared" si="31"/>
        <v/>
      </c>
      <c r="L84" s="14" t="str">
        <f t="shared" si="31"/>
        <v/>
      </c>
      <c r="N84" t="str">
        <f t="shared" si="29"/>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29"/>
        <v>Must be less than Available water</v>
      </c>
    </row>
    <row r="86" spans="1:14" x14ac:dyDescent="0.35">
      <c r="A86" s="32" t="str">
        <f>IF(A85="","","   End of Year Balance [maf]")</f>
        <v xml:space="preserve">   End of Year Balance [maf]</v>
      </c>
      <c r="C86" s="66" t="str">
        <f>IF(OR(C$26="",$A86=""),"",C84-C85)</f>
        <v/>
      </c>
      <c r="D86" s="66" t="str">
        <f t="shared" ref="D86:L86" si="32">IF(OR(D$26="",$A86=""),"",D84-D85)</f>
        <v/>
      </c>
      <c r="E86" s="66" t="str">
        <f t="shared" si="32"/>
        <v/>
      </c>
      <c r="F86" s="66" t="str">
        <f t="shared" si="32"/>
        <v/>
      </c>
      <c r="G86" s="66" t="str">
        <f t="shared" si="32"/>
        <v/>
      </c>
      <c r="H86" s="66" t="str">
        <f t="shared" si="32"/>
        <v/>
      </c>
      <c r="I86" s="66" t="str">
        <f t="shared" si="32"/>
        <v/>
      </c>
      <c r="J86" s="66" t="str">
        <f t="shared" si="32"/>
        <v/>
      </c>
      <c r="K86" s="66" t="str">
        <f t="shared" si="32"/>
        <v/>
      </c>
      <c r="L86" s="66" t="str">
        <f t="shared" si="32"/>
        <v/>
      </c>
      <c r="N86" t="str">
        <f t="shared" si="29"/>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33">IF(A90="","",N82)</f>
        <v/>
      </c>
    </row>
    <row r="91" spans="1:14" x14ac:dyDescent="0.35">
      <c r="A91" s="32" t="str">
        <f>IF(A90="","","   Volume all players (should be zero)")</f>
        <v/>
      </c>
      <c r="C91" s="67" t="str">
        <f t="shared" ref="C91:M91" si="34">IF(OR(C$26="",$A91=""),"",C$112)</f>
        <v/>
      </c>
      <c r="D91" s="67" t="str">
        <f t="shared" si="34"/>
        <v/>
      </c>
      <c r="E91" s="67" t="str">
        <f t="shared" si="34"/>
        <v/>
      </c>
      <c r="F91" s="67" t="str">
        <f t="shared" si="34"/>
        <v/>
      </c>
      <c r="G91" s="67" t="str">
        <f t="shared" si="34"/>
        <v/>
      </c>
      <c r="H91" s="67" t="str">
        <f t="shared" si="34"/>
        <v/>
      </c>
      <c r="I91" s="67" t="str">
        <f t="shared" si="34"/>
        <v/>
      </c>
      <c r="J91" s="67" t="str">
        <f t="shared" si="34"/>
        <v/>
      </c>
      <c r="K91" s="67" t="str">
        <f t="shared" si="34"/>
        <v/>
      </c>
      <c r="L91" s="67" t="str">
        <f t="shared" si="34"/>
        <v/>
      </c>
      <c r="M91" t="str">
        <f t="shared" si="34"/>
        <v/>
      </c>
      <c r="N91" t="str">
        <f t="shared" si="33"/>
        <v/>
      </c>
    </row>
    <row r="92" spans="1:14" x14ac:dyDescent="0.35">
      <c r="A92" s="1" t="str">
        <f>IF(A90="","","   Available Water [maf]")</f>
        <v/>
      </c>
      <c r="C92" s="14" t="str">
        <f t="shared" ref="C92:L92" si="35">IF(OR(C$26="",$A92=""),"",C34+C52-C44-C89)</f>
        <v/>
      </c>
      <c r="D92" s="14" t="str">
        <f t="shared" si="35"/>
        <v/>
      </c>
      <c r="E92" s="14" t="str">
        <f t="shared" si="35"/>
        <v/>
      </c>
      <c r="F92" s="14" t="str">
        <f t="shared" si="35"/>
        <v/>
      </c>
      <c r="G92" s="14" t="str">
        <f t="shared" si="35"/>
        <v/>
      </c>
      <c r="H92" s="14" t="str">
        <f t="shared" si="35"/>
        <v/>
      </c>
      <c r="I92" s="14" t="str">
        <f t="shared" si="35"/>
        <v/>
      </c>
      <c r="J92" s="14" t="str">
        <f t="shared" si="35"/>
        <v/>
      </c>
      <c r="K92" s="14" t="str">
        <f t="shared" si="35"/>
        <v/>
      </c>
      <c r="L92" s="14" t="str">
        <f t="shared" si="35"/>
        <v/>
      </c>
      <c r="N92" t="str">
        <f t="shared" si="33"/>
        <v/>
      </c>
    </row>
    <row r="93" spans="1:14" x14ac:dyDescent="0.35">
      <c r="A93" s="1" t="str">
        <f>IF(A92="","","   Account Withdraw [maf]")</f>
        <v/>
      </c>
      <c r="C93" s="161"/>
      <c r="D93" s="161"/>
      <c r="E93" s="161"/>
      <c r="F93" s="161"/>
      <c r="G93" s="161"/>
      <c r="H93" s="161"/>
      <c r="I93" s="161"/>
      <c r="J93" s="161"/>
      <c r="K93" s="161"/>
      <c r="L93" s="161"/>
      <c r="N93" t="str">
        <f t="shared" si="33"/>
        <v/>
      </c>
    </row>
    <row r="94" spans="1:14" x14ac:dyDescent="0.35">
      <c r="A94" s="32" t="str">
        <f>IF(A93="","","   End of Year Balance [maf]")</f>
        <v/>
      </c>
      <c r="C94" s="66" t="str">
        <f>IF(OR(C$26="",$A94=""),"",C92-C93)</f>
        <v/>
      </c>
      <c r="D94" s="66" t="str">
        <f t="shared" ref="D94:L94" si="36">IF(OR(D$26="",$A94=""),"",D92-D93)</f>
        <v/>
      </c>
      <c r="E94" s="66" t="str">
        <f t="shared" si="36"/>
        <v/>
      </c>
      <c r="F94" s="66" t="str">
        <f t="shared" si="36"/>
        <v/>
      </c>
      <c r="G94" s="66" t="str">
        <f t="shared" si="36"/>
        <v/>
      </c>
      <c r="H94" s="66" t="str">
        <f t="shared" si="36"/>
        <v/>
      </c>
      <c r="I94" s="66" t="str">
        <f t="shared" si="36"/>
        <v/>
      </c>
      <c r="J94" s="66" t="str">
        <f t="shared" si="36"/>
        <v/>
      </c>
      <c r="K94" s="66" t="str">
        <f t="shared" si="36"/>
        <v/>
      </c>
      <c r="L94" s="66" t="str">
        <f t="shared" si="36"/>
        <v/>
      </c>
      <c r="N94" t="str">
        <f t="shared" si="33"/>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7">IF(A98="","",N90)</f>
        <v/>
      </c>
    </row>
    <row r="99" spans="1:14" x14ac:dyDescent="0.35">
      <c r="A99" s="32" t="str">
        <f>IF(A98="","","   Volume all players (should be zero)")</f>
        <v/>
      </c>
      <c r="C99" s="67" t="str">
        <f t="shared" ref="C99:M99" si="38">IF(OR(C$26="",$A99=""),"",C$112)</f>
        <v/>
      </c>
      <c r="D99" s="67" t="str">
        <f t="shared" si="38"/>
        <v/>
      </c>
      <c r="E99" s="67" t="str">
        <f t="shared" si="38"/>
        <v/>
      </c>
      <c r="F99" s="67" t="str">
        <f t="shared" si="38"/>
        <v/>
      </c>
      <c r="G99" s="67" t="str">
        <f t="shared" si="38"/>
        <v/>
      </c>
      <c r="H99" s="67" t="str">
        <f t="shared" si="38"/>
        <v/>
      </c>
      <c r="I99" s="67" t="str">
        <f t="shared" si="38"/>
        <v/>
      </c>
      <c r="J99" s="67" t="str">
        <f t="shared" si="38"/>
        <v/>
      </c>
      <c r="K99" s="67" t="str">
        <f t="shared" si="38"/>
        <v/>
      </c>
      <c r="L99" s="67" t="str">
        <f t="shared" si="38"/>
        <v/>
      </c>
      <c r="M99" t="str">
        <f t="shared" si="38"/>
        <v/>
      </c>
      <c r="N99" t="str">
        <f t="shared" si="37"/>
        <v/>
      </c>
    </row>
    <row r="100" spans="1:14" x14ac:dyDescent="0.35">
      <c r="A100" s="1" t="str">
        <f>IF(A98="","","   Available Water [maf]")</f>
        <v/>
      </c>
      <c r="C100" s="14" t="str">
        <f t="shared" ref="C100:L100" si="39">IF(OR(C$26="",$A100=""),"",C35+C53-C45-C97)</f>
        <v/>
      </c>
      <c r="D100" s="14" t="str">
        <f t="shared" si="39"/>
        <v/>
      </c>
      <c r="E100" s="14" t="str">
        <f t="shared" si="39"/>
        <v/>
      </c>
      <c r="F100" s="14" t="str">
        <f t="shared" si="39"/>
        <v/>
      </c>
      <c r="G100" s="14" t="str">
        <f t="shared" si="39"/>
        <v/>
      </c>
      <c r="H100" s="14" t="str">
        <f t="shared" si="39"/>
        <v/>
      </c>
      <c r="I100" s="14" t="str">
        <f t="shared" si="39"/>
        <v/>
      </c>
      <c r="J100" s="14" t="str">
        <f t="shared" si="39"/>
        <v/>
      </c>
      <c r="K100" s="14" t="str">
        <f t="shared" si="39"/>
        <v/>
      </c>
      <c r="L100" s="14" t="str">
        <f t="shared" si="39"/>
        <v/>
      </c>
      <c r="N100" t="str">
        <f t="shared" si="37"/>
        <v/>
      </c>
    </row>
    <row r="101" spans="1:14" x14ac:dyDescent="0.35">
      <c r="A101" s="1" t="str">
        <f>IF(A100="","","   Account Withdraw [maf]")</f>
        <v/>
      </c>
      <c r="C101" s="161"/>
      <c r="D101" s="161"/>
      <c r="E101" s="161"/>
      <c r="F101" s="161"/>
      <c r="G101" s="161"/>
      <c r="H101" s="161"/>
      <c r="I101" s="161"/>
      <c r="J101" s="161"/>
      <c r="K101" s="161"/>
      <c r="L101" s="161"/>
      <c r="N101" t="str">
        <f t="shared" si="37"/>
        <v/>
      </c>
    </row>
    <row r="102" spans="1:14" x14ac:dyDescent="0.35">
      <c r="A102" s="32" t="str">
        <f>IF(A101="","","   End of Year Balance [maf]")</f>
        <v/>
      </c>
      <c r="C102" s="66" t="str">
        <f>IF(OR(C$26="",$A102=""),"",C100-C101)</f>
        <v/>
      </c>
      <c r="D102" s="66" t="str">
        <f t="shared" ref="D102:L102" si="40">IF(OR(D$26="",$A102=""),"",D100-D101)</f>
        <v/>
      </c>
      <c r="E102" s="66" t="str">
        <f t="shared" si="40"/>
        <v/>
      </c>
      <c r="F102" s="66" t="str">
        <f t="shared" si="40"/>
        <v/>
      </c>
      <c r="G102" s="66" t="str">
        <f t="shared" si="40"/>
        <v/>
      </c>
      <c r="H102" s="66" t="str">
        <f t="shared" si="40"/>
        <v/>
      </c>
      <c r="I102" s="66" t="str">
        <f t="shared" si="40"/>
        <v/>
      </c>
      <c r="J102" s="66" t="str">
        <f t="shared" si="40"/>
        <v/>
      </c>
      <c r="K102" s="66" t="str">
        <f t="shared" si="40"/>
        <v/>
      </c>
      <c r="L102" s="66" t="str">
        <f t="shared" si="40"/>
        <v/>
      </c>
      <c r="N102" t="str">
        <f t="shared" si="37"/>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t="str">
        <f t="shared" ref="C106:L111" ca="1" si="41">IF(OR(C$26="",$A106=""),"",OFFSET(C$57,8*(ROW(B106)-ROW(B$106)),0))</f>
        <v/>
      </c>
      <c r="D106" s="67" t="str">
        <f t="shared" ca="1" si="41"/>
        <v/>
      </c>
      <c r="E106" s="67" t="str">
        <f t="shared" ca="1" si="41"/>
        <v/>
      </c>
      <c r="F106" s="67" t="str">
        <f t="shared" ca="1" si="41"/>
        <v/>
      </c>
      <c r="G106" s="67" t="str">
        <f t="shared" ca="1" si="41"/>
        <v/>
      </c>
      <c r="H106" s="67" t="str">
        <f t="shared" ca="1" si="41"/>
        <v/>
      </c>
      <c r="I106" s="67" t="str">
        <f t="shared" ca="1" si="41"/>
        <v/>
      </c>
      <c r="J106" s="67" t="str">
        <f t="shared" ca="1" si="41"/>
        <v/>
      </c>
      <c r="K106" s="67" t="str">
        <f t="shared" ca="1" si="41"/>
        <v/>
      </c>
      <c r="L106" s="67" t="str">
        <f t="shared" ca="1" si="41"/>
        <v/>
      </c>
      <c r="M106" s="67">
        <f ca="1">IF(OR($A106=""),"",SUM(C106:L106))</f>
        <v>0</v>
      </c>
      <c r="N106" s="65">
        <f>IF(OR($A106=""),"",M58)</f>
        <v>0</v>
      </c>
    </row>
    <row r="107" spans="1:14" x14ac:dyDescent="0.35">
      <c r="A107" t="str">
        <f>IF(A6="","","    "&amp;A6)</f>
        <v xml:space="preserve">    Lower Basin</v>
      </c>
      <c r="B107" s="1"/>
      <c r="C107" s="67" t="str">
        <f t="shared" ca="1" si="41"/>
        <v/>
      </c>
      <c r="D107" s="67" t="str">
        <f t="shared" ca="1" si="41"/>
        <v/>
      </c>
      <c r="E107" s="67" t="str">
        <f t="shared" ca="1" si="41"/>
        <v/>
      </c>
      <c r="F107" s="67" t="str">
        <f t="shared" ca="1" si="41"/>
        <v/>
      </c>
      <c r="G107" s="67" t="str">
        <f t="shared" ca="1" si="41"/>
        <v/>
      </c>
      <c r="H107" s="67" t="str">
        <f t="shared" ca="1" si="41"/>
        <v/>
      </c>
      <c r="I107" s="67" t="str">
        <f t="shared" ca="1" si="41"/>
        <v/>
      </c>
      <c r="J107" s="67" t="str">
        <f t="shared" ca="1" si="41"/>
        <v/>
      </c>
      <c r="K107" s="67" t="str">
        <f t="shared" ca="1" si="41"/>
        <v/>
      </c>
      <c r="L107" s="67" t="str">
        <f t="shared" ca="1" si="41"/>
        <v/>
      </c>
      <c r="M107" s="67">
        <f t="shared" ref="M107:M111" ca="1" si="42">IF(OR($A107=""),"",SUM(C107:L107))</f>
        <v>0</v>
      </c>
      <c r="N107" s="65">
        <f>IF(OR($A107=""),"",M66)</f>
        <v>0</v>
      </c>
    </row>
    <row r="108" spans="1:14" x14ac:dyDescent="0.35">
      <c r="A108" t="str">
        <f>IF(A7="","","    "&amp;A7)</f>
        <v xml:space="preserve">    Mexico</v>
      </c>
      <c r="B108" s="1"/>
      <c r="C108" s="67" t="str">
        <f t="shared" ca="1" si="41"/>
        <v/>
      </c>
      <c r="D108" s="67" t="str">
        <f t="shared" ca="1" si="41"/>
        <v/>
      </c>
      <c r="E108" s="67" t="str">
        <f t="shared" ca="1" si="41"/>
        <v/>
      </c>
      <c r="F108" s="67" t="str">
        <f t="shared" ca="1" si="41"/>
        <v/>
      </c>
      <c r="G108" s="67" t="str">
        <f t="shared" ca="1" si="41"/>
        <v/>
      </c>
      <c r="H108" s="67" t="str">
        <f t="shared" ca="1" si="41"/>
        <v/>
      </c>
      <c r="I108" s="67" t="str">
        <f t="shared" ca="1" si="41"/>
        <v/>
      </c>
      <c r="J108" s="67" t="str">
        <f t="shared" ca="1" si="41"/>
        <v/>
      </c>
      <c r="K108" s="67" t="str">
        <f t="shared" ca="1" si="41"/>
        <v/>
      </c>
      <c r="L108" s="67" t="str">
        <f t="shared" ca="1" si="41"/>
        <v/>
      </c>
      <c r="M108" s="67">
        <f t="shared" ca="1" si="42"/>
        <v>0</v>
      </c>
      <c r="N108" s="65">
        <f>IF(OR($A108=""),"",M74)</f>
        <v>0</v>
      </c>
    </row>
    <row r="109" spans="1:14" x14ac:dyDescent="0.35">
      <c r="A109" t="str">
        <f>IF(A8="","","    "&amp;A8)</f>
        <v xml:space="preserve">    Shared, Reserve</v>
      </c>
      <c r="B109" s="1"/>
      <c r="C109" s="67" t="str">
        <f t="shared" ca="1" si="41"/>
        <v/>
      </c>
      <c r="D109" s="67" t="str">
        <f t="shared" ca="1" si="41"/>
        <v/>
      </c>
      <c r="E109" s="67" t="str">
        <f t="shared" ca="1" si="41"/>
        <v/>
      </c>
      <c r="F109" s="67" t="str">
        <f t="shared" ca="1" si="41"/>
        <v/>
      </c>
      <c r="G109" s="67" t="str">
        <f t="shared" ca="1" si="41"/>
        <v/>
      </c>
      <c r="H109" s="67" t="str">
        <f t="shared" ca="1" si="41"/>
        <v/>
      </c>
      <c r="I109" s="67" t="str">
        <f t="shared" ca="1" si="41"/>
        <v/>
      </c>
      <c r="J109" s="67" t="str">
        <f t="shared" ca="1" si="41"/>
        <v/>
      </c>
      <c r="K109" s="67" t="str">
        <f t="shared" ca="1" si="41"/>
        <v/>
      </c>
      <c r="L109" s="67" t="str">
        <f t="shared" ca="1" si="41"/>
        <v/>
      </c>
      <c r="M109" s="67">
        <f t="shared" ca="1" si="42"/>
        <v>0</v>
      </c>
      <c r="N109" s="65">
        <f>IF(OR($A109=""),"",M82)</f>
        <v>0</v>
      </c>
    </row>
    <row r="110" spans="1:14" x14ac:dyDescent="0.35">
      <c r="A110" t="str">
        <f>IF(A9="","","    "&amp;A9)</f>
        <v/>
      </c>
      <c r="B110" s="1"/>
      <c r="C110" s="67" t="str">
        <f t="shared" ca="1" si="41"/>
        <v/>
      </c>
      <c r="D110" s="67" t="str">
        <f t="shared" ca="1" si="41"/>
        <v/>
      </c>
      <c r="E110" s="67" t="str">
        <f t="shared" ca="1" si="41"/>
        <v/>
      </c>
      <c r="F110" s="67" t="str">
        <f t="shared" ca="1" si="41"/>
        <v/>
      </c>
      <c r="G110" s="67" t="str">
        <f t="shared" ca="1" si="41"/>
        <v/>
      </c>
      <c r="H110" s="67" t="str">
        <f t="shared" ca="1" si="41"/>
        <v/>
      </c>
      <c r="I110" s="67" t="str">
        <f t="shared" ca="1" si="41"/>
        <v/>
      </c>
      <c r="J110" s="67" t="str">
        <f t="shared" ca="1" si="41"/>
        <v/>
      </c>
      <c r="K110" s="67" t="str">
        <f t="shared" ca="1" si="41"/>
        <v/>
      </c>
      <c r="L110" s="67" t="str">
        <f t="shared" ca="1" si="41"/>
        <v/>
      </c>
      <c r="M110" s="67" t="str">
        <f t="shared" si="42"/>
        <v/>
      </c>
      <c r="N110" s="65" t="str">
        <f>IF(OR($A110=""),"",M90)</f>
        <v/>
      </c>
    </row>
    <row r="111" spans="1:14" x14ac:dyDescent="0.35">
      <c r="A111" t="str">
        <f>IF(A10="","","    "&amp;A10)</f>
        <v/>
      </c>
      <c r="B111" s="1"/>
      <c r="C111" s="67" t="str">
        <f t="shared" ca="1" si="41"/>
        <v/>
      </c>
      <c r="D111" s="67" t="str">
        <f t="shared" ca="1" si="41"/>
        <v/>
      </c>
      <c r="E111" s="67" t="str">
        <f t="shared" ca="1" si="41"/>
        <v/>
      </c>
      <c r="F111" s="67" t="str">
        <f t="shared" ca="1" si="41"/>
        <v/>
      </c>
      <c r="G111" s="67" t="str">
        <f t="shared" ca="1" si="41"/>
        <v/>
      </c>
      <c r="H111" s="67" t="str">
        <f t="shared" ca="1" si="41"/>
        <v/>
      </c>
      <c r="I111" s="67" t="str">
        <f t="shared" ca="1" si="41"/>
        <v/>
      </c>
      <c r="J111" s="67" t="str">
        <f t="shared" ca="1" si="41"/>
        <v/>
      </c>
      <c r="K111" s="67" t="str">
        <f t="shared" ca="1" si="41"/>
        <v/>
      </c>
      <c r="L111" s="67" t="str">
        <f t="shared" ca="1" si="41"/>
        <v/>
      </c>
      <c r="M111" s="67" t="str">
        <f t="shared" si="42"/>
        <v/>
      </c>
      <c r="N111" s="65" t="str">
        <f>IF(OR($A111=""),"",M98)</f>
        <v/>
      </c>
    </row>
    <row r="112" spans="1:14" x14ac:dyDescent="0.35">
      <c r="A112" t="s">
        <v>146</v>
      </c>
      <c r="B112" s="1"/>
      <c r="C112" s="51" t="str">
        <f>IF(C$26&lt;&gt;"",SUM(C106:C111),"")</f>
        <v/>
      </c>
      <c r="D112" s="51" t="str">
        <f t="shared" ref="D112:L112" si="43">IF(D$26&lt;&gt;"",SUM(D106:D111),"")</f>
        <v/>
      </c>
      <c r="E112" s="119" t="str">
        <f t="shared" si="43"/>
        <v/>
      </c>
      <c r="F112" s="51" t="str">
        <f t="shared" si="43"/>
        <v/>
      </c>
      <c r="G112" s="51" t="str">
        <f t="shared" si="43"/>
        <v/>
      </c>
      <c r="H112" s="51" t="str">
        <f t="shared" si="43"/>
        <v/>
      </c>
      <c r="I112" s="51" t="str">
        <f t="shared" si="43"/>
        <v/>
      </c>
      <c r="J112" s="51" t="str">
        <f t="shared" si="43"/>
        <v/>
      </c>
      <c r="K112" s="51" t="str">
        <f t="shared" si="43"/>
        <v/>
      </c>
      <c r="L112" s="51" t="str">
        <f t="shared" si="43"/>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44">IF(OR(C$26="",$A114=""),"",OFFSET(C$61,8*(ROW(B114)-ROW(B$114)),0))</f>
        <v/>
      </c>
      <c r="D114" s="67" t="str">
        <f t="shared" ca="1" si="44"/>
        <v/>
      </c>
      <c r="E114" s="67" t="str">
        <f t="shared" ca="1" si="44"/>
        <v/>
      </c>
      <c r="F114" s="67" t="str">
        <f t="shared" ca="1" si="44"/>
        <v/>
      </c>
      <c r="G114" s="67" t="str">
        <f t="shared" ca="1" si="44"/>
        <v/>
      </c>
      <c r="H114" s="67" t="str">
        <f t="shared" ca="1" si="44"/>
        <v/>
      </c>
      <c r="I114" s="67" t="str">
        <f t="shared" ca="1" si="44"/>
        <v/>
      </c>
      <c r="J114" s="67" t="str">
        <f t="shared" ca="1" si="44"/>
        <v/>
      </c>
      <c r="K114" s="67" t="str">
        <f t="shared" ca="1" si="44"/>
        <v/>
      </c>
      <c r="L114" s="67" t="str">
        <f t="shared" ca="1" si="44"/>
        <v/>
      </c>
    </row>
    <row r="115" spans="1:12" x14ac:dyDescent="0.35">
      <c r="A115" t="str">
        <f>IF(A6="","","    "&amp;A6&amp;" - Release from Mead")</f>
        <v xml:space="preserve">    Lower Basin - Release from Mead</v>
      </c>
      <c r="C115" s="67" t="str">
        <f t="shared" ca="1" si="44"/>
        <v/>
      </c>
      <c r="D115" s="67" t="str">
        <f t="shared" ca="1" si="44"/>
        <v/>
      </c>
      <c r="E115" s="67" t="str">
        <f t="shared" ca="1" si="44"/>
        <v/>
      </c>
      <c r="F115" s="67" t="str">
        <f t="shared" ca="1" si="44"/>
        <v/>
      </c>
      <c r="G115" s="67" t="str">
        <f t="shared" ca="1" si="44"/>
        <v/>
      </c>
      <c r="H115" s="67" t="str">
        <f t="shared" ca="1" si="44"/>
        <v/>
      </c>
      <c r="I115" s="67" t="str">
        <f t="shared" ca="1" si="44"/>
        <v/>
      </c>
      <c r="J115" s="67" t="str">
        <f t="shared" ca="1" si="44"/>
        <v/>
      </c>
      <c r="K115" s="67" t="str">
        <f t="shared" ca="1" si="44"/>
        <v/>
      </c>
      <c r="L115" s="67" t="str">
        <f t="shared" ca="1" si="44"/>
        <v/>
      </c>
    </row>
    <row r="116" spans="1:12" x14ac:dyDescent="0.35">
      <c r="A116" t="str">
        <f>IF(A7="","","    "&amp;A7&amp;" - Release from Mead")</f>
        <v xml:space="preserve">    Mexico - Release from Mead</v>
      </c>
      <c r="C116" s="67" t="str">
        <f t="shared" ca="1" si="44"/>
        <v/>
      </c>
      <c r="D116" s="67" t="str">
        <f t="shared" ca="1" si="44"/>
        <v/>
      </c>
      <c r="E116" s="67" t="str">
        <f t="shared" ca="1" si="44"/>
        <v/>
      </c>
      <c r="F116" s="67" t="str">
        <f t="shared" ca="1" si="44"/>
        <v/>
      </c>
      <c r="G116" s="67" t="str">
        <f t="shared" ca="1" si="44"/>
        <v/>
      </c>
      <c r="H116" s="67" t="str">
        <f t="shared" ca="1" si="44"/>
        <v/>
      </c>
      <c r="I116" s="67" t="str">
        <f t="shared" ca="1" si="44"/>
        <v/>
      </c>
      <c r="J116" s="67" t="str">
        <f t="shared" ca="1" si="44"/>
        <v/>
      </c>
      <c r="K116" s="67" t="str">
        <f t="shared" ca="1" si="44"/>
        <v/>
      </c>
      <c r="L116" s="67" t="str">
        <f t="shared" ca="1" si="44"/>
        <v/>
      </c>
    </row>
    <row r="117" spans="1:12" x14ac:dyDescent="0.35">
      <c r="A117" t="str">
        <f>IF(A8="","","    "&amp;A8&amp;" - Release from Mead")</f>
        <v xml:space="preserve">    Shared, Reserve - Release from Mead</v>
      </c>
      <c r="C117" s="67" t="str">
        <f t="shared" ca="1" si="44"/>
        <v/>
      </c>
      <c r="D117" s="67" t="str">
        <f t="shared" ca="1" si="44"/>
        <v/>
      </c>
      <c r="E117" s="67" t="str">
        <f t="shared" ca="1" si="44"/>
        <v/>
      </c>
      <c r="F117" s="67" t="str">
        <f t="shared" ca="1" si="44"/>
        <v/>
      </c>
      <c r="G117" s="67" t="str">
        <f t="shared" ca="1" si="44"/>
        <v/>
      </c>
      <c r="H117" s="67" t="str">
        <f t="shared" ca="1" si="44"/>
        <v/>
      </c>
      <c r="I117" s="67" t="str">
        <f t="shared" ca="1" si="44"/>
        <v/>
      </c>
      <c r="J117" s="67" t="str">
        <f t="shared" ca="1" si="44"/>
        <v/>
      </c>
      <c r="K117" s="67" t="str">
        <f t="shared" ca="1" si="44"/>
        <v/>
      </c>
      <c r="L117" s="67" t="str">
        <f t="shared" ca="1" si="44"/>
        <v/>
      </c>
    </row>
    <row r="118" spans="1:12" x14ac:dyDescent="0.35">
      <c r="A118" t="str">
        <f>IF(A9="","","    "&amp;A9&amp;" - Release from Mead")</f>
        <v/>
      </c>
      <c r="C118" s="67" t="str">
        <f t="shared" ca="1" si="44"/>
        <v/>
      </c>
      <c r="D118" s="67" t="str">
        <f t="shared" ca="1" si="44"/>
        <v/>
      </c>
      <c r="E118" s="67" t="str">
        <f t="shared" ca="1" si="44"/>
        <v/>
      </c>
      <c r="F118" s="67" t="str">
        <f t="shared" ca="1" si="44"/>
        <v/>
      </c>
      <c r="G118" s="67" t="str">
        <f t="shared" ca="1" si="44"/>
        <v/>
      </c>
      <c r="H118" s="67" t="str">
        <f t="shared" ca="1" si="44"/>
        <v/>
      </c>
      <c r="I118" s="67" t="str">
        <f t="shared" ca="1" si="44"/>
        <v/>
      </c>
      <c r="J118" s="67" t="str">
        <f t="shared" ca="1" si="44"/>
        <v/>
      </c>
      <c r="K118" s="67" t="str">
        <f t="shared" ca="1" si="44"/>
        <v/>
      </c>
      <c r="L118" s="67" t="str">
        <f t="shared" ca="1" si="44"/>
        <v/>
      </c>
    </row>
    <row r="119" spans="1:12" x14ac:dyDescent="0.35">
      <c r="A119" t="str">
        <f>IF(A10="","","    "&amp;A10&amp;" - Release from Mead")</f>
        <v/>
      </c>
      <c r="C119" s="67" t="str">
        <f t="shared" ca="1" si="44"/>
        <v/>
      </c>
      <c r="D119" s="67" t="str">
        <f t="shared" ca="1" si="44"/>
        <v/>
      </c>
      <c r="E119" s="67" t="str">
        <f t="shared" ca="1" si="44"/>
        <v/>
      </c>
      <c r="F119" s="67" t="str">
        <f t="shared" ca="1" si="44"/>
        <v/>
      </c>
      <c r="G119" s="67" t="str">
        <f t="shared" ca="1" si="44"/>
        <v/>
      </c>
      <c r="H119" s="67" t="str">
        <f t="shared" ca="1" si="44"/>
        <v/>
      </c>
      <c r="I119" s="67" t="str">
        <f t="shared" ca="1" si="44"/>
        <v/>
      </c>
      <c r="J119" s="67" t="str">
        <f t="shared" ca="1" si="44"/>
        <v/>
      </c>
      <c r="K119" s="67" t="str">
        <f t="shared" ca="1" si="44"/>
        <v/>
      </c>
      <c r="L119" s="67" t="str">
        <f t="shared" ca="1" si="44"/>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t="str">
        <f t="shared" ref="C121:L126" ca="1" si="45">IF(OR(C$26="",$A121=""),"",OFFSET(C$62,8*(ROW(B121)-ROW(B$121)),0))</f>
        <v/>
      </c>
      <c r="D121" s="67" t="str">
        <f t="shared" ca="1" si="45"/>
        <v/>
      </c>
      <c r="E121" s="67" t="str">
        <f t="shared" ca="1" si="45"/>
        <v/>
      </c>
      <c r="F121" s="67" t="str">
        <f t="shared" ca="1" si="45"/>
        <v/>
      </c>
      <c r="G121" s="67" t="str">
        <f t="shared" ca="1" si="45"/>
        <v/>
      </c>
      <c r="H121" s="67" t="str">
        <f t="shared" ca="1" si="45"/>
        <v/>
      </c>
      <c r="I121" s="67" t="str">
        <f t="shared" ca="1" si="45"/>
        <v/>
      </c>
      <c r="J121" s="67" t="str">
        <f t="shared" ca="1" si="45"/>
        <v/>
      </c>
      <c r="K121" s="67" t="str">
        <f t="shared" ca="1" si="45"/>
        <v/>
      </c>
      <c r="L121" s="67" t="str">
        <f t="shared" ca="1" si="45"/>
        <v/>
      </c>
    </row>
    <row r="122" spans="1:12" x14ac:dyDescent="0.35">
      <c r="A122" t="str">
        <f>IF(A6="","","    "&amp;A6)</f>
        <v xml:space="preserve">    Lower Basin</v>
      </c>
      <c r="C122" s="67" t="str">
        <f t="shared" ca="1" si="45"/>
        <v/>
      </c>
      <c r="D122" s="67" t="str">
        <f t="shared" ca="1" si="45"/>
        <v/>
      </c>
      <c r="E122" s="67" t="str">
        <f t="shared" ca="1" si="45"/>
        <v/>
      </c>
      <c r="F122" s="67" t="str">
        <f t="shared" ca="1" si="45"/>
        <v/>
      </c>
      <c r="G122" s="67" t="str">
        <f t="shared" ca="1" si="45"/>
        <v/>
      </c>
      <c r="H122" s="67" t="str">
        <f t="shared" ca="1" si="45"/>
        <v/>
      </c>
      <c r="I122" s="67" t="str">
        <f t="shared" ca="1" si="45"/>
        <v/>
      </c>
      <c r="J122" s="67" t="str">
        <f t="shared" ca="1" si="45"/>
        <v/>
      </c>
      <c r="K122" s="67" t="str">
        <f t="shared" ca="1" si="45"/>
        <v/>
      </c>
      <c r="L122" s="67" t="str">
        <f t="shared" ca="1" si="45"/>
        <v/>
      </c>
    </row>
    <row r="123" spans="1:12" x14ac:dyDescent="0.35">
      <c r="A123" t="str">
        <f>IF(A7="","","    "&amp;A7)</f>
        <v xml:space="preserve">    Mexico</v>
      </c>
      <c r="C123" s="67" t="str">
        <f t="shared" ca="1" si="45"/>
        <v/>
      </c>
      <c r="D123" s="67" t="str">
        <f t="shared" ca="1" si="45"/>
        <v/>
      </c>
      <c r="E123" s="67" t="str">
        <f t="shared" ca="1" si="45"/>
        <v/>
      </c>
      <c r="F123" s="67" t="str">
        <f t="shared" ca="1" si="45"/>
        <v/>
      </c>
      <c r="G123" s="67" t="str">
        <f t="shared" ca="1" si="45"/>
        <v/>
      </c>
      <c r="H123" s="67" t="str">
        <f t="shared" ca="1" si="45"/>
        <v/>
      </c>
      <c r="I123" s="67" t="str">
        <f t="shared" ca="1" si="45"/>
        <v/>
      </c>
      <c r="J123" s="67" t="str">
        <f t="shared" ca="1" si="45"/>
        <v/>
      </c>
      <c r="K123" s="67" t="str">
        <f t="shared" ca="1" si="45"/>
        <v/>
      </c>
      <c r="L123" s="67" t="str">
        <f t="shared" ca="1" si="45"/>
        <v/>
      </c>
    </row>
    <row r="124" spans="1:12" x14ac:dyDescent="0.35">
      <c r="A124" t="str">
        <f>IF(A8="","","    "&amp;A8)</f>
        <v xml:space="preserve">    Shared, Reserve</v>
      </c>
      <c r="C124" s="67" t="str">
        <f t="shared" ca="1" si="45"/>
        <v/>
      </c>
      <c r="D124" s="67" t="str">
        <f t="shared" ca="1" si="45"/>
        <v/>
      </c>
      <c r="E124" s="67" t="str">
        <f t="shared" ca="1" si="45"/>
        <v/>
      </c>
      <c r="F124" s="67" t="str">
        <f t="shared" ca="1" si="45"/>
        <v/>
      </c>
      <c r="G124" s="67" t="str">
        <f t="shared" ca="1" si="45"/>
        <v/>
      </c>
      <c r="H124" s="67" t="str">
        <f t="shared" ca="1" si="45"/>
        <v/>
      </c>
      <c r="I124" s="67" t="str">
        <f t="shared" ca="1" si="45"/>
        <v/>
      </c>
      <c r="J124" s="67" t="str">
        <f t="shared" ca="1" si="45"/>
        <v/>
      </c>
      <c r="K124" s="67" t="str">
        <f t="shared" ca="1" si="45"/>
        <v/>
      </c>
      <c r="L124" s="67" t="str">
        <f t="shared" ca="1" si="45"/>
        <v/>
      </c>
    </row>
    <row r="125" spans="1:12" x14ac:dyDescent="0.35">
      <c r="A125" t="str">
        <f>IF(A9="","","    "&amp;A9)</f>
        <v/>
      </c>
      <c r="C125" s="67" t="str">
        <f t="shared" ca="1" si="45"/>
        <v/>
      </c>
      <c r="D125" s="67" t="str">
        <f t="shared" ca="1" si="45"/>
        <v/>
      </c>
      <c r="E125" s="67" t="str">
        <f t="shared" ca="1" si="45"/>
        <v/>
      </c>
      <c r="F125" s="67" t="str">
        <f t="shared" ca="1" si="45"/>
        <v/>
      </c>
      <c r="G125" s="67" t="str">
        <f t="shared" ca="1" si="45"/>
        <v/>
      </c>
      <c r="H125" s="67" t="str">
        <f t="shared" ca="1" si="45"/>
        <v/>
      </c>
      <c r="I125" s="67" t="str">
        <f t="shared" ca="1" si="45"/>
        <v/>
      </c>
      <c r="J125" s="67" t="str">
        <f t="shared" ca="1" si="45"/>
        <v/>
      </c>
      <c r="K125" s="67" t="str">
        <f t="shared" ca="1" si="45"/>
        <v/>
      </c>
      <c r="L125" s="67" t="str">
        <f t="shared" ca="1" si="45"/>
        <v/>
      </c>
    </row>
    <row r="126" spans="1:12" x14ac:dyDescent="0.35">
      <c r="A126" t="str">
        <f>IF(A10="","","    "&amp;A10)</f>
        <v/>
      </c>
      <c r="C126" s="67" t="str">
        <f t="shared" ca="1" si="45"/>
        <v/>
      </c>
      <c r="D126" s="67" t="str">
        <f t="shared" ca="1" si="45"/>
        <v/>
      </c>
      <c r="E126" s="67" t="str">
        <f t="shared" ca="1" si="45"/>
        <v/>
      </c>
      <c r="F126" s="67" t="str">
        <f t="shared" ca="1" si="45"/>
        <v/>
      </c>
      <c r="G126" s="67" t="str">
        <f t="shared" ca="1" si="45"/>
        <v/>
      </c>
      <c r="H126" s="67" t="str">
        <f t="shared" ca="1" si="45"/>
        <v/>
      </c>
      <c r="I126" s="67" t="str">
        <f t="shared" ca="1" si="45"/>
        <v/>
      </c>
      <c r="J126" s="67" t="str">
        <f t="shared" ca="1" si="45"/>
        <v/>
      </c>
      <c r="K126" s="67" t="str">
        <f t="shared" ca="1" si="45"/>
        <v/>
      </c>
      <c r="L126" s="67" t="str">
        <f t="shared" ca="1" si="45"/>
        <v/>
      </c>
    </row>
    <row r="127" spans="1:12" x14ac:dyDescent="0.35">
      <c r="A127" s="1" t="s">
        <v>123</v>
      </c>
      <c r="B127" s="1"/>
      <c r="C127" s="14" t="str">
        <f>IF(C$26&lt;&gt;"",SUM(C121:C126),"")</f>
        <v/>
      </c>
      <c r="D127" s="14" t="str">
        <f t="shared" ref="D127:L127" si="46">IF(D$26&lt;&gt;"",SUM(D121:D126),"")</f>
        <v/>
      </c>
      <c r="E127" s="14" t="str">
        <f t="shared" si="46"/>
        <v/>
      </c>
      <c r="F127" s="14" t="str">
        <f t="shared" si="46"/>
        <v/>
      </c>
      <c r="G127" s="14" t="str">
        <f t="shared" si="46"/>
        <v/>
      </c>
      <c r="H127" s="14" t="str">
        <f t="shared" si="46"/>
        <v/>
      </c>
      <c r="I127" s="14" t="str">
        <f t="shared" si="46"/>
        <v/>
      </c>
      <c r="J127" s="14" t="str">
        <f t="shared" si="46"/>
        <v/>
      </c>
      <c r="K127" s="14" t="str">
        <f t="shared" si="46"/>
        <v/>
      </c>
      <c r="L127" s="14" t="str">
        <f t="shared" si="46"/>
        <v/>
      </c>
    </row>
    <row r="128" spans="1:12" x14ac:dyDescent="0.35">
      <c r="A128" s="1" t="s">
        <v>197</v>
      </c>
      <c r="B128" s="1"/>
      <c r="C128" s="68"/>
      <c r="D128" s="68"/>
      <c r="E128" s="68"/>
      <c r="F128" s="68"/>
      <c r="G128" s="68"/>
      <c r="H128" s="68"/>
      <c r="I128" s="68"/>
      <c r="J128" s="68"/>
      <c r="K128" s="68"/>
      <c r="L128" s="68"/>
    </row>
    <row r="129" spans="1:14" x14ac:dyDescent="0.35">
      <c r="A129" s="1" t="s">
        <v>193</v>
      </c>
      <c r="B129" s="1"/>
      <c r="C129" s="14" t="str">
        <f>IF(C26="","",C$128*C$127)</f>
        <v/>
      </c>
      <c r="D129" s="14" t="str">
        <f t="shared" ref="D129:L129" si="47">IF(D26="","",D$128*D$127)</f>
        <v/>
      </c>
      <c r="E129" s="14" t="str">
        <f t="shared" si="47"/>
        <v/>
      </c>
      <c r="F129" s="14" t="str">
        <f t="shared" si="47"/>
        <v/>
      </c>
      <c r="G129" s="14" t="str">
        <f t="shared" si="47"/>
        <v/>
      </c>
      <c r="H129" s="14" t="str">
        <f t="shared" si="47"/>
        <v/>
      </c>
      <c r="I129" s="14" t="str">
        <f t="shared" si="47"/>
        <v/>
      </c>
      <c r="J129" s="14" t="str">
        <f t="shared" si="47"/>
        <v/>
      </c>
      <c r="K129" s="14" t="str">
        <f t="shared" si="47"/>
        <v/>
      </c>
      <c r="L129" s="14" t="str">
        <f t="shared" si="47"/>
        <v/>
      </c>
    </row>
    <row r="130" spans="1:14" x14ac:dyDescent="0.35">
      <c r="A130" s="1" t="s">
        <v>194</v>
      </c>
      <c r="B130" s="1"/>
      <c r="C130" s="14" t="str">
        <f>IF(C27="","",(1-C$128)*C$127)</f>
        <v/>
      </c>
      <c r="D130" s="14" t="str">
        <f t="shared" ref="D130:L130" si="48">IF(D27="","",(1-D$128)*D$127)</f>
        <v/>
      </c>
      <c r="E130" s="14" t="str">
        <f t="shared" si="48"/>
        <v/>
      </c>
      <c r="F130" s="14" t="str">
        <f t="shared" si="48"/>
        <v/>
      </c>
      <c r="G130" s="14" t="str">
        <f t="shared" si="48"/>
        <v/>
      </c>
      <c r="H130" s="14" t="str">
        <f t="shared" si="48"/>
        <v/>
      </c>
      <c r="I130" s="14" t="str">
        <f t="shared" si="48"/>
        <v/>
      </c>
      <c r="J130" s="14" t="str">
        <f t="shared" si="48"/>
        <v/>
      </c>
      <c r="K130" s="14" t="str">
        <f t="shared" si="48"/>
        <v/>
      </c>
      <c r="L130" s="14" t="str">
        <f t="shared" si="48"/>
        <v/>
      </c>
    </row>
    <row r="131" spans="1:14" x14ac:dyDescent="0.35">
      <c r="A131" s="32" t="s">
        <v>282</v>
      </c>
      <c r="B131" s="1"/>
      <c r="C131" s="87" t="str">
        <f>IF(C$26&lt;&gt;"",VLOOKUP(C129*1000000,'Powell-Elevation-Area'!$B$5:$H$689,7),"")</f>
        <v/>
      </c>
      <c r="D131" s="87" t="str">
        <f>IF(D$26&lt;&gt;"",VLOOKUP(D129*1000000,'Powell-Elevation-Area'!$B$5:$H$689,7),"")</f>
        <v/>
      </c>
      <c r="E131" s="87" t="str">
        <f>IF(E$26&lt;&gt;"",VLOOKUP(E129*1000000,'Powell-Elevation-Area'!$B$5:$H$689,7),"")</f>
        <v/>
      </c>
      <c r="F131" s="87" t="str">
        <f>IF(F$26&lt;&gt;"",VLOOKUP(F129*1000000,'Powell-Elevation-Area'!$B$5:$H$689,7),"")</f>
        <v/>
      </c>
      <c r="G131" s="87" t="str">
        <f>IF(G$26&lt;&gt;"",VLOOKUP(G129*1000000,'Powell-Elevation-Area'!$B$5:$H$689,7),"")</f>
        <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t="str">
        <f>IF(C$26&lt;&gt;"",VLOOKUP(C130*1000000,'Mead-Elevation-Area'!$B$5:$H$689,7),"")</f>
        <v/>
      </c>
      <c r="D132" s="87" t="str">
        <f>IF(D$26&lt;&gt;"",VLOOKUP(D130*1000000,'Mead-Elevation-Area'!$B$5:$H$689,7),"")</f>
        <v/>
      </c>
      <c r="E132" s="87" t="str">
        <f>IF(E$26&lt;&gt;"",VLOOKUP(E130*1000000,'Mead-Elevation-Area'!$B$5:$H$689,7),"")</f>
        <v/>
      </c>
      <c r="F132" s="87" t="str">
        <f>IF(F$26&lt;&gt;"",VLOOKUP(F130*1000000,'Mead-Elevation-Area'!$B$5:$H$689,7),"")</f>
        <v/>
      </c>
      <c r="G132" s="87" t="str">
        <f>IF(G$26&lt;&gt;"",VLOOKUP(G130*1000000,'Mead-Elevation-Area'!$B$5:$H$689,7),"")</f>
        <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IF(C$26&lt;&gt;"",VLOOKUP(C131,PowellReleaseTemperature!$A$5:$B$11,2),"")</f>
        <v/>
      </c>
      <c r="D135" s="87" t="str">
        <f>IF(D$26&lt;&gt;"",VLOOKUP(D131,PowellReleaseTemperature!$A$5:$B$11,2),"")</f>
        <v/>
      </c>
      <c r="E135" s="87" t="str">
        <f>IF(E$26&lt;&gt;"",VLOOKUP(E131,PowellReleaseTemperature!$A$5:$B$11,2),"")</f>
        <v/>
      </c>
      <c r="F135" s="87" t="str">
        <f>IF(F$26&lt;&gt;"",VLOOKUP(F131,PowellReleaseTemperature!$A$5:$B$11,2),"")</f>
        <v/>
      </c>
      <c r="G135" s="87" t="str">
        <f>IF(G$26&lt;&gt;"",VLOOKUP(G131,PowellReleaseTemperature!$A$5:$B$11,2),"")</f>
        <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43" t="s">
        <v>311</v>
      </c>
      <c r="B136" s="88"/>
      <c r="C136" s="142" t="str">
        <f>IF(C$26&lt;&gt;"",VLOOKUP(C$131,PowellReleaseTemperature!$A$5:$E$11,5),"")</f>
        <v/>
      </c>
      <c r="D136" s="142" t="str">
        <f>IF(D$26&lt;&gt;"",VLOOKUP(D$131,PowellReleaseTemperature!$A$5:$E$11,5),"")</f>
        <v/>
      </c>
      <c r="E136" s="142" t="str">
        <f>IF(E$26&lt;&gt;"",VLOOKUP(E$131,PowellReleaseTemperature!$A$5:$E$11,5),"")</f>
        <v/>
      </c>
      <c r="F136" s="142" t="str">
        <f>IF(F$26&lt;&gt;"",VLOOKUP(F$131,PowellReleaseTemperature!$A$5:$E$11,5),"")</f>
        <v/>
      </c>
      <c r="G136" s="142" t="str">
        <f>IF(G$26&lt;&gt;"",VLOOKUP(G$131,PowellReleaseTemperature!$A$5:$E$11,5),"")</f>
        <v/>
      </c>
      <c r="H136" s="142" t="str">
        <f>IF(H$26&lt;&gt;"",VLOOKUP(H$131,PowellReleaseTemperature!$A$5:$E$11,5),"")</f>
        <v/>
      </c>
      <c r="I136" s="142" t="str">
        <f>IF(I$26&lt;&gt;"",VLOOKUP(I$131,PowellReleaseTemperature!$A$5:$E$11,5),"")</f>
        <v/>
      </c>
      <c r="J136" s="142" t="str">
        <f>IF(J$26&lt;&gt;"",VLOOKUP(J$131,PowellReleaseTemperature!$A$5:$E$11,5),"")</f>
        <v/>
      </c>
      <c r="K136" s="142" t="str">
        <f>IF(K$26&lt;&gt;"",VLOOKUP(K$131,PowellReleaseTemperature!$A$5:$E$11,5),"")</f>
        <v/>
      </c>
      <c r="L136" s="142" t="str">
        <f>IF(L$26&lt;&gt;"",VLOOKUP(L$131,PowellReleaseTemperature!$A$5:$E$11,5),"")</f>
        <v/>
      </c>
    </row>
    <row r="137" spans="1:14" s="89" customFormat="1" ht="32" customHeight="1" x14ac:dyDescent="0.35">
      <c r="A137" s="143" t="s">
        <v>317</v>
      </c>
      <c r="B137" s="88"/>
      <c r="C137" s="142" t="str">
        <f>IF(C$26&lt;&gt;"",VLOOKUP(C$131,PowellReleaseTemperature!$A$5:$F$11,6),"")</f>
        <v/>
      </c>
      <c r="D137" s="142" t="str">
        <f>IF(D$26&lt;&gt;"",VLOOKUP(D$131,PowellReleaseTemperature!$A$5:$F$11,6),"")</f>
        <v/>
      </c>
      <c r="E137" s="142" t="str">
        <f>IF(E$26&lt;&gt;"",VLOOKUP(E$131,PowellReleaseTemperature!$A$5:$F$11,6),"")</f>
        <v/>
      </c>
      <c r="F137" s="142" t="str">
        <f>IF(F$26&lt;&gt;"",VLOOKUP(F$131,PowellReleaseTemperature!$A$5:$F$11,6),"")</f>
        <v/>
      </c>
      <c r="G137" s="142" t="str">
        <f>IF(G$26&lt;&gt;"",VLOOKUP(G$131,PowellReleaseTemperature!$A$5:$F$11,6),"")</f>
        <v/>
      </c>
      <c r="H137" s="142" t="str">
        <f>IF(H$26&lt;&gt;"",VLOOKUP(H$131,PowellReleaseTemperature!$A$5:$F$11,6),"")</f>
        <v/>
      </c>
      <c r="I137" s="142" t="str">
        <f>IF(I$26&lt;&gt;"",VLOOKUP(I$131,PowellReleaseTemperature!$A$5:$F$11,6),"")</f>
        <v/>
      </c>
      <c r="J137" s="142" t="str">
        <f>IF(J$26&lt;&gt;"",VLOOKUP(J$131,PowellReleaseTemperature!$A$5:$F$11,6),"")</f>
        <v/>
      </c>
      <c r="K137" s="142" t="str">
        <f>IF(K$26&lt;&gt;"",VLOOKUP(K$131,PowellReleaseTemperature!$A$5:$F$11,6),"")</f>
        <v/>
      </c>
      <c r="L137" s="142" t="str">
        <f>IF(L$26&lt;&gt;"",VLOOKUP(L$131,PowellReleaseTemperature!$A$5:$F$11,6),"")</f>
        <v/>
      </c>
    </row>
    <row r="138" spans="1:14" x14ac:dyDescent="0.35">
      <c r="C138" s="29"/>
    </row>
    <row r="139" spans="1:14" x14ac:dyDescent="0.35">
      <c r="A139" s="1" t="s">
        <v>125</v>
      </c>
      <c r="C139" s="169" t="str">
        <f>IF(C$26&lt;&gt;"",0.2,"")</f>
        <v/>
      </c>
      <c r="D139" s="169" t="str">
        <f t="shared" ref="D139:L139" si="49">IF(D$26&lt;&gt;"",0.2,"")</f>
        <v/>
      </c>
      <c r="E139" s="169" t="str">
        <f t="shared" si="49"/>
        <v/>
      </c>
      <c r="F139" s="169" t="str">
        <f t="shared" si="49"/>
        <v/>
      </c>
      <c r="G139" s="169" t="str">
        <f t="shared" si="49"/>
        <v/>
      </c>
      <c r="H139" s="169" t="str">
        <f t="shared" si="49"/>
        <v/>
      </c>
      <c r="I139" s="169" t="str">
        <f t="shared" si="49"/>
        <v/>
      </c>
      <c r="J139" s="169" t="str">
        <f t="shared" si="49"/>
        <v/>
      </c>
      <c r="K139" s="169" t="str">
        <f t="shared" si="49"/>
        <v/>
      </c>
      <c r="L139" s="169" t="str">
        <f t="shared" si="49"/>
        <v/>
      </c>
    </row>
    <row r="140" spans="1:14" x14ac:dyDescent="0.35">
      <c r="A140" t="s">
        <v>126</v>
      </c>
      <c r="C140" s="14" t="str">
        <f t="shared" ref="C140:L140" si="50">IF(C$26&lt;&gt;"",C115+C139,"")</f>
        <v/>
      </c>
      <c r="D140" s="14" t="str">
        <f t="shared" si="50"/>
        <v/>
      </c>
      <c r="E140" s="14" t="str">
        <f t="shared" si="50"/>
        <v/>
      </c>
      <c r="F140" s="14" t="str">
        <f t="shared" si="50"/>
        <v/>
      </c>
      <c r="G140" s="14" t="str">
        <f t="shared" si="50"/>
        <v/>
      </c>
      <c r="H140" s="14" t="str">
        <f t="shared" si="50"/>
        <v/>
      </c>
      <c r="I140" s="14" t="str">
        <f t="shared" si="50"/>
        <v/>
      </c>
      <c r="J140" s="14" t="str">
        <f t="shared" si="50"/>
        <v/>
      </c>
      <c r="K140" s="14" t="str">
        <f t="shared" si="50"/>
        <v/>
      </c>
      <c r="L140" s="14" t="str">
        <f t="shared" si="50"/>
        <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D61">
    <cfRule type="cellIs" dxfId="410" priority="72" operator="greaterThan">
      <formula>$D$60</formula>
    </cfRule>
  </conditionalFormatting>
  <conditionalFormatting sqref="C61">
    <cfRule type="cellIs" dxfId="409" priority="70" operator="greaterThan">
      <formula>$C$60</formula>
    </cfRule>
  </conditionalFormatting>
  <conditionalFormatting sqref="E61">
    <cfRule type="cellIs" dxfId="408" priority="68" operator="greaterThan">
      <formula>$E$60</formula>
    </cfRule>
  </conditionalFormatting>
  <conditionalFormatting sqref="F61">
    <cfRule type="cellIs" dxfId="407" priority="67" operator="greaterThan">
      <formula>$F$60</formula>
    </cfRule>
  </conditionalFormatting>
  <conditionalFormatting sqref="G61">
    <cfRule type="cellIs" dxfId="406" priority="66" operator="greaterThan">
      <formula>$G$60</formula>
    </cfRule>
  </conditionalFormatting>
  <conditionalFormatting sqref="H61">
    <cfRule type="cellIs" dxfId="405" priority="65" operator="greaterThan">
      <formula>$H$60</formula>
    </cfRule>
  </conditionalFormatting>
  <conditionalFormatting sqref="I61">
    <cfRule type="cellIs" dxfId="404" priority="64" operator="greaterThan">
      <formula>$I$60</formula>
    </cfRule>
  </conditionalFormatting>
  <conditionalFormatting sqref="J61">
    <cfRule type="cellIs" dxfId="403" priority="63" operator="greaterThan">
      <formula>$J$60</formula>
    </cfRule>
  </conditionalFormatting>
  <conditionalFormatting sqref="K61">
    <cfRule type="cellIs" dxfId="402" priority="62" operator="greaterThan">
      <formula>$K$60</formula>
    </cfRule>
  </conditionalFormatting>
  <conditionalFormatting sqref="L61">
    <cfRule type="cellIs" dxfId="401" priority="61" operator="greaterThan">
      <formula>$L$60</formula>
    </cfRule>
  </conditionalFormatting>
  <conditionalFormatting sqref="C69">
    <cfRule type="cellIs" dxfId="400" priority="53" operator="greaterThan">
      <formula>$C$68</formula>
    </cfRule>
  </conditionalFormatting>
  <conditionalFormatting sqref="D69">
    <cfRule type="cellIs" dxfId="399" priority="52" operator="greaterThan">
      <formula>$D$68</formula>
    </cfRule>
  </conditionalFormatting>
  <conditionalFormatting sqref="E69">
    <cfRule type="cellIs" dxfId="398" priority="51" operator="greaterThan">
      <formula>$E$68</formula>
    </cfRule>
  </conditionalFormatting>
  <conditionalFormatting sqref="F69">
    <cfRule type="cellIs" dxfId="397" priority="50" operator="greaterThan">
      <formula>$F$68</formula>
    </cfRule>
  </conditionalFormatting>
  <conditionalFormatting sqref="G69">
    <cfRule type="cellIs" dxfId="396" priority="49" operator="greaterThan">
      <formula>$G$68</formula>
    </cfRule>
  </conditionalFormatting>
  <conditionalFormatting sqref="H69">
    <cfRule type="cellIs" dxfId="395" priority="48" operator="greaterThan">
      <formula>$H$68</formula>
    </cfRule>
  </conditionalFormatting>
  <conditionalFormatting sqref="I69">
    <cfRule type="cellIs" dxfId="394" priority="47" operator="greaterThan">
      <formula>$I$68</formula>
    </cfRule>
  </conditionalFormatting>
  <conditionalFormatting sqref="J69">
    <cfRule type="cellIs" dxfId="393" priority="46" operator="greaterThan">
      <formula>$J$68</formula>
    </cfRule>
  </conditionalFormatting>
  <conditionalFormatting sqref="K69">
    <cfRule type="cellIs" dxfId="392" priority="45" operator="greaterThan">
      <formula>$K$68</formula>
    </cfRule>
  </conditionalFormatting>
  <conditionalFormatting sqref="L69">
    <cfRule type="cellIs" dxfId="391" priority="44" operator="greaterThan">
      <formula>$L$68</formula>
    </cfRule>
  </conditionalFormatting>
  <conditionalFormatting sqref="C77">
    <cfRule type="cellIs" dxfId="390" priority="43" operator="greaterThan">
      <formula>$C$76</formula>
    </cfRule>
  </conditionalFormatting>
  <conditionalFormatting sqref="D77">
    <cfRule type="cellIs" dxfId="389" priority="42" operator="greaterThan">
      <formula>$D$76</formula>
    </cfRule>
  </conditionalFormatting>
  <conditionalFormatting sqref="E77">
    <cfRule type="cellIs" dxfId="388" priority="41" operator="greaterThan">
      <formula>$E$76</formula>
    </cfRule>
  </conditionalFormatting>
  <conditionalFormatting sqref="F77">
    <cfRule type="cellIs" dxfId="387" priority="40" operator="greaterThan">
      <formula>$F$76</formula>
    </cfRule>
  </conditionalFormatting>
  <conditionalFormatting sqref="G77">
    <cfRule type="cellIs" dxfId="386" priority="39" operator="greaterThan">
      <formula>$G$76</formula>
    </cfRule>
  </conditionalFormatting>
  <conditionalFormatting sqref="H77">
    <cfRule type="cellIs" dxfId="385" priority="38" operator="greaterThan">
      <formula>$H$76</formula>
    </cfRule>
  </conditionalFormatting>
  <conditionalFormatting sqref="I77">
    <cfRule type="cellIs" dxfId="384" priority="37" operator="greaterThan">
      <formula>$I$76</formula>
    </cfRule>
  </conditionalFormatting>
  <conditionalFormatting sqref="J77">
    <cfRule type="cellIs" dxfId="383" priority="36" operator="greaterThan">
      <formula>$J$76</formula>
    </cfRule>
  </conditionalFormatting>
  <conditionalFormatting sqref="K77">
    <cfRule type="cellIs" dxfId="382" priority="35" operator="greaterThan">
      <formula>$K$76</formula>
    </cfRule>
  </conditionalFormatting>
  <conditionalFormatting sqref="L77">
    <cfRule type="cellIs" dxfId="381" priority="34" operator="greaterThan">
      <formula>$L$76</formula>
    </cfRule>
  </conditionalFormatting>
  <conditionalFormatting sqref="C85:L85">
    <cfRule type="cellIs" dxfId="380" priority="33" operator="greaterThan">
      <formula>$C$84</formula>
    </cfRule>
  </conditionalFormatting>
  <conditionalFormatting sqref="C93">
    <cfRule type="cellIs" dxfId="379" priority="32" operator="greaterThan">
      <formula>$C$92</formula>
    </cfRule>
  </conditionalFormatting>
  <conditionalFormatting sqref="D93">
    <cfRule type="cellIs" dxfId="378" priority="31" operator="greaterThan">
      <formula>$D$92</formula>
    </cfRule>
  </conditionalFormatting>
  <conditionalFormatting sqref="E93">
    <cfRule type="cellIs" dxfId="377" priority="30" operator="greaterThan">
      <formula>$E$92</formula>
    </cfRule>
  </conditionalFormatting>
  <conditionalFormatting sqref="F93">
    <cfRule type="cellIs" dxfId="376" priority="29" operator="greaterThan">
      <formula>$F$92</formula>
    </cfRule>
  </conditionalFormatting>
  <conditionalFormatting sqref="G93">
    <cfRule type="cellIs" dxfId="375" priority="28" operator="greaterThan">
      <formula>$G$92</formula>
    </cfRule>
  </conditionalFormatting>
  <conditionalFormatting sqref="H93">
    <cfRule type="cellIs" dxfId="374" priority="27" operator="greaterThan">
      <formula>$H$92</formula>
    </cfRule>
  </conditionalFormatting>
  <conditionalFormatting sqref="I93">
    <cfRule type="cellIs" dxfId="373" priority="26" operator="greaterThan">
      <formula>$I$92</formula>
    </cfRule>
  </conditionalFormatting>
  <conditionalFormatting sqref="J93">
    <cfRule type="cellIs" dxfId="372" priority="25" operator="greaterThan">
      <formula>$J$92</formula>
    </cfRule>
  </conditionalFormatting>
  <conditionalFormatting sqref="K93">
    <cfRule type="cellIs" dxfId="371" priority="24" operator="greaterThan">
      <formula>$K$92</formula>
    </cfRule>
  </conditionalFormatting>
  <conditionalFormatting sqref="L93">
    <cfRule type="cellIs" dxfId="370" priority="23" operator="greaterThan">
      <formula>$L$92</formula>
    </cfRule>
  </conditionalFormatting>
  <conditionalFormatting sqref="C101">
    <cfRule type="cellIs" dxfId="369" priority="22" operator="greaterThan">
      <formula>$C$100</formula>
    </cfRule>
  </conditionalFormatting>
  <conditionalFormatting sqref="D101">
    <cfRule type="cellIs" dxfId="368" priority="21" operator="greaterThan">
      <formula>$D$100</formula>
    </cfRule>
  </conditionalFormatting>
  <conditionalFormatting sqref="E101">
    <cfRule type="cellIs" dxfId="367" priority="20" operator="greaterThan">
      <formula>$E$100</formula>
    </cfRule>
  </conditionalFormatting>
  <conditionalFormatting sqref="F101">
    <cfRule type="cellIs" dxfId="366" priority="19" operator="greaterThan">
      <formula>$F$100</formula>
    </cfRule>
  </conditionalFormatting>
  <conditionalFormatting sqref="G101">
    <cfRule type="cellIs" dxfId="365" priority="18" operator="greaterThan">
      <formula>$G$100</formula>
    </cfRule>
  </conditionalFormatting>
  <conditionalFormatting sqref="H101">
    <cfRule type="cellIs" dxfId="364" priority="17" operator="greaterThan">
      <formula>$H$100</formula>
    </cfRule>
  </conditionalFormatting>
  <conditionalFormatting sqref="I101">
    <cfRule type="cellIs" dxfId="363" priority="16" operator="greaterThan">
      <formula>$I$100</formula>
    </cfRule>
  </conditionalFormatting>
  <conditionalFormatting sqref="J101">
    <cfRule type="cellIs" dxfId="362" priority="15" operator="greaterThan">
      <formula>$J$100</formula>
    </cfRule>
  </conditionalFormatting>
  <conditionalFormatting sqref="K101">
    <cfRule type="cellIs" dxfId="361" priority="14" operator="greaterThan">
      <formula>$K$100</formula>
    </cfRule>
  </conditionalFormatting>
  <conditionalFormatting sqref="L101">
    <cfRule type="cellIs" dxfId="360"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2E8E1F1A-DB8E-46AC-B445-4B08C08A2609}">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B3CF332E-43D7-4591-990E-99D63032C2D5}">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AC7D9747-A7FD-41D8-9631-FE28BB9159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F0078519-686D-4615-8592-15B55477C915}">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954F5819-27CD-4B64-9A30-AED6BEE4EE39}">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5B6B5DEF-2761-4756-9AA1-B9FAAFCA525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90F95D62-3C21-48C7-B56D-6F562D5F5354}">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1515BB5F-EAF4-4495-8A87-A4A385599BA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9B9C6C60-D571-423E-ACA7-CAE7A789B49B}">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89639FE1-3D0E-4DB2-9E19-8D08FAA2BD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4F334973-DF80-49FB-B85E-70C7DACD3F21}">
            <xm:f>PowellReleaseTemperature!$B$10</xm:f>
            <x14:dxf>
              <font>
                <color auto="1"/>
              </font>
              <fill>
                <patternFill>
                  <bgColor theme="4"/>
                </patternFill>
              </fill>
            </x14:dxf>
          </x14:cfRule>
          <x14:cfRule type="cellIs" priority="9" operator="equal" id="{D8C1E945-CCF8-42FF-AC24-C4C1EBB7703A}">
            <xm:f>PowellReleaseTemperature!$B$9</xm:f>
            <x14:dxf>
              <font>
                <color theme="4" tint="-0.24994659260841701"/>
              </font>
              <fill>
                <patternFill>
                  <bgColor theme="8" tint="0.59996337778862885"/>
                </patternFill>
              </fill>
            </x14:dxf>
          </x14:cfRule>
          <x14:cfRule type="cellIs" priority="10" operator="equal" id="{6478EA29-0619-4868-B42C-341766179D24}">
            <xm:f>PowellReleaseTemperature!$B$8</xm:f>
            <x14:dxf>
              <font>
                <color rgb="FF9C0006"/>
              </font>
              <fill>
                <patternFill>
                  <bgColor rgb="FFFFC7CE"/>
                </patternFill>
              </fill>
            </x14:dxf>
          </x14:cfRule>
          <x14:cfRule type="cellIs" priority="11" operator="equal" id="{101D9798-F4C7-44BD-8ACD-8A536C039696}">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7E66B46B-F14D-47C4-A9C1-EF572AD7ECCB}">
            <xm:f>PowellReleaseTemperature!$E$5</xm:f>
            <x14:dxf>
              <font>
                <color auto="1"/>
              </font>
              <fill>
                <patternFill>
                  <bgColor rgb="FFFF0000"/>
                </patternFill>
              </fill>
            </x14:dxf>
          </x14:cfRule>
          <x14:cfRule type="cellIs" priority="5" operator="equal" id="{65F92F56-F22B-44D1-A2E3-0DA611BBF3FE}">
            <xm:f>PowellReleaseTemperature!$E$8</xm:f>
            <x14:dxf>
              <font>
                <color rgb="FF9C0006"/>
              </font>
              <fill>
                <patternFill>
                  <bgColor rgb="FFFFC7CE"/>
                </patternFill>
              </fill>
            </x14:dxf>
          </x14:cfRule>
          <x14:cfRule type="cellIs" priority="6" operator="equal" id="{E237A83F-40C7-446E-A2D2-AC132DB6947C}">
            <xm:f>PowellReleaseTemperature!$E$9</xm:f>
            <x14:dxf>
              <font>
                <color theme="4" tint="-0.24994659260841701"/>
              </font>
              <fill>
                <patternFill>
                  <bgColor theme="8" tint="0.59996337778862885"/>
                </patternFill>
              </fill>
            </x14:dxf>
          </x14:cfRule>
          <x14:cfRule type="cellIs" priority="7" operator="equal" id="{FD7E1C0C-97F1-4921-A973-2C6A718973D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C92C4A26-D135-45E3-BA43-A40C929D49FA}">
            <xm:f>PowellReleaseTemperature!$F$10</xm:f>
            <x14:dxf>
              <font>
                <color auto="1"/>
              </font>
              <fill>
                <patternFill>
                  <bgColor theme="4"/>
                </patternFill>
              </fill>
            </x14:dxf>
          </x14:cfRule>
          <x14:cfRule type="cellIs" priority="2" operator="equal" id="{162D3715-ED7C-4B49-BFAE-99BAEEAA821D}">
            <xm:f>PowellReleaseTemperature!$F$9</xm:f>
            <x14:dxf>
              <font>
                <color theme="4" tint="-0.24994659260841701"/>
              </font>
              <fill>
                <patternFill>
                  <bgColor theme="8" tint="0.59996337778862885"/>
                </patternFill>
              </fill>
            </x14:dxf>
          </x14:cfRule>
          <x14:cfRule type="cellIs" priority="3" operator="equal" id="{3589BE8D-7CF4-46F6-BCC9-FE29617E0A7F}">
            <xm:f>PowellReleaseTemperature!$F$5</xm:f>
            <x14:dxf>
              <font>
                <color auto="1"/>
              </font>
              <fill>
                <patternFill>
                  <bgColor rgb="FFFF0000"/>
                </patternFill>
              </fill>
            </x14:dxf>
          </x14:cfRule>
          <xm:sqref>C137:L137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17" zoomScale="150" zoomScaleNormal="150" workbookViewId="0">
      <selection activeCell="H36"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c r="C5" s="165"/>
      <c r="D5" s="158"/>
      <c r="E5" s="158"/>
      <c r="F5" s="158"/>
      <c r="G5" s="158"/>
      <c r="M5" t="s">
        <v>322</v>
      </c>
    </row>
    <row r="6" spans="1:13" x14ac:dyDescent="0.35">
      <c r="A6" s="157" t="s">
        <v>40</v>
      </c>
      <c r="B6" s="157"/>
      <c r="C6" s="165"/>
      <c r="D6" s="158"/>
      <c r="E6" s="158"/>
      <c r="F6" s="158"/>
      <c r="G6" s="158"/>
      <c r="M6" t="s">
        <v>327</v>
      </c>
    </row>
    <row r="7" spans="1:13" x14ac:dyDescent="0.35">
      <c r="A7" s="157" t="s">
        <v>41</v>
      </c>
      <c r="B7" s="157"/>
      <c r="C7" s="165"/>
      <c r="D7" s="158"/>
      <c r="E7" s="158"/>
      <c r="F7" s="158"/>
      <c r="G7" s="158"/>
      <c r="M7" t="s">
        <v>328</v>
      </c>
    </row>
    <row r="8" spans="1:13" x14ac:dyDescent="0.35">
      <c r="A8" s="117" t="s">
        <v>157</v>
      </c>
      <c r="B8" s="117"/>
      <c r="C8" s="132"/>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c r="D26" s="170"/>
      <c r="E26" s="170"/>
      <c r="F26" s="170"/>
      <c r="G26" s="170"/>
      <c r="H26" s="170"/>
      <c r="I26" s="170"/>
      <c r="J26" s="170"/>
      <c r="K26" s="170"/>
      <c r="L26" s="170"/>
    </row>
    <row r="27" spans="1:14" x14ac:dyDescent="0.35">
      <c r="A27" s="1" t="s">
        <v>121</v>
      </c>
      <c r="B27" s="1"/>
      <c r="C27" s="169" t="str">
        <f>IF(C$26&lt;&gt;"",0.8,"")</f>
        <v/>
      </c>
      <c r="D27" s="169" t="str">
        <f t="shared" ref="D27:L27" si="0">IF(D$26&lt;&gt;"",0.8,"")</f>
        <v/>
      </c>
      <c r="E27" s="169" t="str">
        <f t="shared" si="0"/>
        <v/>
      </c>
      <c r="F27" s="169" t="str">
        <f t="shared" si="0"/>
        <v/>
      </c>
      <c r="G27" s="169" t="str">
        <f t="shared" si="0"/>
        <v/>
      </c>
      <c r="H27" s="169" t="str">
        <f t="shared" si="0"/>
        <v/>
      </c>
      <c r="I27" s="169" t="str">
        <f t="shared" si="0"/>
        <v/>
      </c>
      <c r="J27" s="169" t="str">
        <f t="shared" si="0"/>
        <v/>
      </c>
      <c r="K27" s="169" t="str">
        <f t="shared" si="0"/>
        <v/>
      </c>
      <c r="L27" s="169" t="str">
        <f t="shared" si="0"/>
        <v/>
      </c>
    </row>
    <row r="28" spans="1:14" x14ac:dyDescent="0.35">
      <c r="A28" s="1" t="s">
        <v>305</v>
      </c>
      <c r="B28" s="1"/>
      <c r="C28" s="169" t="str">
        <f>IF(C$26&lt;&gt;"",0.6,"")</f>
        <v/>
      </c>
      <c r="D28" s="169" t="str">
        <f t="shared" ref="D28:L28" si="1">IF(D$26&lt;&gt;"",0.6,"")</f>
        <v/>
      </c>
      <c r="E28" s="169" t="str">
        <f t="shared" si="1"/>
        <v/>
      </c>
      <c r="F28" s="169" t="str">
        <f t="shared" si="1"/>
        <v/>
      </c>
      <c r="G28" s="169" t="str">
        <f t="shared" si="1"/>
        <v/>
      </c>
      <c r="H28" s="169" t="str">
        <f t="shared" si="1"/>
        <v/>
      </c>
      <c r="I28" s="169" t="str">
        <f t="shared" si="1"/>
        <v/>
      </c>
      <c r="J28" s="169" t="str">
        <f t="shared" si="1"/>
        <v/>
      </c>
      <c r="K28" s="169" t="str">
        <f t="shared" si="1"/>
        <v/>
      </c>
      <c r="L28" s="169" t="str">
        <f t="shared" si="1"/>
        <v/>
      </c>
    </row>
    <row r="29" spans="1:14" x14ac:dyDescent="0.35">
      <c r="A29" s="1" t="s">
        <v>124</v>
      </c>
      <c r="B29" s="114">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IF(A5="","","    "&amp;A5&amp;" Balance")</f>
        <v xml:space="preserve">    Upper Basin Balance</v>
      </c>
      <c r="B30" s="115">
        <f>B21-B23</f>
        <v>5.0734237499999999</v>
      </c>
      <c r="C30" s="112" t="str">
        <f>IF(OR(C$26="",$A30=""),"",B30)</f>
        <v/>
      </c>
      <c r="D30" s="14" t="str">
        <f>IF(OR(D$26="",$A30=""),"",C121)</f>
        <v/>
      </c>
      <c r="E30" s="14" t="str">
        <f t="shared" ref="E30:L30" si="3">IF(OR(E$26="",$A30=""),"",D121)</f>
        <v/>
      </c>
      <c r="F30" s="14" t="str">
        <f t="shared" si="3"/>
        <v/>
      </c>
      <c r="G30" s="14" t="str">
        <f t="shared" si="3"/>
        <v/>
      </c>
      <c r="H30" s="14" t="str">
        <f t="shared" si="3"/>
        <v/>
      </c>
      <c r="I30" s="14" t="str">
        <f t="shared" si="3"/>
        <v/>
      </c>
      <c r="J30" s="14" t="str">
        <f t="shared" si="3"/>
        <v/>
      </c>
      <c r="K30" s="14" t="str">
        <f t="shared" si="3"/>
        <v/>
      </c>
      <c r="L30" s="14" t="str">
        <f t="shared" si="3"/>
        <v/>
      </c>
      <c r="N30" t="s">
        <v>177</v>
      </c>
    </row>
    <row r="31" spans="1:14" x14ac:dyDescent="0.35">
      <c r="A31" t="str">
        <f>IF(A6="","","    "&amp;A6&amp;" Balance")</f>
        <v xml:space="preserve">    Lower Basin Balance</v>
      </c>
      <c r="B31" s="115">
        <f>C21-C23-B32</f>
        <v>4.2614069999999993</v>
      </c>
      <c r="C31" s="112" t="str">
        <f t="shared" ref="C31:C35" si="4">IF(OR(C$26="",$A31=""),"",B31)</f>
        <v/>
      </c>
      <c r="D31" s="14" t="str">
        <f t="shared" ref="D31:L35" si="5">IF(OR(D$26="",$A31=""),"",C122)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174</v>
      </c>
    </row>
    <row r="32" spans="1:14" x14ac:dyDescent="0.35">
      <c r="A32" t="str">
        <f>IF(A7="","","    "&amp;A7&amp;" Balance")</f>
        <v xml:space="preserve">    Mexico Balance</v>
      </c>
      <c r="B32" s="116">
        <v>0.17399999999999999</v>
      </c>
      <c r="C32" s="113" t="str">
        <f t="shared" si="4"/>
        <v/>
      </c>
      <c r="D32" s="52" t="str">
        <f t="shared" si="5"/>
        <v/>
      </c>
      <c r="E32" s="52" t="str">
        <f t="shared" si="5"/>
        <v/>
      </c>
      <c r="F32" s="52" t="str">
        <f t="shared" si="5"/>
        <v/>
      </c>
      <c r="G32" s="52" t="str">
        <f t="shared" si="5"/>
        <v/>
      </c>
      <c r="H32" s="14" t="str">
        <f t="shared" si="5"/>
        <v/>
      </c>
      <c r="I32" s="14" t="str">
        <f t="shared" si="5"/>
        <v/>
      </c>
      <c r="J32" s="14" t="str">
        <f t="shared" si="5"/>
        <v/>
      </c>
      <c r="K32" s="14" t="str">
        <f t="shared" si="5"/>
        <v/>
      </c>
      <c r="L32" s="14" t="str">
        <f t="shared" si="5"/>
        <v/>
      </c>
      <c r="N32" t="s">
        <v>173</v>
      </c>
    </row>
    <row r="33" spans="1:14" x14ac:dyDescent="0.35">
      <c r="A33" t="str">
        <f>IF(A8="","","    "&amp;A8&amp;" Balance")</f>
        <v xml:space="preserve">    Shared, Reserve Balance</v>
      </c>
      <c r="B33" s="115">
        <f>SUM(B23:C23)</f>
        <v>11.59116925</v>
      </c>
      <c r="C33" s="112"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IF(A9="","","    "&amp;A9&amp;" Balance")</f>
        <v/>
      </c>
      <c r="B34" s="115"/>
      <c r="C34" s="112"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t="str">
        <f>IF(C$26&lt;&gt;"",B21,"")</f>
        <v/>
      </c>
      <c r="D37" s="14" t="str">
        <f>IF(D$26&lt;&gt;"",C129,"")</f>
        <v/>
      </c>
      <c r="E37" s="14" t="str">
        <f t="shared" ref="E37:G38" si="6">IF(E$26&lt;&gt;"",D129,"")</f>
        <v/>
      </c>
      <c r="F37" s="14" t="str">
        <f t="shared" si="6"/>
        <v/>
      </c>
      <c r="G37" s="14" t="str">
        <f t="shared" si="6"/>
        <v/>
      </c>
      <c r="H37" s="14" t="str">
        <f t="shared" ref="H37:H38" si="7">IF(H$26&lt;&gt;"",G129,"")</f>
        <v/>
      </c>
      <c r="I37" s="14" t="str">
        <f t="shared" ref="I37:I38" si="8">IF(I$26&lt;&gt;"",H129,"")</f>
        <v/>
      </c>
      <c r="J37" s="14" t="str">
        <f t="shared" ref="J37:J38" si="9">IF(J$26&lt;&gt;"",I129,"")</f>
        <v/>
      </c>
      <c r="K37" s="14" t="str">
        <f t="shared" ref="K37:K38" si="10">IF(K$26&lt;&gt;"",J129,"")</f>
        <v/>
      </c>
      <c r="L37" s="14" t="str">
        <f t="shared" ref="L37:L38" si="11">IF(L$26&lt;&gt;"",K129,"")</f>
        <v/>
      </c>
    </row>
    <row r="38" spans="1:14" x14ac:dyDescent="0.35">
      <c r="A38" t="s">
        <v>114</v>
      </c>
      <c r="C38" s="14" t="str">
        <f>IF(C$26&lt;&gt;"",C21,"")</f>
        <v/>
      </c>
      <c r="D38" s="14" t="str">
        <f>IF(D$26&lt;&gt;"",C130,"")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IF(A5="","","    "&amp;A5&amp;" Share")</f>
        <v xml:space="preserve">    Upper Basin Share</v>
      </c>
      <c r="B40" s="1"/>
      <c r="C40" s="14" t="str">
        <f t="shared" ref="C40:L45" si="12">IF(OR(C$26="",$A40=""),"",C$39*C30/C$29)</f>
        <v/>
      </c>
      <c r="D40" s="14" t="str">
        <f t="shared" si="12"/>
        <v/>
      </c>
      <c r="E40" s="14" t="str">
        <f t="shared" si="12"/>
        <v/>
      </c>
      <c r="F40" s="14" t="str">
        <f t="shared" si="12"/>
        <v/>
      </c>
      <c r="G40" s="14" t="str">
        <f t="shared" si="12"/>
        <v/>
      </c>
      <c r="H40" s="14" t="str">
        <f t="shared" si="12"/>
        <v/>
      </c>
      <c r="I40" s="14" t="str">
        <f t="shared" si="12"/>
        <v/>
      </c>
      <c r="J40" s="14" t="str">
        <f t="shared" si="12"/>
        <v/>
      </c>
      <c r="K40" s="14" t="str">
        <f t="shared" si="12"/>
        <v/>
      </c>
      <c r="L40" s="14" t="str">
        <f t="shared" si="12"/>
        <v/>
      </c>
    </row>
    <row r="41" spans="1:14" x14ac:dyDescent="0.35">
      <c r="A41" t="str">
        <f>IF(A6="","","    "&amp;A6&amp;" Share")</f>
        <v xml:space="preserve">    Lower Basin Share</v>
      </c>
      <c r="B41" s="1"/>
      <c r="C41" s="14" t="str">
        <f t="shared" si="12"/>
        <v/>
      </c>
      <c r="D41" s="14" t="str">
        <f t="shared" si="12"/>
        <v/>
      </c>
      <c r="E41" s="14" t="str">
        <f t="shared" si="12"/>
        <v/>
      </c>
      <c r="F41" s="14" t="str">
        <f t="shared" si="12"/>
        <v/>
      </c>
      <c r="G41" s="14" t="str">
        <f t="shared" si="12"/>
        <v/>
      </c>
      <c r="H41" s="14" t="str">
        <f t="shared" si="12"/>
        <v/>
      </c>
      <c r="I41" s="14" t="str">
        <f t="shared" si="12"/>
        <v/>
      </c>
      <c r="J41" s="14" t="str">
        <f t="shared" si="12"/>
        <v/>
      </c>
      <c r="K41" s="14" t="str">
        <f t="shared" si="12"/>
        <v/>
      </c>
      <c r="L41" s="14" t="str">
        <f t="shared" si="12"/>
        <v/>
      </c>
    </row>
    <row r="42" spans="1:14" x14ac:dyDescent="0.35">
      <c r="A42" t="str">
        <f>IF(A7="","","    "&amp;A7&amp;" Share")</f>
        <v xml:space="preserve">    Mexico Share</v>
      </c>
      <c r="B42" s="1"/>
      <c r="C42" s="14" t="str">
        <f t="shared" si="12"/>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IF(A8="","","    "&amp;A8&amp;" Share")</f>
        <v xml:space="preserve">    Shared, Reserve Share</v>
      </c>
      <c r="B43" s="1"/>
      <c r="C43" s="14" t="str">
        <f t="shared" si="12"/>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IF(A9="","","    "&amp;A9&amp;" Share")</f>
        <v/>
      </c>
      <c r="B44" s="1"/>
      <c r="C44" s="14" t="str">
        <f t="shared" si="12"/>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IF(A10="","","    "&amp;A10&amp;" Share")</f>
        <v/>
      </c>
      <c r="B45" s="1"/>
      <c r="C45" s="14" t="str">
        <f t="shared" si="12"/>
        <v/>
      </c>
      <c r="D45" s="14" t="str">
        <f t="shared" si="12"/>
        <v/>
      </c>
      <c r="E45" s="14" t="str">
        <f t="shared" si="12"/>
        <v/>
      </c>
      <c r="F45" s="14" t="str">
        <f t="shared" si="12"/>
        <v/>
      </c>
      <c r="G45" s="14" t="str">
        <f t="shared" si="12"/>
        <v/>
      </c>
      <c r="H45" s="14" t="str">
        <f t="shared" si="12"/>
        <v/>
      </c>
      <c r="I45" s="14" t="str">
        <f t="shared" si="12"/>
        <v/>
      </c>
      <c r="J45" s="14" t="str">
        <f t="shared" si="12"/>
        <v/>
      </c>
      <c r="K45" s="14" t="str">
        <f t="shared" si="12"/>
        <v/>
      </c>
      <c r="L45" s="14" t="str">
        <f t="shared" si="12"/>
        <v/>
      </c>
    </row>
    <row r="46" spans="1:14" x14ac:dyDescent="0.35">
      <c r="A46" s="1" t="s">
        <v>259</v>
      </c>
      <c r="B46" s="75"/>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t="str">
        <f>IF(C26="","",SUM(C26:C27)-C28)</f>
        <v/>
      </c>
      <c r="D47" s="51" t="str">
        <f t="shared" ref="D47:L47" si="13">IF(D26="","",SUM(D26:D27)-D28)</f>
        <v/>
      </c>
      <c r="E47" s="14" t="str">
        <f t="shared" si="13"/>
        <v/>
      </c>
      <c r="F47" s="51" t="str">
        <f t="shared" si="13"/>
        <v/>
      </c>
      <c r="G47" s="51" t="str">
        <f t="shared" si="13"/>
        <v/>
      </c>
      <c r="H47" s="51" t="str">
        <f t="shared" si="13"/>
        <v/>
      </c>
      <c r="I47" s="51" t="str">
        <f t="shared" si="13"/>
        <v/>
      </c>
      <c r="J47" s="51" t="str">
        <f t="shared" si="13"/>
        <v/>
      </c>
      <c r="K47" s="51" t="str">
        <f t="shared" si="13"/>
        <v/>
      </c>
      <c r="L47" s="51" t="str">
        <f t="shared" si="13"/>
        <v/>
      </c>
      <c r="M47" s="45"/>
      <c r="N47" s="45"/>
    </row>
    <row r="48" spans="1:14" x14ac:dyDescent="0.35">
      <c r="A48" t="str">
        <f>IF(A5="","","    To "&amp;A5)</f>
        <v xml:space="preserve">    To Upper Basin</v>
      </c>
      <c r="B48" s="163" t="s">
        <v>147</v>
      </c>
      <c r="C48" s="112" t="str">
        <f>IF(OR(C$26="",$A48=""),"",IF(C$26&gt;SUM(MIN($B49,C26-C50/2)+C50/2),C$26-SUM(MIN($B49,C26-C50/2)+C50/2),0))</f>
        <v/>
      </c>
      <c r="D48" s="112" t="str">
        <f t="shared" ref="D48:L48" si="14">IF(OR(D$26="",$A48=""),"",IF(D$26&gt;SUM(MIN($B49,D26-D50/2)+D50/2),D$26-SUM(MIN($B49,D26-D50/2)+D50/2),0))</f>
        <v/>
      </c>
      <c r="E48" s="112" t="str">
        <f t="shared" si="14"/>
        <v/>
      </c>
      <c r="F48" s="112" t="str">
        <f t="shared" si="14"/>
        <v/>
      </c>
      <c r="G48" s="112" t="str">
        <f t="shared" si="14"/>
        <v/>
      </c>
      <c r="H48" s="112" t="str">
        <f t="shared" si="14"/>
        <v/>
      </c>
      <c r="I48" s="112" t="str">
        <f t="shared" si="14"/>
        <v/>
      </c>
      <c r="J48" s="112" t="str">
        <f t="shared" si="14"/>
        <v/>
      </c>
      <c r="K48" s="112" t="str">
        <f t="shared" si="14"/>
        <v/>
      </c>
      <c r="L48" s="112" t="str">
        <f t="shared" si="14"/>
        <v/>
      </c>
      <c r="M48" s="29"/>
      <c r="N48" s="29"/>
    </row>
    <row r="49" spans="1:14" x14ac:dyDescent="0.35">
      <c r="A49" t="str">
        <f>IF(A6="","","    To "&amp;A6)</f>
        <v xml:space="preserve">    To Lower Basin</v>
      </c>
      <c r="B49" s="164">
        <f>7.5</f>
        <v>7.5</v>
      </c>
      <c r="C49" s="112" t="str">
        <f>IF(OR(C$26="",$A49=""),"",C27-C28-C51-C50/2+MIN($B49,C26-C50/2))</f>
        <v/>
      </c>
      <c r="D49" s="112" t="str">
        <f t="shared" ref="D49:L49" si="15">IF(OR(D$26="",$A49=""),"",D27-D28-D51-D50/2+MIN($B49,D26-D50/2))</f>
        <v/>
      </c>
      <c r="E49" s="112" t="str">
        <f t="shared" si="15"/>
        <v/>
      </c>
      <c r="F49" s="112" t="str">
        <f t="shared" si="15"/>
        <v/>
      </c>
      <c r="G49" s="112" t="str">
        <f t="shared" si="15"/>
        <v/>
      </c>
      <c r="H49" s="112" t="str">
        <f t="shared" si="15"/>
        <v/>
      </c>
      <c r="I49" s="112" t="str">
        <f t="shared" si="15"/>
        <v/>
      </c>
      <c r="J49" s="112" t="str">
        <f t="shared" si="15"/>
        <v/>
      </c>
      <c r="K49" s="112" t="str">
        <f t="shared" si="15"/>
        <v/>
      </c>
      <c r="L49" s="112" t="str">
        <f t="shared" si="15"/>
        <v/>
      </c>
      <c r="M49" s="29"/>
      <c r="N49" s="29"/>
    </row>
    <row r="50" spans="1:14" x14ac:dyDescent="0.35">
      <c r="A50" t="str">
        <f>IF(A7="","","    To "&amp;A7)</f>
        <v xml:space="preserve">    To Mexico</v>
      </c>
      <c r="B50" s="164" t="s">
        <v>185</v>
      </c>
      <c r="C50" s="112" t="str">
        <f>IF(OR(C$26="",$A50=""),"",IF(C$47&gt;SUM(C51:C52,C46),C46,C$47-SUM(C51:C52)))</f>
        <v/>
      </c>
      <c r="D50" s="112" t="str">
        <f t="shared" ref="D50:L50" si="16">IF(OR(D$26="",$A50=""),"",IF(D$47&gt;SUM(D51:D52,D46),D46,D$47-SUM(D51:D52)))</f>
        <v/>
      </c>
      <c r="E50" s="112" t="str">
        <f t="shared" si="16"/>
        <v/>
      </c>
      <c r="F50" s="112" t="str">
        <f t="shared" si="16"/>
        <v/>
      </c>
      <c r="G50" s="112" t="str">
        <f t="shared" si="16"/>
        <v/>
      </c>
      <c r="H50" s="112" t="str">
        <f t="shared" si="16"/>
        <v/>
      </c>
      <c r="I50" s="112" t="str">
        <f t="shared" si="16"/>
        <v/>
      </c>
      <c r="J50" s="112" t="str">
        <f t="shared" si="16"/>
        <v/>
      </c>
      <c r="K50" s="112" t="str">
        <f t="shared" si="16"/>
        <v/>
      </c>
      <c r="L50" s="112" t="str">
        <f t="shared" si="16"/>
        <v/>
      </c>
      <c r="M50" s="29"/>
      <c r="N50" s="29"/>
    </row>
    <row r="51" spans="1:14" x14ac:dyDescent="0.35">
      <c r="A51" t="str">
        <f>IF(A8="","","    To "&amp;A8)</f>
        <v xml:space="preserve">    To Shared, Reserve</v>
      </c>
      <c r="B51" s="164" t="s">
        <v>184</v>
      </c>
      <c r="C51" s="112" t="str">
        <f>IF(OR(C$26="",$A51=""),"",IF(C$47&gt;C43,C43,C47))</f>
        <v/>
      </c>
      <c r="D51" s="112" t="str">
        <f t="shared" ref="D51:L51" si="17">IF(OR(D$26="",$A51=""),"",IF(D$47&gt;D43,D43,D47))</f>
        <v/>
      </c>
      <c r="E51" s="112" t="str">
        <f t="shared" si="17"/>
        <v/>
      </c>
      <c r="F51" s="112" t="str">
        <f t="shared" si="17"/>
        <v/>
      </c>
      <c r="G51" s="112" t="str">
        <f t="shared" si="17"/>
        <v/>
      </c>
      <c r="H51" s="112" t="str">
        <f t="shared" si="17"/>
        <v/>
      </c>
      <c r="I51" s="112" t="str">
        <f t="shared" si="17"/>
        <v/>
      </c>
      <c r="J51" s="112" t="str">
        <f t="shared" si="17"/>
        <v/>
      </c>
      <c r="K51" s="112" t="str">
        <f t="shared" si="17"/>
        <v/>
      </c>
      <c r="L51" s="112" t="str">
        <f t="shared" si="17"/>
        <v/>
      </c>
      <c r="M51" s="29"/>
      <c r="N51" s="29"/>
    </row>
    <row r="52" spans="1:14" x14ac:dyDescent="0.35">
      <c r="A52" t="str">
        <f>IF(A9="","","    To "&amp;A9)</f>
        <v/>
      </c>
      <c r="B52" s="164"/>
      <c r="C52" s="112"/>
      <c r="D52" s="112"/>
      <c r="E52" s="112"/>
      <c r="F52" s="112"/>
      <c r="G52" s="112"/>
      <c r="H52" s="112"/>
      <c r="I52" s="112"/>
      <c r="J52" s="112"/>
      <c r="K52" s="112"/>
      <c r="L52" s="112"/>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c r="J57" s="159"/>
      <c r="K57" s="159"/>
      <c r="L57" s="159"/>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c r="J58" s="160"/>
      <c r="K58" s="160"/>
      <c r="L58" s="160"/>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18">IF(OR(C$26="",$A59=""),"",C$112)</f>
        <v/>
      </c>
      <c r="D59" s="67" t="str">
        <f t="shared" si="18"/>
        <v/>
      </c>
      <c r="E59" s="67" t="str">
        <f t="shared" si="18"/>
        <v/>
      </c>
      <c r="F59" s="67" t="str">
        <f t="shared" si="18"/>
        <v/>
      </c>
      <c r="G59" s="67" t="str">
        <f t="shared" si="18"/>
        <v/>
      </c>
      <c r="H59" s="67" t="str">
        <f t="shared" si="18"/>
        <v/>
      </c>
      <c r="I59" s="67" t="str">
        <f t="shared" si="18"/>
        <v/>
      </c>
      <c r="J59" s="67" t="str">
        <f t="shared" si="18"/>
        <v/>
      </c>
      <c r="K59" s="67" t="str">
        <f t="shared" si="18"/>
        <v/>
      </c>
      <c r="L59" s="67" t="str">
        <f t="shared" si="18"/>
        <v/>
      </c>
      <c r="M59" t="str">
        <f t="shared" si="18"/>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19">IF(OR(D$26="",$A60=""),"",D30+D48-D40-D57)</f>
        <v/>
      </c>
      <c r="E60" s="14" t="str">
        <f t="shared" si="19"/>
        <v/>
      </c>
      <c r="F60" s="14" t="str">
        <f t="shared" si="19"/>
        <v/>
      </c>
      <c r="G60" s="14" t="str">
        <f t="shared" si="19"/>
        <v/>
      </c>
      <c r="H60" s="14" t="str">
        <f t="shared" si="19"/>
        <v/>
      </c>
      <c r="I60" s="14" t="str">
        <f t="shared" si="19"/>
        <v/>
      </c>
      <c r="J60" s="14" t="str">
        <f t="shared" si="19"/>
        <v/>
      </c>
      <c r="K60" s="14" t="str">
        <f t="shared" si="19"/>
        <v/>
      </c>
      <c r="L60" s="14" t="str">
        <f t="shared" si="1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c r="D61" s="161"/>
      <c r="E61" s="161"/>
      <c r="F61" s="161"/>
      <c r="G61" s="161"/>
      <c r="H61" s="161"/>
      <c r="I61" s="161"/>
      <c r="J61" s="161"/>
      <c r="K61" s="161"/>
      <c r="L61" s="161"/>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0">IF(OR(D$26="",$A62=""),"",D60-D61)</f>
        <v/>
      </c>
      <c r="E62" s="66" t="str">
        <f t="shared" si="20"/>
        <v/>
      </c>
      <c r="F62" s="66" t="str">
        <f t="shared" si="20"/>
        <v/>
      </c>
      <c r="G62" s="66" t="str">
        <f t="shared" si="20"/>
        <v/>
      </c>
      <c r="H62" s="66" t="str">
        <f t="shared" si="20"/>
        <v/>
      </c>
      <c r="I62" s="66" t="str">
        <f t="shared" si="20"/>
        <v/>
      </c>
      <c r="J62" s="66" t="str">
        <f t="shared" si="20"/>
        <v/>
      </c>
      <c r="K62" s="66" t="str">
        <f t="shared" si="20"/>
        <v/>
      </c>
      <c r="L62" s="66" t="str">
        <f t="shared" si="20"/>
        <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c r="J65" s="159"/>
      <c r="K65" s="159"/>
      <c r="L65" s="159"/>
      <c r="M65" s="67">
        <f>SUM(C65:L65)</f>
        <v>0</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60"/>
      <c r="J66" s="160"/>
      <c r="K66" s="160"/>
      <c r="L66" s="160"/>
      <c r="M66" s="65">
        <f>SUM(C66:L66)</f>
        <v>0</v>
      </c>
      <c r="N66" t="str">
        <f t="shared" ref="N66:N70" si="21">IF(A66="","",N58)</f>
        <v>Add if multiple transactions, e.g.: $350*0.5 + $450*0.25</v>
      </c>
    </row>
    <row r="67" spans="1:14" x14ac:dyDescent="0.35">
      <c r="A67" s="32" t="str">
        <f>IF(A66="","","   Volume all players (should be zero)")</f>
        <v xml:space="preserve">   Volume all players (should be zero)</v>
      </c>
      <c r="C67" s="67" t="str">
        <f t="shared" ref="C67:M67" si="22">IF(OR(C$26="",$A67=""),"",C$112)</f>
        <v/>
      </c>
      <c r="D67" s="67" t="str">
        <f t="shared" si="22"/>
        <v/>
      </c>
      <c r="E67" s="67" t="str">
        <f t="shared" si="22"/>
        <v/>
      </c>
      <c r="F67" s="67" t="str">
        <f t="shared" si="22"/>
        <v/>
      </c>
      <c r="G67" s="67" t="str">
        <f t="shared" si="22"/>
        <v/>
      </c>
      <c r="H67" s="67" t="str">
        <f t="shared" si="22"/>
        <v/>
      </c>
      <c r="I67" s="67" t="str">
        <f t="shared" si="22"/>
        <v/>
      </c>
      <c r="J67" s="67" t="str">
        <f t="shared" si="22"/>
        <v/>
      </c>
      <c r="K67" s="67" t="str">
        <f t="shared" si="22"/>
        <v/>
      </c>
      <c r="L67" s="67" t="str">
        <f t="shared" si="22"/>
        <v/>
      </c>
      <c r="M67" t="str">
        <f t="shared" si="22"/>
        <v/>
      </c>
      <c r="N67" t="str">
        <f t="shared" si="21"/>
        <v>If non-zero, players need to change amount(s)</v>
      </c>
    </row>
    <row r="68" spans="1:14" x14ac:dyDescent="0.35">
      <c r="A68" s="1" t="str">
        <f>IF(A66="","","   Available Water [maf]")</f>
        <v xml:space="preserve">   Available Water [maf]</v>
      </c>
      <c r="C68" s="14" t="str">
        <f t="shared" ref="C68:L68" si="23">IF(OR(C$26="",$A68=""),"",C31+C49-C41-C65)</f>
        <v/>
      </c>
      <c r="D68" s="14" t="str">
        <f t="shared" si="23"/>
        <v/>
      </c>
      <c r="E68" s="14" t="str">
        <f t="shared" si="23"/>
        <v/>
      </c>
      <c r="F68" s="14" t="str">
        <f t="shared" si="23"/>
        <v/>
      </c>
      <c r="G68" s="14" t="str">
        <f t="shared" si="23"/>
        <v/>
      </c>
      <c r="H68" s="14" t="str">
        <f t="shared" si="23"/>
        <v/>
      </c>
      <c r="I68" s="14" t="str">
        <f t="shared" si="23"/>
        <v/>
      </c>
      <c r="J68" s="14" t="str">
        <f t="shared" si="23"/>
        <v/>
      </c>
      <c r="K68" s="14" t="str">
        <f t="shared" si="23"/>
        <v/>
      </c>
      <c r="L68" s="14" t="str">
        <f t="shared" si="23"/>
        <v/>
      </c>
      <c r="N68" t="str">
        <f t="shared" si="21"/>
        <v>Available water = Account Balance + Available Inflow - Evaporation + Sales - Purchases</v>
      </c>
    </row>
    <row r="69" spans="1:14" x14ac:dyDescent="0.35">
      <c r="A69" s="1" t="str">
        <f>IF(A68="","","   Account Withdraw [maf]")</f>
        <v xml:space="preserve">   Account Withdraw [maf]</v>
      </c>
      <c r="C69" s="161"/>
      <c r="D69" s="161"/>
      <c r="E69" s="161"/>
      <c r="F69" s="161"/>
      <c r="G69" s="161"/>
      <c r="H69" s="161"/>
      <c r="I69" s="161"/>
      <c r="J69" s="161"/>
      <c r="K69" s="161"/>
      <c r="L69" s="161"/>
      <c r="N69" t="str">
        <f t="shared" si="21"/>
        <v>Must be less than Available water</v>
      </c>
    </row>
    <row r="70" spans="1:14" x14ac:dyDescent="0.35">
      <c r="A70" s="32" t="str">
        <f>IF(A69="","","   End of Year Balance [maf]")</f>
        <v xml:space="preserve">   End of Year Balance [maf]</v>
      </c>
      <c r="C70" s="66" t="str">
        <f>IF(OR(C$26="",$A70=""),"",C68-C69)</f>
        <v/>
      </c>
      <c r="D70" s="66" t="str">
        <f t="shared" ref="D70:L70" si="24">IF(OR(D$26="",$A70=""),"",D68-D69)</f>
        <v/>
      </c>
      <c r="E70" s="66" t="str">
        <f t="shared" si="24"/>
        <v/>
      </c>
      <c r="F70" s="66" t="str">
        <f t="shared" si="24"/>
        <v/>
      </c>
      <c r="G70" s="66" t="str">
        <f t="shared" si="24"/>
        <v/>
      </c>
      <c r="H70" s="66" t="str">
        <f t="shared" si="24"/>
        <v/>
      </c>
      <c r="I70" s="66" t="str">
        <f t="shared" si="24"/>
        <v/>
      </c>
      <c r="J70" s="66" t="str">
        <f t="shared" si="24"/>
        <v/>
      </c>
      <c r="K70" s="66" t="str">
        <f t="shared" si="24"/>
        <v/>
      </c>
      <c r="L70" s="66" t="str">
        <f t="shared" si="24"/>
        <v/>
      </c>
      <c r="N70" t="str">
        <f t="shared" si="21"/>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c r="F73" s="159"/>
      <c r="G73" s="159"/>
      <c r="H73" s="159"/>
      <c r="I73" s="159"/>
      <c r="J73" s="159"/>
      <c r="K73" s="159"/>
      <c r="L73" s="159"/>
      <c r="M73" s="67">
        <f>SUM(C73:L73)</f>
        <v>0</v>
      </c>
      <c r="N73" t="str">
        <f>IF(A73="","",N65)</f>
        <v>Add if multiple transactions, e.g.: 0.5 + 0.25</v>
      </c>
    </row>
    <row r="74" spans="1:14" x14ac:dyDescent="0.35">
      <c r="A74" s="32" t="str">
        <f>IF(A73="","","   Cash Intake(+) and Payments(-) [$ Mill]")</f>
        <v xml:space="preserve">   Cash Intake(+) and Payments(-) [$ Mill]</v>
      </c>
      <c r="C74" s="160"/>
      <c r="D74" s="160"/>
      <c r="E74" s="160"/>
      <c r="F74" s="160"/>
      <c r="G74" s="160"/>
      <c r="H74" s="160"/>
      <c r="I74" s="160"/>
      <c r="J74" s="160"/>
      <c r="K74" s="160"/>
      <c r="L74" s="160"/>
      <c r="M74" s="65">
        <f>SUM(C74:L74)</f>
        <v>0</v>
      </c>
      <c r="N74" t="str">
        <f t="shared" ref="N74:N78" si="25">IF(A74="","",N66)</f>
        <v>Add if multiple transactions, e.g.: $350*0.5 + $450*0.25</v>
      </c>
    </row>
    <row r="75" spans="1:14" x14ac:dyDescent="0.35">
      <c r="A75" s="32" t="str">
        <f>IF(A74="","","   Volume all players (should be zero)")</f>
        <v xml:space="preserve">   Volume all players (should be zero)</v>
      </c>
      <c r="C75" s="67" t="str">
        <f t="shared" ref="C75:M75" si="26">IF(OR(C$26="",$A75=""),"",C$112)</f>
        <v/>
      </c>
      <c r="D75" s="67" t="str">
        <f t="shared" si="26"/>
        <v/>
      </c>
      <c r="E75" s="67" t="str">
        <f t="shared" si="26"/>
        <v/>
      </c>
      <c r="F75" s="67" t="str">
        <f t="shared" si="26"/>
        <v/>
      </c>
      <c r="G75" s="67" t="str">
        <f t="shared" si="26"/>
        <v/>
      </c>
      <c r="H75" s="67" t="str">
        <f t="shared" si="26"/>
        <v/>
      </c>
      <c r="I75" s="67" t="str">
        <f t="shared" si="26"/>
        <v/>
      </c>
      <c r="J75" s="67" t="str">
        <f t="shared" si="26"/>
        <v/>
      </c>
      <c r="K75" s="67" t="str">
        <f t="shared" si="26"/>
        <v/>
      </c>
      <c r="L75" s="67" t="str">
        <f t="shared" si="26"/>
        <v/>
      </c>
      <c r="M75" t="str">
        <f t="shared" si="26"/>
        <v/>
      </c>
      <c r="N75" t="str">
        <f t="shared" si="25"/>
        <v>If non-zero, players need to change amount(s)</v>
      </c>
    </row>
    <row r="76" spans="1:14" x14ac:dyDescent="0.35">
      <c r="A76" s="1" t="str">
        <f>IF(A74="","","   Available Water [maf]")</f>
        <v xml:space="preserve">   Available Water [maf]</v>
      </c>
      <c r="C76" s="14" t="str">
        <f t="shared" ref="C76:L76" si="27">IF(OR(C$26="",$A76=""),"",C32+C50-C42-C73)</f>
        <v/>
      </c>
      <c r="D76" s="14" t="str">
        <f t="shared" si="27"/>
        <v/>
      </c>
      <c r="E76" s="14" t="str">
        <f t="shared" si="27"/>
        <v/>
      </c>
      <c r="F76" s="14" t="str">
        <f>IF(OR(F$26="",$A76=""),"",F32+F50-F42-F73)</f>
        <v/>
      </c>
      <c r="G76" s="14" t="str">
        <f t="shared" si="27"/>
        <v/>
      </c>
      <c r="H76" s="14" t="str">
        <f t="shared" si="27"/>
        <v/>
      </c>
      <c r="I76" s="14" t="str">
        <f t="shared" si="27"/>
        <v/>
      </c>
      <c r="J76" s="14" t="str">
        <f t="shared" si="27"/>
        <v/>
      </c>
      <c r="K76" s="14" t="str">
        <f t="shared" si="27"/>
        <v/>
      </c>
      <c r="L76" s="14" t="str">
        <f t="shared" si="27"/>
        <v/>
      </c>
      <c r="N76" t="str">
        <f t="shared" si="25"/>
        <v>Available water = Account Balance + Available Inflow - Evaporation + Sales - Purchases</v>
      </c>
    </row>
    <row r="77" spans="1:14" x14ac:dyDescent="0.35">
      <c r="A77" s="1" t="str">
        <f>IF(A76="","","   Account Withdraw [maf]")</f>
        <v xml:space="preserve">   Account Withdraw [maf]</v>
      </c>
      <c r="C77" s="161"/>
      <c r="D77" s="161"/>
      <c r="E77" s="161"/>
      <c r="F77" s="161"/>
      <c r="G77" s="161"/>
      <c r="H77" s="161"/>
      <c r="I77" s="161"/>
      <c r="J77" s="161"/>
      <c r="K77" s="161"/>
      <c r="L77" s="161"/>
      <c r="N77" t="str">
        <f t="shared" si="25"/>
        <v>Must be less than Available water</v>
      </c>
    </row>
    <row r="78" spans="1:14" x14ac:dyDescent="0.35">
      <c r="A78" s="32" t="str">
        <f>IF(A77="","","   End of Year Balance [maf]")</f>
        <v xml:space="preserve">   End of Year Balance [maf]</v>
      </c>
      <c r="C78" s="66" t="str">
        <f>IF(OR(C$26="",$A78=""),"",C76-C77)</f>
        <v/>
      </c>
      <c r="D78" s="66" t="str">
        <f t="shared" ref="D78:L78" si="28">IF(OR(D$26="",$A78=""),"",D76-D77)</f>
        <v/>
      </c>
      <c r="E78" s="66" t="str">
        <f t="shared" si="28"/>
        <v/>
      </c>
      <c r="F78" s="66" t="str">
        <f t="shared" si="28"/>
        <v/>
      </c>
      <c r="G78" s="66" t="str">
        <f t="shared" si="28"/>
        <v/>
      </c>
      <c r="H78" s="66" t="str">
        <f t="shared" si="28"/>
        <v/>
      </c>
      <c r="I78" s="66" t="str">
        <f t="shared" si="28"/>
        <v/>
      </c>
      <c r="J78" s="66" t="str">
        <f t="shared" si="28"/>
        <v/>
      </c>
      <c r="K78" s="66" t="str">
        <f t="shared" si="28"/>
        <v/>
      </c>
      <c r="L78" s="66" t="str">
        <f t="shared" si="28"/>
        <v/>
      </c>
      <c r="N78" t="str">
        <f t="shared" si="25"/>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29">IF(A82="","",N74)</f>
        <v>Add if multiple transactions, e.g.: $350*0.5 + $450*0.25</v>
      </c>
    </row>
    <row r="83" spans="1:14" x14ac:dyDescent="0.35">
      <c r="A83" s="32" t="str">
        <f>IF(A82="","","   Volume all players (should be zero)")</f>
        <v xml:space="preserve">   Volume all players (should be zero)</v>
      </c>
      <c r="C83" s="67" t="str">
        <f t="shared" ref="C83:M83" si="30">IF(OR(C$26="",$A83=""),"",C$112)</f>
        <v/>
      </c>
      <c r="D83" s="67" t="str">
        <f t="shared" si="30"/>
        <v/>
      </c>
      <c r="E83" s="67" t="str">
        <f t="shared" si="30"/>
        <v/>
      </c>
      <c r="F83" s="67" t="str">
        <f t="shared" si="30"/>
        <v/>
      </c>
      <c r="G83" s="67" t="str">
        <f t="shared" si="30"/>
        <v/>
      </c>
      <c r="H83" s="67" t="str">
        <f t="shared" si="30"/>
        <v/>
      </c>
      <c r="I83" s="67" t="str">
        <f t="shared" si="30"/>
        <v/>
      </c>
      <c r="J83" s="67" t="str">
        <f t="shared" si="30"/>
        <v/>
      </c>
      <c r="K83" s="67" t="str">
        <f t="shared" si="30"/>
        <v/>
      </c>
      <c r="L83" s="67" t="str">
        <f t="shared" si="30"/>
        <v/>
      </c>
      <c r="M83" t="str">
        <f t="shared" si="30"/>
        <v/>
      </c>
      <c r="N83" t="str">
        <f t="shared" si="29"/>
        <v>If non-zero, players need to change amount(s)</v>
      </c>
    </row>
    <row r="84" spans="1:14" x14ac:dyDescent="0.35">
      <c r="A84" s="1" t="str">
        <f>IF(A82="","","   Available Water [maf]")</f>
        <v xml:space="preserve">   Available Water [maf]</v>
      </c>
      <c r="C84" s="14" t="str">
        <f t="shared" ref="C84:L84" si="31">IF(OR(C$26="",$A84=""),"",C33+C51-C43-C81)</f>
        <v/>
      </c>
      <c r="D84" s="14" t="str">
        <f t="shared" si="31"/>
        <v/>
      </c>
      <c r="E84" s="14" t="str">
        <f t="shared" si="31"/>
        <v/>
      </c>
      <c r="F84" s="14" t="str">
        <f t="shared" si="31"/>
        <v/>
      </c>
      <c r="G84" s="14" t="str">
        <f t="shared" si="31"/>
        <v/>
      </c>
      <c r="H84" s="14" t="str">
        <f t="shared" si="31"/>
        <v/>
      </c>
      <c r="I84" s="14" t="str">
        <f t="shared" si="31"/>
        <v/>
      </c>
      <c r="J84" s="14" t="str">
        <f t="shared" si="31"/>
        <v/>
      </c>
      <c r="K84" s="14" t="str">
        <f t="shared" si="31"/>
        <v/>
      </c>
      <c r="L84" s="14" t="str">
        <f t="shared" si="31"/>
        <v/>
      </c>
      <c r="N84" t="str">
        <f t="shared" si="29"/>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29"/>
        <v>Must be less than Available water</v>
      </c>
    </row>
    <row r="86" spans="1:14" x14ac:dyDescent="0.35">
      <c r="A86" s="32" t="str">
        <f>IF(A85="","","   End of Year Balance [maf]")</f>
        <v xml:space="preserve">   End of Year Balance [maf]</v>
      </c>
      <c r="C86" s="66" t="str">
        <f>IF(OR(C$26="",$A86=""),"",C84-C85)</f>
        <v/>
      </c>
      <c r="D86" s="66" t="str">
        <f t="shared" ref="D86:L86" si="32">IF(OR(D$26="",$A86=""),"",D84-D85)</f>
        <v/>
      </c>
      <c r="E86" s="66" t="str">
        <f t="shared" si="32"/>
        <v/>
      </c>
      <c r="F86" s="66" t="str">
        <f t="shared" si="32"/>
        <v/>
      </c>
      <c r="G86" s="66" t="str">
        <f t="shared" si="32"/>
        <v/>
      </c>
      <c r="H86" s="66" t="str">
        <f t="shared" si="32"/>
        <v/>
      </c>
      <c r="I86" s="66" t="str">
        <f t="shared" si="32"/>
        <v/>
      </c>
      <c r="J86" s="66" t="str">
        <f t="shared" si="32"/>
        <v/>
      </c>
      <c r="K86" s="66" t="str">
        <f t="shared" si="32"/>
        <v/>
      </c>
      <c r="L86" s="66" t="str">
        <f t="shared" si="32"/>
        <v/>
      </c>
      <c r="N86" t="str">
        <f t="shared" si="29"/>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33">IF(A90="","",N82)</f>
        <v/>
      </c>
    </row>
    <row r="91" spans="1:14" x14ac:dyDescent="0.35">
      <c r="A91" s="32" t="str">
        <f>IF(A90="","","   Volume all players (should be zero)")</f>
        <v/>
      </c>
      <c r="C91" s="67" t="str">
        <f t="shared" ref="C91:M91" si="34">IF(OR(C$26="",$A91=""),"",C$112)</f>
        <v/>
      </c>
      <c r="D91" s="67" t="str">
        <f t="shared" si="34"/>
        <v/>
      </c>
      <c r="E91" s="67" t="str">
        <f t="shared" si="34"/>
        <v/>
      </c>
      <c r="F91" s="67" t="str">
        <f t="shared" si="34"/>
        <v/>
      </c>
      <c r="G91" s="67" t="str">
        <f t="shared" si="34"/>
        <v/>
      </c>
      <c r="H91" s="67" t="str">
        <f t="shared" si="34"/>
        <v/>
      </c>
      <c r="I91" s="67" t="str">
        <f t="shared" si="34"/>
        <v/>
      </c>
      <c r="J91" s="67" t="str">
        <f t="shared" si="34"/>
        <v/>
      </c>
      <c r="K91" s="67" t="str">
        <f t="shared" si="34"/>
        <v/>
      </c>
      <c r="L91" s="67" t="str">
        <f t="shared" si="34"/>
        <v/>
      </c>
      <c r="M91" t="str">
        <f t="shared" si="34"/>
        <v/>
      </c>
      <c r="N91" t="str">
        <f t="shared" si="33"/>
        <v/>
      </c>
    </row>
    <row r="92" spans="1:14" x14ac:dyDescent="0.35">
      <c r="A92" s="1" t="str">
        <f>IF(A90="","","   Available Water [maf]")</f>
        <v/>
      </c>
      <c r="C92" s="14" t="str">
        <f t="shared" ref="C92:L92" si="35">IF(OR(C$26="",$A92=""),"",C34+C52-C44-C89)</f>
        <v/>
      </c>
      <c r="D92" s="14" t="str">
        <f t="shared" si="35"/>
        <v/>
      </c>
      <c r="E92" s="14" t="str">
        <f t="shared" si="35"/>
        <v/>
      </c>
      <c r="F92" s="14" t="str">
        <f t="shared" si="35"/>
        <v/>
      </c>
      <c r="G92" s="14" t="str">
        <f t="shared" si="35"/>
        <v/>
      </c>
      <c r="H92" s="14" t="str">
        <f t="shared" si="35"/>
        <v/>
      </c>
      <c r="I92" s="14" t="str">
        <f t="shared" si="35"/>
        <v/>
      </c>
      <c r="J92" s="14" t="str">
        <f t="shared" si="35"/>
        <v/>
      </c>
      <c r="K92" s="14" t="str">
        <f t="shared" si="35"/>
        <v/>
      </c>
      <c r="L92" s="14" t="str">
        <f t="shared" si="35"/>
        <v/>
      </c>
      <c r="N92" t="str">
        <f t="shared" si="33"/>
        <v/>
      </c>
    </row>
    <row r="93" spans="1:14" x14ac:dyDescent="0.35">
      <c r="A93" s="1" t="str">
        <f>IF(A92="","","   Account Withdraw [maf]")</f>
        <v/>
      </c>
      <c r="C93" s="161"/>
      <c r="D93" s="161"/>
      <c r="E93" s="161"/>
      <c r="F93" s="161"/>
      <c r="G93" s="161"/>
      <c r="H93" s="161"/>
      <c r="I93" s="161"/>
      <c r="J93" s="161"/>
      <c r="K93" s="161"/>
      <c r="L93" s="161"/>
      <c r="N93" t="str">
        <f t="shared" si="33"/>
        <v/>
      </c>
    </row>
    <row r="94" spans="1:14" x14ac:dyDescent="0.35">
      <c r="A94" s="32" t="str">
        <f>IF(A93="","","   End of Year Balance [maf]")</f>
        <v/>
      </c>
      <c r="C94" s="66" t="str">
        <f>IF(OR(C$26="",$A94=""),"",C92-C93)</f>
        <v/>
      </c>
      <c r="D94" s="66" t="str">
        <f t="shared" ref="D94:L94" si="36">IF(OR(D$26="",$A94=""),"",D92-D93)</f>
        <v/>
      </c>
      <c r="E94" s="66" t="str">
        <f t="shared" si="36"/>
        <v/>
      </c>
      <c r="F94" s="66" t="str">
        <f t="shared" si="36"/>
        <v/>
      </c>
      <c r="G94" s="66" t="str">
        <f t="shared" si="36"/>
        <v/>
      </c>
      <c r="H94" s="66" t="str">
        <f t="shared" si="36"/>
        <v/>
      </c>
      <c r="I94" s="66" t="str">
        <f t="shared" si="36"/>
        <v/>
      </c>
      <c r="J94" s="66" t="str">
        <f t="shared" si="36"/>
        <v/>
      </c>
      <c r="K94" s="66" t="str">
        <f t="shared" si="36"/>
        <v/>
      </c>
      <c r="L94" s="66" t="str">
        <f t="shared" si="36"/>
        <v/>
      </c>
      <c r="N94" t="str">
        <f t="shared" si="33"/>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7">IF(A98="","",N90)</f>
        <v/>
      </c>
    </row>
    <row r="99" spans="1:14" x14ac:dyDescent="0.35">
      <c r="A99" s="32" t="str">
        <f>IF(A98="","","   Volume all players (should be zero)")</f>
        <v/>
      </c>
      <c r="C99" s="67" t="str">
        <f t="shared" ref="C99:M99" si="38">IF(OR(C$26="",$A99=""),"",C$112)</f>
        <v/>
      </c>
      <c r="D99" s="67" t="str">
        <f t="shared" si="38"/>
        <v/>
      </c>
      <c r="E99" s="67" t="str">
        <f t="shared" si="38"/>
        <v/>
      </c>
      <c r="F99" s="67" t="str">
        <f t="shared" si="38"/>
        <v/>
      </c>
      <c r="G99" s="67" t="str">
        <f t="shared" si="38"/>
        <v/>
      </c>
      <c r="H99" s="67" t="str">
        <f t="shared" si="38"/>
        <v/>
      </c>
      <c r="I99" s="67" t="str">
        <f t="shared" si="38"/>
        <v/>
      </c>
      <c r="J99" s="67" t="str">
        <f t="shared" si="38"/>
        <v/>
      </c>
      <c r="K99" s="67" t="str">
        <f t="shared" si="38"/>
        <v/>
      </c>
      <c r="L99" s="67" t="str">
        <f t="shared" si="38"/>
        <v/>
      </c>
      <c r="M99" t="str">
        <f t="shared" si="38"/>
        <v/>
      </c>
      <c r="N99" t="str">
        <f t="shared" si="37"/>
        <v/>
      </c>
    </row>
    <row r="100" spans="1:14" x14ac:dyDescent="0.35">
      <c r="A100" s="1" t="str">
        <f>IF(A98="","","   Available Water [maf]")</f>
        <v/>
      </c>
      <c r="C100" s="14" t="str">
        <f t="shared" ref="C100:L100" si="39">IF(OR(C$26="",$A100=""),"",C35+C53-C45-C97)</f>
        <v/>
      </c>
      <c r="D100" s="14" t="str">
        <f t="shared" si="39"/>
        <v/>
      </c>
      <c r="E100" s="14" t="str">
        <f t="shared" si="39"/>
        <v/>
      </c>
      <c r="F100" s="14" t="str">
        <f t="shared" si="39"/>
        <v/>
      </c>
      <c r="G100" s="14" t="str">
        <f t="shared" si="39"/>
        <v/>
      </c>
      <c r="H100" s="14" t="str">
        <f t="shared" si="39"/>
        <v/>
      </c>
      <c r="I100" s="14" t="str">
        <f t="shared" si="39"/>
        <v/>
      </c>
      <c r="J100" s="14" t="str">
        <f t="shared" si="39"/>
        <v/>
      </c>
      <c r="K100" s="14" t="str">
        <f t="shared" si="39"/>
        <v/>
      </c>
      <c r="L100" s="14" t="str">
        <f t="shared" si="39"/>
        <v/>
      </c>
      <c r="N100" t="str">
        <f t="shared" si="37"/>
        <v/>
      </c>
    </row>
    <row r="101" spans="1:14" x14ac:dyDescent="0.35">
      <c r="A101" s="1" t="str">
        <f>IF(A100="","","   Account Withdraw [maf]")</f>
        <v/>
      </c>
      <c r="C101" s="161"/>
      <c r="D101" s="161"/>
      <c r="E101" s="161"/>
      <c r="F101" s="161"/>
      <c r="G101" s="161"/>
      <c r="H101" s="161"/>
      <c r="I101" s="161"/>
      <c r="J101" s="161"/>
      <c r="K101" s="161"/>
      <c r="L101" s="161"/>
      <c r="N101" t="str">
        <f t="shared" si="37"/>
        <v/>
      </c>
    </row>
    <row r="102" spans="1:14" x14ac:dyDescent="0.35">
      <c r="A102" s="32" t="str">
        <f>IF(A101="","","   End of Year Balance [maf]")</f>
        <v/>
      </c>
      <c r="C102" s="66" t="str">
        <f>IF(OR(C$26="",$A102=""),"",C100-C101)</f>
        <v/>
      </c>
      <c r="D102" s="66" t="str">
        <f t="shared" ref="D102:L102" si="40">IF(OR(D$26="",$A102=""),"",D100-D101)</f>
        <v/>
      </c>
      <c r="E102" s="66" t="str">
        <f t="shared" si="40"/>
        <v/>
      </c>
      <c r="F102" s="66" t="str">
        <f t="shared" si="40"/>
        <v/>
      </c>
      <c r="G102" s="66" t="str">
        <f t="shared" si="40"/>
        <v/>
      </c>
      <c r="H102" s="66" t="str">
        <f t="shared" si="40"/>
        <v/>
      </c>
      <c r="I102" s="66" t="str">
        <f t="shared" si="40"/>
        <v/>
      </c>
      <c r="J102" s="66" t="str">
        <f t="shared" si="40"/>
        <v/>
      </c>
      <c r="K102" s="66" t="str">
        <f t="shared" si="40"/>
        <v/>
      </c>
      <c r="L102" s="66" t="str">
        <f t="shared" si="40"/>
        <v/>
      </c>
      <c r="N102" t="str">
        <f t="shared" si="37"/>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t="str">
        <f t="shared" ref="C106:L111" ca="1" si="41">IF(OR(C$26="",$A106=""),"",OFFSET(C$57,8*(ROW(B106)-ROW(B$106)),0))</f>
        <v/>
      </c>
      <c r="D106" s="67" t="str">
        <f t="shared" ca="1" si="41"/>
        <v/>
      </c>
      <c r="E106" s="67" t="str">
        <f t="shared" ca="1" si="41"/>
        <v/>
      </c>
      <c r="F106" s="67" t="str">
        <f t="shared" ca="1" si="41"/>
        <v/>
      </c>
      <c r="G106" s="67" t="str">
        <f t="shared" ca="1" si="41"/>
        <v/>
      </c>
      <c r="H106" s="67" t="str">
        <f t="shared" ca="1" si="41"/>
        <v/>
      </c>
      <c r="I106" s="67" t="str">
        <f t="shared" ca="1" si="41"/>
        <v/>
      </c>
      <c r="J106" s="67" t="str">
        <f t="shared" ca="1" si="41"/>
        <v/>
      </c>
      <c r="K106" s="67" t="str">
        <f t="shared" ca="1" si="41"/>
        <v/>
      </c>
      <c r="L106" s="67" t="str">
        <f t="shared" ca="1" si="41"/>
        <v/>
      </c>
      <c r="M106" s="67">
        <f ca="1">IF(OR($A106=""),"",SUM(C106:L106))</f>
        <v>0</v>
      </c>
      <c r="N106" s="65">
        <f>IF(OR($A106=""),"",M58)</f>
        <v>0</v>
      </c>
    </row>
    <row r="107" spans="1:14" x14ac:dyDescent="0.35">
      <c r="A107" t="str">
        <f>IF(A6="","","    "&amp;A6)</f>
        <v xml:space="preserve">    Lower Basin</v>
      </c>
      <c r="B107" s="1"/>
      <c r="C107" s="67" t="str">
        <f t="shared" ca="1" si="41"/>
        <v/>
      </c>
      <c r="D107" s="67" t="str">
        <f t="shared" ca="1" si="41"/>
        <v/>
      </c>
      <c r="E107" s="67" t="str">
        <f t="shared" ca="1" si="41"/>
        <v/>
      </c>
      <c r="F107" s="67" t="str">
        <f t="shared" ca="1" si="41"/>
        <v/>
      </c>
      <c r="G107" s="67" t="str">
        <f t="shared" ca="1" si="41"/>
        <v/>
      </c>
      <c r="H107" s="67" t="str">
        <f t="shared" ca="1" si="41"/>
        <v/>
      </c>
      <c r="I107" s="67" t="str">
        <f t="shared" ca="1" si="41"/>
        <v/>
      </c>
      <c r="J107" s="67" t="str">
        <f t="shared" ca="1" si="41"/>
        <v/>
      </c>
      <c r="K107" s="67" t="str">
        <f t="shared" ca="1" si="41"/>
        <v/>
      </c>
      <c r="L107" s="67" t="str">
        <f t="shared" ca="1" si="41"/>
        <v/>
      </c>
      <c r="M107" s="67">
        <f t="shared" ref="M107:M111" ca="1" si="42">IF(OR($A107=""),"",SUM(C107:L107))</f>
        <v>0</v>
      </c>
      <c r="N107" s="65">
        <f>IF(OR($A107=""),"",M66)</f>
        <v>0</v>
      </c>
    </row>
    <row r="108" spans="1:14" x14ac:dyDescent="0.35">
      <c r="A108" t="str">
        <f>IF(A7="","","    "&amp;A7)</f>
        <v xml:space="preserve">    Mexico</v>
      </c>
      <c r="B108" s="1"/>
      <c r="C108" s="67" t="str">
        <f t="shared" ca="1" si="41"/>
        <v/>
      </c>
      <c r="D108" s="67" t="str">
        <f t="shared" ca="1" si="41"/>
        <v/>
      </c>
      <c r="E108" s="67" t="str">
        <f t="shared" ca="1" si="41"/>
        <v/>
      </c>
      <c r="F108" s="67" t="str">
        <f t="shared" ca="1" si="41"/>
        <v/>
      </c>
      <c r="G108" s="67" t="str">
        <f t="shared" ca="1" si="41"/>
        <v/>
      </c>
      <c r="H108" s="67" t="str">
        <f t="shared" ca="1" si="41"/>
        <v/>
      </c>
      <c r="I108" s="67" t="str">
        <f t="shared" ca="1" si="41"/>
        <v/>
      </c>
      <c r="J108" s="67" t="str">
        <f t="shared" ca="1" si="41"/>
        <v/>
      </c>
      <c r="K108" s="67" t="str">
        <f t="shared" ca="1" si="41"/>
        <v/>
      </c>
      <c r="L108" s="67" t="str">
        <f t="shared" ca="1" si="41"/>
        <v/>
      </c>
      <c r="M108" s="67">
        <f t="shared" ca="1" si="42"/>
        <v>0</v>
      </c>
      <c r="N108" s="65">
        <f>IF(OR($A108=""),"",M74)</f>
        <v>0</v>
      </c>
    </row>
    <row r="109" spans="1:14" x14ac:dyDescent="0.35">
      <c r="A109" t="str">
        <f>IF(A8="","","    "&amp;A8)</f>
        <v xml:space="preserve">    Shared, Reserve</v>
      </c>
      <c r="B109" s="1"/>
      <c r="C109" s="67" t="str">
        <f t="shared" ca="1" si="41"/>
        <v/>
      </c>
      <c r="D109" s="67" t="str">
        <f t="shared" ca="1" si="41"/>
        <v/>
      </c>
      <c r="E109" s="67" t="str">
        <f t="shared" ca="1" si="41"/>
        <v/>
      </c>
      <c r="F109" s="67" t="str">
        <f t="shared" ca="1" si="41"/>
        <v/>
      </c>
      <c r="G109" s="67" t="str">
        <f t="shared" ca="1" si="41"/>
        <v/>
      </c>
      <c r="H109" s="67" t="str">
        <f t="shared" ca="1" si="41"/>
        <v/>
      </c>
      <c r="I109" s="67" t="str">
        <f t="shared" ca="1" si="41"/>
        <v/>
      </c>
      <c r="J109" s="67" t="str">
        <f t="shared" ca="1" si="41"/>
        <v/>
      </c>
      <c r="K109" s="67" t="str">
        <f t="shared" ca="1" si="41"/>
        <v/>
      </c>
      <c r="L109" s="67" t="str">
        <f t="shared" ca="1" si="41"/>
        <v/>
      </c>
      <c r="M109" s="67">
        <f t="shared" ca="1" si="42"/>
        <v>0</v>
      </c>
      <c r="N109" s="65">
        <f>IF(OR($A109=""),"",M82)</f>
        <v>0</v>
      </c>
    </row>
    <row r="110" spans="1:14" x14ac:dyDescent="0.35">
      <c r="A110" t="str">
        <f>IF(A9="","","    "&amp;A9)</f>
        <v/>
      </c>
      <c r="B110" s="1"/>
      <c r="C110" s="67" t="str">
        <f t="shared" ca="1" si="41"/>
        <v/>
      </c>
      <c r="D110" s="67" t="str">
        <f t="shared" ca="1" si="41"/>
        <v/>
      </c>
      <c r="E110" s="67" t="str">
        <f t="shared" ca="1" si="41"/>
        <v/>
      </c>
      <c r="F110" s="67" t="str">
        <f t="shared" ca="1" si="41"/>
        <v/>
      </c>
      <c r="G110" s="67" t="str">
        <f t="shared" ca="1" si="41"/>
        <v/>
      </c>
      <c r="H110" s="67" t="str">
        <f t="shared" ca="1" si="41"/>
        <v/>
      </c>
      <c r="I110" s="67" t="str">
        <f t="shared" ca="1" si="41"/>
        <v/>
      </c>
      <c r="J110" s="67" t="str">
        <f t="shared" ca="1" si="41"/>
        <v/>
      </c>
      <c r="K110" s="67" t="str">
        <f t="shared" ca="1" si="41"/>
        <v/>
      </c>
      <c r="L110" s="67" t="str">
        <f t="shared" ca="1" si="41"/>
        <v/>
      </c>
      <c r="M110" s="67" t="str">
        <f t="shared" si="42"/>
        <v/>
      </c>
      <c r="N110" s="65" t="str">
        <f>IF(OR($A110=""),"",M90)</f>
        <v/>
      </c>
    </row>
    <row r="111" spans="1:14" x14ac:dyDescent="0.35">
      <c r="A111" t="str">
        <f>IF(A10="","","    "&amp;A10)</f>
        <v/>
      </c>
      <c r="B111" s="1"/>
      <c r="C111" s="67" t="str">
        <f t="shared" ca="1" si="41"/>
        <v/>
      </c>
      <c r="D111" s="67" t="str">
        <f t="shared" ca="1" si="41"/>
        <v/>
      </c>
      <c r="E111" s="67" t="str">
        <f t="shared" ca="1" si="41"/>
        <v/>
      </c>
      <c r="F111" s="67" t="str">
        <f t="shared" ca="1" si="41"/>
        <v/>
      </c>
      <c r="G111" s="67" t="str">
        <f t="shared" ca="1" si="41"/>
        <v/>
      </c>
      <c r="H111" s="67" t="str">
        <f t="shared" ca="1" si="41"/>
        <v/>
      </c>
      <c r="I111" s="67" t="str">
        <f t="shared" ca="1" si="41"/>
        <v/>
      </c>
      <c r="J111" s="67" t="str">
        <f t="shared" ca="1" si="41"/>
        <v/>
      </c>
      <c r="K111" s="67" t="str">
        <f t="shared" ca="1" si="41"/>
        <v/>
      </c>
      <c r="L111" s="67" t="str">
        <f t="shared" ca="1" si="41"/>
        <v/>
      </c>
      <c r="M111" s="67" t="str">
        <f t="shared" si="42"/>
        <v/>
      </c>
      <c r="N111" s="65" t="str">
        <f>IF(OR($A111=""),"",M98)</f>
        <v/>
      </c>
    </row>
    <row r="112" spans="1:14" x14ac:dyDescent="0.35">
      <c r="A112" t="s">
        <v>146</v>
      </c>
      <c r="B112" s="1"/>
      <c r="C112" s="51" t="str">
        <f>IF(C$26&lt;&gt;"",SUM(C106:C111),"")</f>
        <v/>
      </c>
      <c r="D112" s="51" t="str">
        <f t="shared" ref="D112:L112" si="43">IF(D$26&lt;&gt;"",SUM(D106:D111),"")</f>
        <v/>
      </c>
      <c r="E112" s="119" t="str">
        <f t="shared" si="43"/>
        <v/>
      </c>
      <c r="F112" s="51" t="str">
        <f t="shared" si="43"/>
        <v/>
      </c>
      <c r="G112" s="51" t="str">
        <f t="shared" si="43"/>
        <v/>
      </c>
      <c r="H112" s="51" t="str">
        <f t="shared" si="43"/>
        <v/>
      </c>
      <c r="I112" s="51" t="str">
        <f t="shared" si="43"/>
        <v/>
      </c>
      <c r="J112" s="51" t="str">
        <f t="shared" si="43"/>
        <v/>
      </c>
      <c r="K112" s="51" t="str">
        <f t="shared" si="43"/>
        <v/>
      </c>
      <c r="L112" s="51" t="str">
        <f t="shared" si="43"/>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44">IF(OR(C$26="",$A114=""),"",OFFSET(C$61,8*(ROW(B114)-ROW(B$114)),0))</f>
        <v/>
      </c>
      <c r="D114" s="67" t="str">
        <f t="shared" ca="1" si="44"/>
        <v/>
      </c>
      <c r="E114" s="67" t="str">
        <f t="shared" ca="1" si="44"/>
        <v/>
      </c>
      <c r="F114" s="67" t="str">
        <f t="shared" ca="1" si="44"/>
        <v/>
      </c>
      <c r="G114" s="67" t="str">
        <f t="shared" ca="1" si="44"/>
        <v/>
      </c>
      <c r="H114" s="67" t="str">
        <f t="shared" ca="1" si="44"/>
        <v/>
      </c>
      <c r="I114" s="67" t="str">
        <f t="shared" ca="1" si="44"/>
        <v/>
      </c>
      <c r="J114" s="67" t="str">
        <f t="shared" ca="1" si="44"/>
        <v/>
      </c>
      <c r="K114" s="67" t="str">
        <f t="shared" ca="1" si="44"/>
        <v/>
      </c>
      <c r="L114" s="67" t="str">
        <f t="shared" ca="1" si="44"/>
        <v/>
      </c>
    </row>
    <row r="115" spans="1:12" x14ac:dyDescent="0.35">
      <c r="A115" t="str">
        <f>IF(A6="","","    "&amp;A6&amp;" - Release from Mead")</f>
        <v xml:space="preserve">    Lower Basin - Release from Mead</v>
      </c>
      <c r="C115" s="67" t="str">
        <f t="shared" ca="1" si="44"/>
        <v/>
      </c>
      <c r="D115" s="67" t="str">
        <f t="shared" ca="1" si="44"/>
        <v/>
      </c>
      <c r="E115" s="67" t="str">
        <f t="shared" ca="1" si="44"/>
        <v/>
      </c>
      <c r="F115" s="67" t="str">
        <f t="shared" ca="1" si="44"/>
        <v/>
      </c>
      <c r="G115" s="67" t="str">
        <f t="shared" ca="1" si="44"/>
        <v/>
      </c>
      <c r="H115" s="67" t="str">
        <f t="shared" ca="1" si="44"/>
        <v/>
      </c>
      <c r="I115" s="67" t="str">
        <f t="shared" ca="1" si="44"/>
        <v/>
      </c>
      <c r="J115" s="67" t="str">
        <f t="shared" ca="1" si="44"/>
        <v/>
      </c>
      <c r="K115" s="67" t="str">
        <f t="shared" ca="1" si="44"/>
        <v/>
      </c>
      <c r="L115" s="67" t="str">
        <f t="shared" ca="1" si="44"/>
        <v/>
      </c>
    </row>
    <row r="116" spans="1:12" x14ac:dyDescent="0.35">
      <c r="A116" t="str">
        <f>IF(A7="","","    "&amp;A7&amp;" - Release from Mead")</f>
        <v xml:space="preserve">    Mexico - Release from Mead</v>
      </c>
      <c r="C116" s="67" t="str">
        <f t="shared" ca="1" si="44"/>
        <v/>
      </c>
      <c r="D116" s="67" t="str">
        <f t="shared" ca="1" si="44"/>
        <v/>
      </c>
      <c r="E116" s="67" t="str">
        <f t="shared" ca="1" si="44"/>
        <v/>
      </c>
      <c r="F116" s="67" t="str">
        <f t="shared" ca="1" si="44"/>
        <v/>
      </c>
      <c r="G116" s="67" t="str">
        <f t="shared" ca="1" si="44"/>
        <v/>
      </c>
      <c r="H116" s="67" t="str">
        <f t="shared" ca="1" si="44"/>
        <v/>
      </c>
      <c r="I116" s="67" t="str">
        <f t="shared" ca="1" si="44"/>
        <v/>
      </c>
      <c r="J116" s="67" t="str">
        <f t="shared" ca="1" si="44"/>
        <v/>
      </c>
      <c r="K116" s="67" t="str">
        <f t="shared" ca="1" si="44"/>
        <v/>
      </c>
      <c r="L116" s="67" t="str">
        <f t="shared" ca="1" si="44"/>
        <v/>
      </c>
    </row>
    <row r="117" spans="1:12" x14ac:dyDescent="0.35">
      <c r="A117" t="str">
        <f>IF(A8="","","    "&amp;A8&amp;" - Release from Mead")</f>
        <v xml:space="preserve">    Shared, Reserve - Release from Mead</v>
      </c>
      <c r="C117" s="67" t="str">
        <f t="shared" ca="1" si="44"/>
        <v/>
      </c>
      <c r="D117" s="67" t="str">
        <f t="shared" ca="1" si="44"/>
        <v/>
      </c>
      <c r="E117" s="67" t="str">
        <f t="shared" ca="1" si="44"/>
        <v/>
      </c>
      <c r="F117" s="67" t="str">
        <f t="shared" ca="1" si="44"/>
        <v/>
      </c>
      <c r="G117" s="67" t="str">
        <f t="shared" ca="1" si="44"/>
        <v/>
      </c>
      <c r="H117" s="67" t="str">
        <f t="shared" ca="1" si="44"/>
        <v/>
      </c>
      <c r="I117" s="67" t="str">
        <f t="shared" ca="1" si="44"/>
        <v/>
      </c>
      <c r="J117" s="67" t="str">
        <f t="shared" ca="1" si="44"/>
        <v/>
      </c>
      <c r="K117" s="67" t="str">
        <f t="shared" ca="1" si="44"/>
        <v/>
      </c>
      <c r="L117" s="67" t="str">
        <f t="shared" ca="1" si="44"/>
        <v/>
      </c>
    </row>
    <row r="118" spans="1:12" x14ac:dyDescent="0.35">
      <c r="A118" t="str">
        <f>IF(A9="","","    "&amp;A9&amp;" - Release from Mead")</f>
        <v/>
      </c>
      <c r="C118" s="67" t="str">
        <f t="shared" ca="1" si="44"/>
        <v/>
      </c>
      <c r="D118" s="67" t="str">
        <f t="shared" ca="1" si="44"/>
        <v/>
      </c>
      <c r="E118" s="67" t="str">
        <f t="shared" ca="1" si="44"/>
        <v/>
      </c>
      <c r="F118" s="67" t="str">
        <f t="shared" ca="1" si="44"/>
        <v/>
      </c>
      <c r="G118" s="67" t="str">
        <f t="shared" ca="1" si="44"/>
        <v/>
      </c>
      <c r="H118" s="67" t="str">
        <f t="shared" ca="1" si="44"/>
        <v/>
      </c>
      <c r="I118" s="67" t="str">
        <f t="shared" ca="1" si="44"/>
        <v/>
      </c>
      <c r="J118" s="67" t="str">
        <f t="shared" ca="1" si="44"/>
        <v/>
      </c>
      <c r="K118" s="67" t="str">
        <f t="shared" ca="1" si="44"/>
        <v/>
      </c>
      <c r="L118" s="67" t="str">
        <f t="shared" ca="1" si="44"/>
        <v/>
      </c>
    </row>
    <row r="119" spans="1:12" x14ac:dyDescent="0.35">
      <c r="A119" t="str">
        <f>IF(A10="","","    "&amp;A10&amp;" - Release from Mead")</f>
        <v/>
      </c>
      <c r="C119" s="67" t="str">
        <f t="shared" ca="1" si="44"/>
        <v/>
      </c>
      <c r="D119" s="67" t="str">
        <f t="shared" ca="1" si="44"/>
        <v/>
      </c>
      <c r="E119" s="67" t="str">
        <f t="shared" ca="1" si="44"/>
        <v/>
      </c>
      <c r="F119" s="67" t="str">
        <f t="shared" ca="1" si="44"/>
        <v/>
      </c>
      <c r="G119" s="67" t="str">
        <f t="shared" ca="1" si="44"/>
        <v/>
      </c>
      <c r="H119" s="67" t="str">
        <f t="shared" ca="1" si="44"/>
        <v/>
      </c>
      <c r="I119" s="67" t="str">
        <f t="shared" ca="1" si="44"/>
        <v/>
      </c>
      <c r="J119" s="67" t="str">
        <f t="shared" ca="1" si="44"/>
        <v/>
      </c>
      <c r="K119" s="67" t="str">
        <f t="shared" ca="1" si="44"/>
        <v/>
      </c>
      <c r="L119" s="67" t="str">
        <f t="shared" ca="1" si="44"/>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t="str">
        <f t="shared" ref="C121:L126" ca="1" si="45">IF(OR(C$26="",$A121=""),"",OFFSET(C$62,8*(ROW(B121)-ROW(B$121)),0))</f>
        <v/>
      </c>
      <c r="D121" s="67" t="str">
        <f t="shared" ca="1" si="45"/>
        <v/>
      </c>
      <c r="E121" s="67" t="str">
        <f t="shared" ca="1" si="45"/>
        <v/>
      </c>
      <c r="F121" s="67" t="str">
        <f t="shared" ca="1" si="45"/>
        <v/>
      </c>
      <c r="G121" s="67" t="str">
        <f t="shared" ca="1" si="45"/>
        <v/>
      </c>
      <c r="H121" s="67" t="str">
        <f t="shared" ca="1" si="45"/>
        <v/>
      </c>
      <c r="I121" s="67" t="str">
        <f t="shared" ca="1" si="45"/>
        <v/>
      </c>
      <c r="J121" s="67" t="str">
        <f t="shared" ca="1" si="45"/>
        <v/>
      </c>
      <c r="K121" s="67" t="str">
        <f t="shared" ca="1" si="45"/>
        <v/>
      </c>
      <c r="L121" s="67" t="str">
        <f t="shared" ca="1" si="45"/>
        <v/>
      </c>
    </row>
    <row r="122" spans="1:12" x14ac:dyDescent="0.35">
      <c r="A122" t="str">
        <f>IF(A6="","","    "&amp;A6)</f>
        <v xml:space="preserve">    Lower Basin</v>
      </c>
      <c r="C122" s="67" t="str">
        <f t="shared" ca="1" si="45"/>
        <v/>
      </c>
      <c r="D122" s="67" t="str">
        <f t="shared" ca="1" si="45"/>
        <v/>
      </c>
      <c r="E122" s="67" t="str">
        <f t="shared" ca="1" si="45"/>
        <v/>
      </c>
      <c r="F122" s="67" t="str">
        <f t="shared" ca="1" si="45"/>
        <v/>
      </c>
      <c r="G122" s="67" t="str">
        <f t="shared" ca="1" si="45"/>
        <v/>
      </c>
      <c r="H122" s="67" t="str">
        <f t="shared" ca="1" si="45"/>
        <v/>
      </c>
      <c r="I122" s="67" t="str">
        <f t="shared" ca="1" si="45"/>
        <v/>
      </c>
      <c r="J122" s="67" t="str">
        <f t="shared" ca="1" si="45"/>
        <v/>
      </c>
      <c r="K122" s="67" t="str">
        <f t="shared" ca="1" si="45"/>
        <v/>
      </c>
      <c r="L122" s="67" t="str">
        <f t="shared" ca="1" si="45"/>
        <v/>
      </c>
    </row>
    <row r="123" spans="1:12" x14ac:dyDescent="0.35">
      <c r="A123" t="str">
        <f>IF(A7="","","    "&amp;A7)</f>
        <v xml:space="preserve">    Mexico</v>
      </c>
      <c r="C123" s="67" t="str">
        <f t="shared" ca="1" si="45"/>
        <v/>
      </c>
      <c r="D123" s="67" t="str">
        <f t="shared" ca="1" si="45"/>
        <v/>
      </c>
      <c r="E123" s="67" t="str">
        <f t="shared" ca="1" si="45"/>
        <v/>
      </c>
      <c r="F123" s="67" t="str">
        <f t="shared" ca="1" si="45"/>
        <v/>
      </c>
      <c r="G123" s="67" t="str">
        <f t="shared" ca="1" si="45"/>
        <v/>
      </c>
      <c r="H123" s="67" t="str">
        <f t="shared" ca="1" si="45"/>
        <v/>
      </c>
      <c r="I123" s="67" t="str">
        <f t="shared" ca="1" si="45"/>
        <v/>
      </c>
      <c r="J123" s="67" t="str">
        <f t="shared" ca="1" si="45"/>
        <v/>
      </c>
      <c r="K123" s="67" t="str">
        <f t="shared" ca="1" si="45"/>
        <v/>
      </c>
      <c r="L123" s="67" t="str">
        <f t="shared" ca="1" si="45"/>
        <v/>
      </c>
    </row>
    <row r="124" spans="1:12" x14ac:dyDescent="0.35">
      <c r="A124" t="str">
        <f>IF(A8="","","    "&amp;A8)</f>
        <v xml:space="preserve">    Shared, Reserve</v>
      </c>
      <c r="C124" s="67" t="str">
        <f t="shared" ca="1" si="45"/>
        <v/>
      </c>
      <c r="D124" s="67" t="str">
        <f t="shared" ca="1" si="45"/>
        <v/>
      </c>
      <c r="E124" s="67" t="str">
        <f t="shared" ca="1" si="45"/>
        <v/>
      </c>
      <c r="F124" s="67" t="str">
        <f t="shared" ca="1" si="45"/>
        <v/>
      </c>
      <c r="G124" s="67" t="str">
        <f t="shared" ca="1" si="45"/>
        <v/>
      </c>
      <c r="H124" s="67" t="str">
        <f t="shared" ca="1" si="45"/>
        <v/>
      </c>
      <c r="I124" s="67" t="str">
        <f t="shared" ca="1" si="45"/>
        <v/>
      </c>
      <c r="J124" s="67" t="str">
        <f t="shared" ca="1" si="45"/>
        <v/>
      </c>
      <c r="K124" s="67" t="str">
        <f t="shared" ca="1" si="45"/>
        <v/>
      </c>
      <c r="L124" s="67" t="str">
        <f t="shared" ca="1" si="45"/>
        <v/>
      </c>
    </row>
    <row r="125" spans="1:12" x14ac:dyDescent="0.35">
      <c r="A125" t="str">
        <f>IF(A9="","","    "&amp;A9)</f>
        <v/>
      </c>
      <c r="C125" s="67" t="str">
        <f t="shared" ca="1" si="45"/>
        <v/>
      </c>
      <c r="D125" s="67" t="str">
        <f t="shared" ca="1" si="45"/>
        <v/>
      </c>
      <c r="E125" s="67" t="str">
        <f t="shared" ca="1" si="45"/>
        <v/>
      </c>
      <c r="F125" s="67" t="str">
        <f t="shared" ca="1" si="45"/>
        <v/>
      </c>
      <c r="G125" s="67" t="str">
        <f t="shared" ca="1" si="45"/>
        <v/>
      </c>
      <c r="H125" s="67" t="str">
        <f t="shared" ca="1" si="45"/>
        <v/>
      </c>
      <c r="I125" s="67" t="str">
        <f t="shared" ca="1" si="45"/>
        <v/>
      </c>
      <c r="J125" s="67" t="str">
        <f t="shared" ca="1" si="45"/>
        <v/>
      </c>
      <c r="K125" s="67" t="str">
        <f t="shared" ca="1" si="45"/>
        <v/>
      </c>
      <c r="L125" s="67" t="str">
        <f t="shared" ca="1" si="45"/>
        <v/>
      </c>
    </row>
    <row r="126" spans="1:12" x14ac:dyDescent="0.35">
      <c r="A126" t="str">
        <f>IF(A10="","","    "&amp;A10)</f>
        <v/>
      </c>
      <c r="C126" s="67" t="str">
        <f t="shared" ca="1" si="45"/>
        <v/>
      </c>
      <c r="D126" s="67" t="str">
        <f t="shared" ca="1" si="45"/>
        <v/>
      </c>
      <c r="E126" s="67" t="str">
        <f t="shared" ca="1" si="45"/>
        <v/>
      </c>
      <c r="F126" s="67" t="str">
        <f t="shared" ca="1" si="45"/>
        <v/>
      </c>
      <c r="G126" s="67" t="str">
        <f t="shared" ca="1" si="45"/>
        <v/>
      </c>
      <c r="H126" s="67" t="str">
        <f t="shared" ca="1" si="45"/>
        <v/>
      </c>
      <c r="I126" s="67" t="str">
        <f t="shared" ca="1" si="45"/>
        <v/>
      </c>
      <c r="J126" s="67" t="str">
        <f t="shared" ca="1" si="45"/>
        <v/>
      </c>
      <c r="K126" s="67" t="str">
        <f t="shared" ca="1" si="45"/>
        <v/>
      </c>
      <c r="L126" s="67" t="str">
        <f t="shared" ca="1" si="45"/>
        <v/>
      </c>
    </row>
    <row r="127" spans="1:12" x14ac:dyDescent="0.35">
      <c r="A127" s="1" t="s">
        <v>123</v>
      </c>
      <c r="B127" s="1"/>
      <c r="C127" s="14" t="str">
        <f>IF(C$26&lt;&gt;"",SUM(C121:C126),"")</f>
        <v/>
      </c>
      <c r="D127" s="14" t="str">
        <f t="shared" ref="D127:L127" si="46">IF(D$26&lt;&gt;"",SUM(D121:D126),"")</f>
        <v/>
      </c>
      <c r="E127" s="14" t="str">
        <f t="shared" si="46"/>
        <v/>
      </c>
      <c r="F127" s="14" t="str">
        <f t="shared" si="46"/>
        <v/>
      </c>
      <c r="G127" s="14" t="str">
        <f t="shared" si="46"/>
        <v/>
      </c>
      <c r="H127" s="14" t="str">
        <f t="shared" si="46"/>
        <v/>
      </c>
      <c r="I127" s="14" t="str">
        <f t="shared" si="46"/>
        <v/>
      </c>
      <c r="J127" s="14" t="str">
        <f t="shared" si="46"/>
        <v/>
      </c>
      <c r="K127" s="14" t="str">
        <f t="shared" si="46"/>
        <v/>
      </c>
      <c r="L127" s="14" t="str">
        <f t="shared" si="46"/>
        <v/>
      </c>
    </row>
    <row r="128" spans="1:12" x14ac:dyDescent="0.35">
      <c r="A128" s="1" t="s">
        <v>197</v>
      </c>
      <c r="B128" s="1"/>
      <c r="C128" s="68"/>
      <c r="D128" s="68"/>
      <c r="E128" s="68"/>
      <c r="F128" s="68"/>
      <c r="G128" s="68"/>
      <c r="H128" s="68"/>
      <c r="I128" s="68"/>
      <c r="J128" s="68"/>
      <c r="K128" s="68"/>
      <c r="L128" s="68"/>
    </row>
    <row r="129" spans="1:14" x14ac:dyDescent="0.35">
      <c r="A129" s="1" t="s">
        <v>193</v>
      </c>
      <c r="B129" s="1"/>
      <c r="C129" s="14" t="str">
        <f>IF(C26="","",C$128*C$127)</f>
        <v/>
      </c>
      <c r="D129" s="14" t="str">
        <f t="shared" ref="D129:L129" si="47">IF(D26="","",D$128*D$127)</f>
        <v/>
      </c>
      <c r="E129" s="14" t="str">
        <f t="shared" si="47"/>
        <v/>
      </c>
      <c r="F129" s="14" t="str">
        <f t="shared" si="47"/>
        <v/>
      </c>
      <c r="G129" s="14" t="str">
        <f t="shared" si="47"/>
        <v/>
      </c>
      <c r="H129" s="14" t="str">
        <f t="shared" si="47"/>
        <v/>
      </c>
      <c r="I129" s="14" t="str">
        <f t="shared" si="47"/>
        <v/>
      </c>
      <c r="J129" s="14" t="str">
        <f t="shared" si="47"/>
        <v/>
      </c>
      <c r="K129" s="14" t="str">
        <f t="shared" si="47"/>
        <v/>
      </c>
      <c r="L129" s="14" t="str">
        <f t="shared" si="47"/>
        <v/>
      </c>
    </row>
    <row r="130" spans="1:14" x14ac:dyDescent="0.35">
      <c r="A130" s="1" t="s">
        <v>194</v>
      </c>
      <c r="B130" s="1"/>
      <c r="C130" s="14" t="str">
        <f>IF(C27="","",(1-C$128)*C$127)</f>
        <v/>
      </c>
      <c r="D130" s="14" t="str">
        <f t="shared" ref="D130:L130" si="48">IF(D27="","",(1-D$128)*D$127)</f>
        <v/>
      </c>
      <c r="E130" s="14" t="str">
        <f t="shared" si="48"/>
        <v/>
      </c>
      <c r="F130" s="14" t="str">
        <f t="shared" si="48"/>
        <v/>
      </c>
      <c r="G130" s="14" t="str">
        <f t="shared" si="48"/>
        <v/>
      </c>
      <c r="H130" s="14" t="str">
        <f t="shared" si="48"/>
        <v/>
      </c>
      <c r="I130" s="14" t="str">
        <f t="shared" si="48"/>
        <v/>
      </c>
      <c r="J130" s="14" t="str">
        <f t="shared" si="48"/>
        <v/>
      </c>
      <c r="K130" s="14" t="str">
        <f t="shared" si="48"/>
        <v/>
      </c>
      <c r="L130" s="14" t="str">
        <f t="shared" si="48"/>
        <v/>
      </c>
    </row>
    <row r="131" spans="1:14" x14ac:dyDescent="0.35">
      <c r="A131" s="32" t="s">
        <v>282</v>
      </c>
      <c r="B131" s="1"/>
      <c r="C131" s="87" t="str">
        <f>IF(C$26&lt;&gt;"",VLOOKUP(C129*1000000,'Powell-Elevation-Area'!$B$5:$H$689,7),"")</f>
        <v/>
      </c>
      <c r="D131" s="87" t="str">
        <f>IF(D$26&lt;&gt;"",VLOOKUP(D129*1000000,'Powell-Elevation-Area'!$B$5:$H$689,7),"")</f>
        <v/>
      </c>
      <c r="E131" s="87" t="str">
        <f>IF(E$26&lt;&gt;"",VLOOKUP(E129*1000000,'Powell-Elevation-Area'!$B$5:$H$689,7),"")</f>
        <v/>
      </c>
      <c r="F131" s="87" t="str">
        <f>IF(F$26&lt;&gt;"",VLOOKUP(F129*1000000,'Powell-Elevation-Area'!$B$5:$H$689,7),"")</f>
        <v/>
      </c>
      <c r="G131" s="87" t="str">
        <f>IF(G$26&lt;&gt;"",VLOOKUP(G129*1000000,'Powell-Elevation-Area'!$B$5:$H$689,7),"")</f>
        <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t="str">
        <f>IF(C$26&lt;&gt;"",VLOOKUP(C130*1000000,'Mead-Elevation-Area'!$B$5:$H$689,7),"")</f>
        <v/>
      </c>
      <c r="D132" s="87" t="str">
        <f>IF(D$26&lt;&gt;"",VLOOKUP(D130*1000000,'Mead-Elevation-Area'!$B$5:$H$689,7),"")</f>
        <v/>
      </c>
      <c r="E132" s="87" t="str">
        <f>IF(E$26&lt;&gt;"",VLOOKUP(E130*1000000,'Mead-Elevation-Area'!$B$5:$H$689,7),"")</f>
        <v/>
      </c>
      <c r="F132" s="87" t="str">
        <f>IF(F$26&lt;&gt;"",VLOOKUP(F130*1000000,'Mead-Elevation-Area'!$B$5:$H$689,7),"")</f>
        <v/>
      </c>
      <c r="G132" s="87" t="str">
        <f>IF(G$26&lt;&gt;"",VLOOKUP(G130*1000000,'Mead-Elevation-Area'!$B$5:$H$689,7),"")</f>
        <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IF(C$26&lt;&gt;"",VLOOKUP(C131,PowellReleaseTemperature!$A$5:$B$11,2),"")</f>
        <v/>
      </c>
      <c r="D135" s="87" t="str">
        <f>IF(D$26&lt;&gt;"",VLOOKUP(D131,PowellReleaseTemperature!$A$5:$B$11,2),"")</f>
        <v/>
      </c>
      <c r="E135" s="87" t="str">
        <f>IF(E$26&lt;&gt;"",VLOOKUP(E131,PowellReleaseTemperature!$A$5:$B$11,2),"")</f>
        <v/>
      </c>
      <c r="F135" s="87" t="str">
        <f>IF(F$26&lt;&gt;"",VLOOKUP(F131,PowellReleaseTemperature!$A$5:$B$11,2),"")</f>
        <v/>
      </c>
      <c r="G135" s="87" t="str">
        <f>IF(G$26&lt;&gt;"",VLOOKUP(G131,PowellReleaseTemperature!$A$5:$B$11,2),"")</f>
        <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43" t="s">
        <v>311</v>
      </c>
      <c r="B136" s="88"/>
      <c r="C136" s="142" t="str">
        <f>IF(C$26&lt;&gt;"",VLOOKUP(C$131,PowellReleaseTemperature!$A$5:$E$11,5),"")</f>
        <v/>
      </c>
      <c r="D136" s="142" t="str">
        <f>IF(D$26&lt;&gt;"",VLOOKUP(D$131,PowellReleaseTemperature!$A$5:$E$11,5),"")</f>
        <v/>
      </c>
      <c r="E136" s="142" t="str">
        <f>IF(E$26&lt;&gt;"",VLOOKUP(E$131,PowellReleaseTemperature!$A$5:$E$11,5),"")</f>
        <v/>
      </c>
      <c r="F136" s="142" t="str">
        <f>IF(F$26&lt;&gt;"",VLOOKUP(F$131,PowellReleaseTemperature!$A$5:$E$11,5),"")</f>
        <v/>
      </c>
      <c r="G136" s="142" t="str">
        <f>IF(G$26&lt;&gt;"",VLOOKUP(G$131,PowellReleaseTemperature!$A$5:$E$11,5),"")</f>
        <v/>
      </c>
      <c r="H136" s="142" t="str">
        <f>IF(H$26&lt;&gt;"",VLOOKUP(H$131,PowellReleaseTemperature!$A$5:$E$11,5),"")</f>
        <v/>
      </c>
      <c r="I136" s="142" t="str">
        <f>IF(I$26&lt;&gt;"",VLOOKUP(I$131,PowellReleaseTemperature!$A$5:$E$11,5),"")</f>
        <v/>
      </c>
      <c r="J136" s="142" t="str">
        <f>IF(J$26&lt;&gt;"",VLOOKUP(J$131,PowellReleaseTemperature!$A$5:$E$11,5),"")</f>
        <v/>
      </c>
      <c r="K136" s="142" t="str">
        <f>IF(K$26&lt;&gt;"",VLOOKUP(K$131,PowellReleaseTemperature!$A$5:$E$11,5),"")</f>
        <v/>
      </c>
      <c r="L136" s="142" t="str">
        <f>IF(L$26&lt;&gt;"",VLOOKUP(L$131,PowellReleaseTemperature!$A$5:$E$11,5),"")</f>
        <v/>
      </c>
    </row>
    <row r="137" spans="1:14" s="89" customFormat="1" ht="32" customHeight="1" x14ac:dyDescent="0.35">
      <c r="A137" s="143" t="s">
        <v>317</v>
      </c>
      <c r="B137" s="88"/>
      <c r="C137" s="142" t="str">
        <f>IF(C$26&lt;&gt;"",VLOOKUP(C$131,PowellReleaseTemperature!$A$5:$F$11,6),"")</f>
        <v/>
      </c>
      <c r="D137" s="142" t="str">
        <f>IF(D$26&lt;&gt;"",VLOOKUP(D$131,PowellReleaseTemperature!$A$5:$F$11,6),"")</f>
        <v/>
      </c>
      <c r="E137" s="142" t="str">
        <f>IF(E$26&lt;&gt;"",VLOOKUP(E$131,PowellReleaseTemperature!$A$5:$F$11,6),"")</f>
        <v/>
      </c>
      <c r="F137" s="142" t="str">
        <f>IF(F$26&lt;&gt;"",VLOOKUP(F$131,PowellReleaseTemperature!$A$5:$F$11,6),"")</f>
        <v/>
      </c>
      <c r="G137" s="142" t="str">
        <f>IF(G$26&lt;&gt;"",VLOOKUP(G$131,PowellReleaseTemperature!$A$5:$F$11,6),"")</f>
        <v/>
      </c>
      <c r="H137" s="142" t="str">
        <f>IF(H$26&lt;&gt;"",VLOOKUP(H$131,PowellReleaseTemperature!$A$5:$F$11,6),"")</f>
        <v/>
      </c>
      <c r="I137" s="142" t="str">
        <f>IF(I$26&lt;&gt;"",VLOOKUP(I$131,PowellReleaseTemperature!$A$5:$F$11,6),"")</f>
        <v/>
      </c>
      <c r="J137" s="142" t="str">
        <f>IF(J$26&lt;&gt;"",VLOOKUP(J$131,PowellReleaseTemperature!$A$5:$F$11,6),"")</f>
        <v/>
      </c>
      <c r="K137" s="142" t="str">
        <f>IF(K$26&lt;&gt;"",VLOOKUP(K$131,PowellReleaseTemperature!$A$5:$F$11,6),"")</f>
        <v/>
      </c>
      <c r="L137" s="142" t="str">
        <f>IF(L$26&lt;&gt;"",VLOOKUP(L$131,PowellReleaseTemperature!$A$5:$F$11,6),"")</f>
        <v/>
      </c>
    </row>
    <row r="138" spans="1:14" x14ac:dyDescent="0.35">
      <c r="C138" s="29"/>
    </row>
    <row r="139" spans="1:14" x14ac:dyDescent="0.35">
      <c r="A139" s="1" t="s">
        <v>125</v>
      </c>
      <c r="C139" s="169" t="str">
        <f>IF(C$26&lt;&gt;"",0.2,"")</f>
        <v/>
      </c>
      <c r="D139" s="169" t="str">
        <f t="shared" ref="D139:L139" si="49">IF(D$26&lt;&gt;"",0.2,"")</f>
        <v/>
      </c>
      <c r="E139" s="169" t="str">
        <f t="shared" si="49"/>
        <v/>
      </c>
      <c r="F139" s="169" t="str">
        <f t="shared" si="49"/>
        <v/>
      </c>
      <c r="G139" s="169" t="str">
        <f t="shared" si="49"/>
        <v/>
      </c>
      <c r="H139" s="169" t="str">
        <f t="shared" si="49"/>
        <v/>
      </c>
      <c r="I139" s="169" t="str">
        <f t="shared" si="49"/>
        <v/>
      </c>
      <c r="J139" s="169" t="str">
        <f t="shared" si="49"/>
        <v/>
      </c>
      <c r="K139" s="169" t="str">
        <f t="shared" si="49"/>
        <v/>
      </c>
      <c r="L139" s="169" t="str">
        <f t="shared" si="49"/>
        <v/>
      </c>
    </row>
    <row r="140" spans="1:14" x14ac:dyDescent="0.35">
      <c r="A140" t="s">
        <v>126</v>
      </c>
      <c r="C140" s="14" t="str">
        <f t="shared" ref="C140:L140" si="50">IF(C$26&lt;&gt;"",C115+C139,"")</f>
        <v/>
      </c>
      <c r="D140" s="14" t="str">
        <f t="shared" si="50"/>
        <v/>
      </c>
      <c r="E140" s="14" t="str">
        <f t="shared" si="50"/>
        <v/>
      </c>
      <c r="F140" s="14" t="str">
        <f t="shared" si="50"/>
        <v/>
      </c>
      <c r="G140" s="14" t="str">
        <f t="shared" si="50"/>
        <v/>
      </c>
      <c r="H140" s="14" t="str">
        <f t="shared" si="50"/>
        <v/>
      </c>
      <c r="I140" s="14" t="str">
        <f t="shared" si="50"/>
        <v/>
      </c>
      <c r="J140" s="14" t="str">
        <f t="shared" si="50"/>
        <v/>
      </c>
      <c r="K140" s="14" t="str">
        <f t="shared" si="50"/>
        <v/>
      </c>
      <c r="L140" s="14" t="str">
        <f t="shared" si="50"/>
        <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D61">
    <cfRule type="cellIs" dxfId="348" priority="72" operator="greaterThan">
      <formula>$D$60</formula>
    </cfRule>
  </conditionalFormatting>
  <conditionalFormatting sqref="C61">
    <cfRule type="cellIs" dxfId="347" priority="70" operator="greaterThan">
      <formula>$C$60</formula>
    </cfRule>
  </conditionalFormatting>
  <conditionalFormatting sqref="E61">
    <cfRule type="cellIs" dxfId="346" priority="68" operator="greaterThan">
      <formula>$E$60</formula>
    </cfRule>
  </conditionalFormatting>
  <conditionalFormatting sqref="F61">
    <cfRule type="cellIs" dxfId="345" priority="67" operator="greaterThan">
      <formula>$F$60</formula>
    </cfRule>
  </conditionalFormatting>
  <conditionalFormatting sqref="G61">
    <cfRule type="cellIs" dxfId="344" priority="66" operator="greaterThan">
      <formula>$G$60</formula>
    </cfRule>
  </conditionalFormatting>
  <conditionalFormatting sqref="H61">
    <cfRule type="cellIs" dxfId="343" priority="65" operator="greaterThan">
      <formula>$H$60</formula>
    </cfRule>
  </conditionalFormatting>
  <conditionalFormatting sqref="I61">
    <cfRule type="cellIs" dxfId="342" priority="64" operator="greaterThan">
      <formula>$I$60</formula>
    </cfRule>
  </conditionalFormatting>
  <conditionalFormatting sqref="J61">
    <cfRule type="cellIs" dxfId="341" priority="63" operator="greaterThan">
      <formula>$J$60</formula>
    </cfRule>
  </conditionalFormatting>
  <conditionalFormatting sqref="K61">
    <cfRule type="cellIs" dxfId="340" priority="62" operator="greaterThan">
      <formula>$K$60</formula>
    </cfRule>
  </conditionalFormatting>
  <conditionalFormatting sqref="L61">
    <cfRule type="cellIs" dxfId="339" priority="61" operator="greaterThan">
      <formula>$L$60</formula>
    </cfRule>
  </conditionalFormatting>
  <conditionalFormatting sqref="C69">
    <cfRule type="cellIs" dxfId="338" priority="53" operator="greaterThan">
      <formula>$C$68</formula>
    </cfRule>
  </conditionalFormatting>
  <conditionalFormatting sqref="D69">
    <cfRule type="cellIs" dxfId="337" priority="52" operator="greaterThan">
      <formula>$D$68</formula>
    </cfRule>
  </conditionalFormatting>
  <conditionalFormatting sqref="E69">
    <cfRule type="cellIs" dxfId="336" priority="51" operator="greaterThan">
      <formula>$E$68</formula>
    </cfRule>
  </conditionalFormatting>
  <conditionalFormatting sqref="F69">
    <cfRule type="cellIs" dxfId="335" priority="50" operator="greaterThan">
      <formula>$F$68</formula>
    </cfRule>
  </conditionalFormatting>
  <conditionalFormatting sqref="G69">
    <cfRule type="cellIs" dxfId="334" priority="49" operator="greaterThan">
      <formula>$G$68</formula>
    </cfRule>
  </conditionalFormatting>
  <conditionalFormatting sqref="H69">
    <cfRule type="cellIs" dxfId="333" priority="48" operator="greaterThan">
      <formula>$H$68</formula>
    </cfRule>
  </conditionalFormatting>
  <conditionalFormatting sqref="I69">
    <cfRule type="cellIs" dxfId="332" priority="47" operator="greaterThan">
      <formula>$I$68</formula>
    </cfRule>
  </conditionalFormatting>
  <conditionalFormatting sqref="J69">
    <cfRule type="cellIs" dxfId="331" priority="46" operator="greaterThan">
      <formula>$J$68</formula>
    </cfRule>
  </conditionalFormatting>
  <conditionalFormatting sqref="K69">
    <cfRule type="cellIs" dxfId="330" priority="45" operator="greaterThan">
      <formula>$K$68</formula>
    </cfRule>
  </conditionalFormatting>
  <conditionalFormatting sqref="L69">
    <cfRule type="cellIs" dxfId="329" priority="44" operator="greaterThan">
      <formula>$L$68</formula>
    </cfRule>
  </conditionalFormatting>
  <conditionalFormatting sqref="C77">
    <cfRule type="cellIs" dxfId="328" priority="43" operator="greaterThan">
      <formula>$C$76</formula>
    </cfRule>
  </conditionalFormatting>
  <conditionalFormatting sqref="D77">
    <cfRule type="cellIs" dxfId="327" priority="42" operator="greaterThan">
      <formula>$D$76</formula>
    </cfRule>
  </conditionalFormatting>
  <conditionalFormatting sqref="E77">
    <cfRule type="cellIs" dxfId="326" priority="41" operator="greaterThan">
      <formula>$E$76</formula>
    </cfRule>
  </conditionalFormatting>
  <conditionalFormatting sqref="F77">
    <cfRule type="cellIs" dxfId="325" priority="40" operator="greaterThan">
      <formula>$F$76</formula>
    </cfRule>
  </conditionalFormatting>
  <conditionalFormatting sqref="G77">
    <cfRule type="cellIs" dxfId="324" priority="39" operator="greaterThan">
      <formula>$G$76</formula>
    </cfRule>
  </conditionalFormatting>
  <conditionalFormatting sqref="H77">
    <cfRule type="cellIs" dxfId="323" priority="38" operator="greaterThan">
      <formula>$H$76</formula>
    </cfRule>
  </conditionalFormatting>
  <conditionalFormatting sqref="I77">
    <cfRule type="cellIs" dxfId="322" priority="37" operator="greaterThan">
      <formula>$I$76</formula>
    </cfRule>
  </conditionalFormatting>
  <conditionalFormatting sqref="J77">
    <cfRule type="cellIs" dxfId="321" priority="36" operator="greaterThan">
      <formula>$J$76</formula>
    </cfRule>
  </conditionalFormatting>
  <conditionalFormatting sqref="K77">
    <cfRule type="cellIs" dxfId="320" priority="35" operator="greaterThan">
      <formula>$K$76</formula>
    </cfRule>
  </conditionalFormatting>
  <conditionalFormatting sqref="L77">
    <cfRule type="cellIs" dxfId="319" priority="34" operator="greaterThan">
      <formula>$L$76</formula>
    </cfRule>
  </conditionalFormatting>
  <conditionalFormatting sqref="C85:L85">
    <cfRule type="cellIs" dxfId="318" priority="33" operator="greaterThan">
      <formula>$C$84</formula>
    </cfRule>
  </conditionalFormatting>
  <conditionalFormatting sqref="C93">
    <cfRule type="cellIs" dxfId="317" priority="32" operator="greaterThan">
      <formula>$C$92</formula>
    </cfRule>
  </conditionalFormatting>
  <conditionalFormatting sqref="D93">
    <cfRule type="cellIs" dxfId="316" priority="31" operator="greaterThan">
      <formula>$D$92</formula>
    </cfRule>
  </conditionalFormatting>
  <conditionalFormatting sqref="E93">
    <cfRule type="cellIs" dxfId="315" priority="30" operator="greaterThan">
      <formula>$E$92</formula>
    </cfRule>
  </conditionalFormatting>
  <conditionalFormatting sqref="F93">
    <cfRule type="cellIs" dxfId="314" priority="29" operator="greaterThan">
      <formula>$F$92</formula>
    </cfRule>
  </conditionalFormatting>
  <conditionalFormatting sqref="G93">
    <cfRule type="cellIs" dxfId="313" priority="28" operator="greaterThan">
      <formula>$G$92</formula>
    </cfRule>
  </conditionalFormatting>
  <conditionalFormatting sqref="H93">
    <cfRule type="cellIs" dxfId="312" priority="27" operator="greaterThan">
      <formula>$H$92</formula>
    </cfRule>
  </conditionalFormatting>
  <conditionalFormatting sqref="I93">
    <cfRule type="cellIs" dxfId="311" priority="26" operator="greaterThan">
      <formula>$I$92</formula>
    </cfRule>
  </conditionalFormatting>
  <conditionalFormatting sqref="J93">
    <cfRule type="cellIs" dxfId="310" priority="25" operator="greaterThan">
      <formula>$J$92</formula>
    </cfRule>
  </conditionalFormatting>
  <conditionalFormatting sqref="K93">
    <cfRule type="cellIs" dxfId="309" priority="24" operator="greaterThan">
      <formula>$K$92</formula>
    </cfRule>
  </conditionalFormatting>
  <conditionalFormatting sqref="L93">
    <cfRule type="cellIs" dxfId="308" priority="23" operator="greaterThan">
      <formula>$L$92</formula>
    </cfRule>
  </conditionalFormatting>
  <conditionalFormatting sqref="C101">
    <cfRule type="cellIs" dxfId="307" priority="22" operator="greaterThan">
      <formula>$C$100</formula>
    </cfRule>
  </conditionalFormatting>
  <conditionalFormatting sqref="D101">
    <cfRule type="cellIs" dxfId="306" priority="21" operator="greaterThan">
      <formula>$D$100</formula>
    </cfRule>
  </conditionalFormatting>
  <conditionalFormatting sqref="E101">
    <cfRule type="cellIs" dxfId="305" priority="20" operator="greaterThan">
      <formula>$E$100</formula>
    </cfRule>
  </conditionalFormatting>
  <conditionalFormatting sqref="F101">
    <cfRule type="cellIs" dxfId="304" priority="19" operator="greaterThan">
      <formula>$F$100</formula>
    </cfRule>
  </conditionalFormatting>
  <conditionalFormatting sqref="G101">
    <cfRule type="cellIs" dxfId="303" priority="18" operator="greaterThan">
      <formula>$G$100</formula>
    </cfRule>
  </conditionalFormatting>
  <conditionalFormatting sqref="H101">
    <cfRule type="cellIs" dxfId="302" priority="17" operator="greaterThan">
      <formula>$H$100</formula>
    </cfRule>
  </conditionalFormatting>
  <conditionalFormatting sqref="I101">
    <cfRule type="cellIs" dxfId="301" priority="16" operator="greaterThan">
      <formula>$I$100</formula>
    </cfRule>
  </conditionalFormatting>
  <conditionalFormatting sqref="J101">
    <cfRule type="cellIs" dxfId="300" priority="15" operator="greaterThan">
      <formula>$J$100</formula>
    </cfRule>
  </conditionalFormatting>
  <conditionalFormatting sqref="K101">
    <cfRule type="cellIs" dxfId="299" priority="14" operator="greaterThan">
      <formula>$K$100</formula>
    </cfRule>
  </conditionalFormatting>
  <conditionalFormatting sqref="L101">
    <cfRule type="cellIs" dxfId="298"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7C698C47-4FB9-494A-AE3D-E067138C3DA4}">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CA673E3A-0573-4C4D-97EC-ADE3403833DE}">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30B59755-79D6-4C3F-A831-04B67BBCEB4D}">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8BFB63ED-E67D-4377-8943-83B355D328BC}">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1E229F36-8FC9-444A-8388-B7D0011BF132}">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5357DFB2-3891-48E1-B27F-CD234EB2CD57}">
            <xm:f>PowellReleaseTemperature!$B$10</xm:f>
            <x14:dxf>
              <font>
                <color auto="1"/>
              </font>
              <fill>
                <patternFill>
                  <bgColor theme="4"/>
                </patternFill>
              </fill>
            </x14:dxf>
          </x14:cfRule>
          <x14:cfRule type="cellIs" priority="9" operator="equal" id="{43E8EC42-89FE-49C2-B4CA-7EDC00E56C24}">
            <xm:f>PowellReleaseTemperature!$B$9</xm:f>
            <x14:dxf>
              <font>
                <color theme="4" tint="-0.24994659260841701"/>
              </font>
              <fill>
                <patternFill>
                  <bgColor theme="8" tint="0.59996337778862885"/>
                </patternFill>
              </fill>
            </x14:dxf>
          </x14:cfRule>
          <x14:cfRule type="cellIs" priority="10" operator="equal" id="{B16FC9FC-6E25-4AE2-9518-C25A97A3B86D}">
            <xm:f>PowellReleaseTemperature!$B$8</xm:f>
            <x14:dxf>
              <font>
                <color rgb="FF9C0006"/>
              </font>
              <fill>
                <patternFill>
                  <bgColor rgb="FFFFC7CE"/>
                </patternFill>
              </fill>
            </x14:dxf>
          </x14:cfRule>
          <x14:cfRule type="cellIs" priority="1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2968B8F7-FEAC-4C07-B447-FEC1EC951C4E}">
            <xm:f>PowellReleaseTemperature!$E$5</xm:f>
            <x14:dxf>
              <font>
                <color auto="1"/>
              </font>
              <fill>
                <patternFill>
                  <bgColor rgb="FFFF0000"/>
                </patternFill>
              </fill>
            </x14:dxf>
          </x14:cfRule>
          <x14:cfRule type="cellIs" priority="5" operator="equal" id="{76D7FC8D-E86E-42C5-81AF-FCF368FB1D13}">
            <xm:f>PowellReleaseTemperature!$E$8</xm:f>
            <x14:dxf>
              <font>
                <color rgb="FF9C0006"/>
              </font>
              <fill>
                <patternFill>
                  <bgColor rgb="FFFFC7CE"/>
                </patternFill>
              </fill>
            </x14:dxf>
          </x14:cfRule>
          <x14:cfRule type="cellIs" priority="6" operator="equal" id="{1F7066A3-FA24-4095-AE9A-6EC5B7904A42}">
            <xm:f>PowellReleaseTemperature!$E$9</xm:f>
            <x14:dxf>
              <font>
                <color theme="4" tint="-0.24994659260841701"/>
              </font>
              <fill>
                <patternFill>
                  <bgColor theme="8" tint="0.59996337778862885"/>
                </patternFill>
              </fill>
            </x14:dxf>
          </x14:cfRule>
          <x14:cfRule type="cellIs" priority="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B018FE02-F2BE-42C4-AA72-9C14DC2ACA4C}">
            <xm:f>PowellReleaseTemperature!$F$10</xm:f>
            <x14:dxf>
              <font>
                <color auto="1"/>
              </font>
              <fill>
                <patternFill>
                  <bgColor theme="4"/>
                </patternFill>
              </fill>
            </x14:dxf>
          </x14:cfRule>
          <x14:cfRule type="cellIs" priority="2" operator="equal" id="{8DE5451E-5BDE-44DE-BA85-D7842A320DCA}">
            <xm:f>PowellReleaseTemperature!$F$9</xm:f>
            <x14:dxf>
              <font>
                <color theme="4" tint="-0.24994659260841701"/>
              </font>
              <fill>
                <patternFill>
                  <bgColor theme="8" tint="0.59996337778862885"/>
                </patternFill>
              </fill>
            </x14:dxf>
          </x14:cfRule>
          <x14:cfRule type="cellIs" priority="3" operator="equal" id="{3F46F846-A686-4908-8443-3AC42C4A3A46}">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25" zoomScale="150" zoomScaleNormal="150" workbookViewId="0">
      <selection activeCell="H39"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64"/>
      <c r="I3" s="64"/>
      <c r="J3" s="64"/>
      <c r="K3" s="64"/>
    </row>
    <row r="4" spans="1:13" x14ac:dyDescent="0.35">
      <c r="A4" s="53" t="s">
        <v>38</v>
      </c>
      <c r="B4" s="53" t="s">
        <v>42</v>
      </c>
      <c r="C4" s="134" t="s">
        <v>43</v>
      </c>
      <c r="D4" s="135"/>
      <c r="E4" s="135"/>
      <c r="F4" s="135"/>
      <c r="G4" s="136"/>
      <c r="M4" s="1" t="s">
        <v>321</v>
      </c>
    </row>
    <row r="5" spans="1:13" x14ac:dyDescent="0.35">
      <c r="A5" s="157" t="s">
        <v>39</v>
      </c>
      <c r="B5" s="157" t="s">
        <v>153</v>
      </c>
      <c r="C5" s="165" t="s">
        <v>324</v>
      </c>
      <c r="D5" s="158"/>
      <c r="E5" s="158"/>
      <c r="F5" s="158"/>
      <c r="G5" s="158"/>
      <c r="M5" t="s">
        <v>322</v>
      </c>
    </row>
    <row r="6" spans="1:13" x14ac:dyDescent="0.35">
      <c r="A6" s="157" t="s">
        <v>40</v>
      </c>
      <c r="B6" s="157" t="s">
        <v>153</v>
      </c>
      <c r="C6" s="165" t="s">
        <v>325</v>
      </c>
      <c r="D6" s="158"/>
      <c r="E6" s="158"/>
      <c r="F6" s="158"/>
      <c r="G6" s="158"/>
      <c r="M6" t="s">
        <v>327</v>
      </c>
    </row>
    <row r="7" spans="1:13" x14ac:dyDescent="0.35">
      <c r="A7" s="157" t="s">
        <v>41</v>
      </c>
      <c r="B7" s="157" t="s">
        <v>153</v>
      </c>
      <c r="C7" s="165" t="s">
        <v>326</v>
      </c>
      <c r="D7" s="158"/>
      <c r="E7" s="158"/>
      <c r="F7" s="158"/>
      <c r="G7" s="158"/>
      <c r="M7" t="s">
        <v>328</v>
      </c>
    </row>
    <row r="8" spans="1:13" x14ac:dyDescent="0.35">
      <c r="A8" s="111" t="s">
        <v>157</v>
      </c>
      <c r="B8" s="111" t="s">
        <v>153</v>
      </c>
      <c r="C8" s="132" t="s">
        <v>323</v>
      </c>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v>11</v>
      </c>
      <c r="D26" s="170">
        <v>9</v>
      </c>
      <c r="E26" s="170">
        <v>8.1</v>
      </c>
      <c r="F26" s="170">
        <v>8.1</v>
      </c>
      <c r="G26" s="170">
        <v>8.1</v>
      </c>
      <c r="H26" s="170"/>
      <c r="I26" s="170"/>
      <c r="J26" s="170"/>
      <c r="K26" s="170"/>
      <c r="L26" s="170"/>
    </row>
    <row r="27" spans="1:14" x14ac:dyDescent="0.35">
      <c r="A27" s="1" t="s">
        <v>121</v>
      </c>
      <c r="B27" s="1"/>
      <c r="C27" s="169">
        <f>IF(C$26&lt;&gt;"",0.8,"")</f>
        <v>0.8</v>
      </c>
      <c r="D27" s="169">
        <f t="shared" ref="D27:L27" si="0">IF(D$26&lt;&gt;"",0.8,"")</f>
        <v>0.8</v>
      </c>
      <c r="E27" s="169">
        <f t="shared" si="0"/>
        <v>0.8</v>
      </c>
      <c r="F27" s="169">
        <f t="shared" si="0"/>
        <v>0.8</v>
      </c>
      <c r="G27" s="169">
        <f t="shared" si="0"/>
        <v>0.8</v>
      </c>
      <c r="H27" s="169" t="str">
        <f t="shared" si="0"/>
        <v/>
      </c>
      <c r="I27" s="169" t="str">
        <f t="shared" si="0"/>
        <v/>
      </c>
      <c r="J27" s="169" t="str">
        <f t="shared" si="0"/>
        <v/>
      </c>
      <c r="K27" s="169" t="str">
        <f t="shared" si="0"/>
        <v/>
      </c>
      <c r="L27" s="169" t="str">
        <f t="shared" si="0"/>
        <v/>
      </c>
    </row>
    <row r="28" spans="1:14" x14ac:dyDescent="0.35">
      <c r="A28" s="1" t="s">
        <v>305</v>
      </c>
      <c r="B28" s="1"/>
      <c r="C28" s="169">
        <f>IF(C$26&lt;&gt;"",0.6,"")</f>
        <v>0.6</v>
      </c>
      <c r="D28" s="169">
        <f t="shared" ref="D28:L28" si="1">IF(D$26&lt;&gt;"",0.6,"")</f>
        <v>0.6</v>
      </c>
      <c r="E28" s="169">
        <f t="shared" si="1"/>
        <v>0.6</v>
      </c>
      <c r="F28" s="169">
        <f t="shared" si="1"/>
        <v>0.6</v>
      </c>
      <c r="G28" s="169">
        <f t="shared" si="1"/>
        <v>0.6</v>
      </c>
      <c r="H28" s="169" t="str">
        <f t="shared" si="1"/>
        <v/>
      </c>
      <c r="I28" s="169" t="str">
        <f t="shared" si="1"/>
        <v/>
      </c>
      <c r="J28" s="169" t="str">
        <f t="shared" si="1"/>
        <v/>
      </c>
      <c r="K28" s="169" t="str">
        <f t="shared" si="1"/>
        <v/>
      </c>
      <c r="L28" s="169" t="str">
        <f t="shared" si="1"/>
        <v/>
      </c>
    </row>
    <row r="29" spans="1:14" x14ac:dyDescent="0.35">
      <c r="A29" s="1" t="s">
        <v>124</v>
      </c>
      <c r="B29" s="114">
        <f>SUM(B30:B35)-SUM(B21:C21)</f>
        <v>0</v>
      </c>
      <c r="C29" s="14">
        <f>IF(C$26&lt;&gt;"",SUM(B21:C21),"")</f>
        <v>21.1</v>
      </c>
      <c r="D29" s="14">
        <f ca="1">IF(D$26&lt;&gt;"",C127,"")</f>
        <v>19.278102320000027</v>
      </c>
      <c r="E29" s="14">
        <f t="shared" ref="E29:L29" ca="1" si="2">IF(E$26&lt;&gt;"",D127,"")</f>
        <v>16.611442566000601</v>
      </c>
      <c r="F29" s="14">
        <f t="shared" ca="1" si="2"/>
        <v>14.115209246000601</v>
      </c>
      <c r="G29" s="14">
        <f t="shared" ca="1" si="2"/>
        <v>13.103063047500001</v>
      </c>
      <c r="H29" s="14" t="str">
        <f t="shared" si="2"/>
        <v/>
      </c>
      <c r="I29" s="14" t="str">
        <f t="shared" si="2"/>
        <v/>
      </c>
      <c r="J29" s="14" t="str">
        <f t="shared" si="2"/>
        <v/>
      </c>
      <c r="K29" s="14" t="str">
        <f t="shared" si="2"/>
        <v/>
      </c>
      <c r="L29" s="14" t="str">
        <f t="shared" si="2"/>
        <v/>
      </c>
    </row>
    <row r="30" spans="1:14" x14ac:dyDescent="0.35">
      <c r="A30" t="str">
        <f>IF(A5="","","    "&amp;A5&amp;" Balance")</f>
        <v xml:space="preserve">    Upper Basin Balance</v>
      </c>
      <c r="B30" s="115">
        <f>B21-B23</f>
        <v>5.0734237499999999</v>
      </c>
      <c r="C30" s="112">
        <f>IF(OR(C$26="",$A30=""),"",B30)</f>
        <v>5.0734237499999999</v>
      </c>
      <c r="D30" s="14">
        <f ca="1">IF(OR(D$26="",$A30=""),"",C121)</f>
        <v>3.5040452368981789</v>
      </c>
      <c r="E30" s="14">
        <f t="shared" ref="E30:L30" ca="1" si="3">IF(OR(E$26="",$A30=""),"",D121)</f>
        <v>1.8046756171877996</v>
      </c>
      <c r="F30" s="14">
        <f t="shared" ca="1" si="3"/>
        <v>1.5073083708761699</v>
      </c>
      <c r="G30" s="14">
        <f t="shared" ca="1" si="3"/>
        <v>0.82058243277347653</v>
      </c>
      <c r="H30" s="14" t="str">
        <f t="shared" si="3"/>
        <v/>
      </c>
      <c r="I30" s="14" t="str">
        <f t="shared" si="3"/>
        <v/>
      </c>
      <c r="J30" s="14" t="str">
        <f t="shared" si="3"/>
        <v/>
      </c>
      <c r="K30" s="14" t="str">
        <f t="shared" si="3"/>
        <v/>
      </c>
      <c r="L30" s="14" t="str">
        <f t="shared" si="3"/>
        <v/>
      </c>
      <c r="N30" t="s">
        <v>177</v>
      </c>
    </row>
    <row r="31" spans="1:14" x14ac:dyDescent="0.35">
      <c r="A31" t="str">
        <f>IF(A6="","","    "&amp;A6&amp;" Balance")</f>
        <v xml:space="preserve">    Lower Basin Balance</v>
      </c>
      <c r="B31" s="115">
        <f>C21-C23-B32</f>
        <v>4.2614069999999993</v>
      </c>
      <c r="C31" s="112">
        <f t="shared" ref="C31:C35" si="4">IF(OR(C$26="",$A31=""),"",B31)</f>
        <v>4.2614069999999993</v>
      </c>
      <c r="D31" s="14">
        <f t="shared" ref="D31:L31" ca="1" si="5">IF(OR(D$26="",$A31=""),"",C122)</f>
        <v>4.0699815232907888</v>
      </c>
      <c r="E31" s="14">
        <f t="shared" ca="1" si="5"/>
        <v>2.8610195042827629</v>
      </c>
      <c r="F31" s="14">
        <f t="shared" ca="1" si="5"/>
        <v>0.86795057260783626</v>
      </c>
      <c r="G31" s="14">
        <f t="shared" ca="1" si="5"/>
        <v>0.63775738801431459</v>
      </c>
      <c r="H31" s="14" t="str">
        <f t="shared" si="5"/>
        <v/>
      </c>
      <c r="I31" s="14" t="str">
        <f t="shared" si="5"/>
        <v/>
      </c>
      <c r="J31" s="14" t="str">
        <f t="shared" si="5"/>
        <v/>
      </c>
      <c r="K31" s="14" t="str">
        <f t="shared" si="5"/>
        <v/>
      </c>
      <c r="L31" s="14" t="str">
        <f t="shared" si="5"/>
        <v/>
      </c>
      <c r="N31" t="s">
        <v>174</v>
      </c>
    </row>
    <row r="32" spans="1:14" x14ac:dyDescent="0.35">
      <c r="A32" t="str">
        <f>IF(A7="","","    "&amp;A7&amp;" Balance")</f>
        <v xml:space="preserve">    Mexico Balance</v>
      </c>
      <c r="B32" s="116">
        <v>0.17399999999999999</v>
      </c>
      <c r="C32" s="113">
        <f t="shared" si="4"/>
        <v>0.17399999999999999</v>
      </c>
      <c r="D32" s="52">
        <f t="shared" ref="D32:L32" ca="1" si="6">IF(OR(D$26="",$A32=""),"",C123)</f>
        <v>0.11290630981105854</v>
      </c>
      <c r="E32" s="52">
        <f t="shared" ca="1" si="6"/>
        <v>0.35457819453003792</v>
      </c>
      <c r="F32" s="52">
        <f t="shared" ca="1" si="6"/>
        <v>0.14878105251659535</v>
      </c>
      <c r="G32" s="52">
        <f t="shared" ca="1" si="6"/>
        <v>5.3553976712210183E-2</v>
      </c>
      <c r="H32" s="14" t="str">
        <f t="shared" si="6"/>
        <v/>
      </c>
      <c r="I32" s="14" t="str">
        <f t="shared" si="6"/>
        <v/>
      </c>
      <c r="J32" s="14" t="str">
        <f t="shared" si="6"/>
        <v/>
      </c>
      <c r="K32" s="14" t="str">
        <f t="shared" si="6"/>
        <v/>
      </c>
      <c r="L32" s="14" t="str">
        <f t="shared" si="6"/>
        <v/>
      </c>
      <c r="N32" t="s">
        <v>173</v>
      </c>
    </row>
    <row r="33" spans="1:14" x14ac:dyDescent="0.35">
      <c r="A33" t="str">
        <f>IF(A8="","","    "&amp;A8&amp;" Balance")</f>
        <v xml:space="preserve">    Shared, Reserve Balance</v>
      </c>
      <c r="B33" s="115">
        <f>SUM(B23:C23)</f>
        <v>11.59116925</v>
      </c>
      <c r="C33" s="112">
        <f t="shared" si="4"/>
        <v>11.59116925</v>
      </c>
      <c r="D33" s="14">
        <f t="shared" ref="D33:L33" ca="1" si="7">IF(OR(D$26="",$A33=""),"",C124)</f>
        <v>11.59116925</v>
      </c>
      <c r="E33" s="14">
        <f t="shared" ca="1" si="7"/>
        <v>11.59116925</v>
      </c>
      <c r="F33" s="14">
        <f t="shared" ca="1" si="7"/>
        <v>11.59116925</v>
      </c>
      <c r="G33" s="14">
        <f t="shared" ca="1" si="7"/>
        <v>11.59116925</v>
      </c>
      <c r="H33" s="14" t="str">
        <f t="shared" si="7"/>
        <v/>
      </c>
      <c r="I33" s="14" t="str">
        <f t="shared" si="7"/>
        <v/>
      </c>
      <c r="J33" s="14" t="str">
        <f t="shared" si="7"/>
        <v/>
      </c>
      <c r="K33" s="14" t="str">
        <f t="shared" si="7"/>
        <v/>
      </c>
      <c r="L33" s="14" t="str">
        <f t="shared" si="7"/>
        <v/>
      </c>
    </row>
    <row r="34" spans="1:14" x14ac:dyDescent="0.35">
      <c r="A34" t="str">
        <f>IF(A9="","","    "&amp;A9&amp;" Balance")</f>
        <v/>
      </c>
      <c r="B34" s="115"/>
      <c r="C34" s="112" t="str">
        <f t="shared" si="4"/>
        <v/>
      </c>
      <c r="D34" s="14" t="str">
        <f t="shared" ref="D34:L34" si="8">IF(OR(D$26="",$A34=""),"",C125)</f>
        <v/>
      </c>
      <c r="E34" s="14" t="str">
        <f t="shared" si="8"/>
        <v/>
      </c>
      <c r="F34" s="14" t="str">
        <f t="shared" si="8"/>
        <v/>
      </c>
      <c r="G34" s="14" t="str">
        <f t="shared" si="8"/>
        <v/>
      </c>
      <c r="H34" s="14" t="str">
        <f t="shared" si="8"/>
        <v/>
      </c>
      <c r="I34" s="14" t="str">
        <f t="shared" si="8"/>
        <v/>
      </c>
      <c r="J34" s="14" t="str">
        <f t="shared" si="8"/>
        <v/>
      </c>
      <c r="K34" s="14" t="str">
        <f t="shared" si="8"/>
        <v/>
      </c>
      <c r="L34" s="14" t="str">
        <f t="shared" si="8"/>
        <v/>
      </c>
      <c r="N34" t="s">
        <v>176</v>
      </c>
    </row>
    <row r="35" spans="1:14" x14ac:dyDescent="0.35">
      <c r="A35" t="str">
        <f>IF(A10="","","    "&amp;A10&amp;" Balance")</f>
        <v/>
      </c>
      <c r="B35" s="117"/>
      <c r="C35" s="112" t="str">
        <f t="shared" si="4"/>
        <v/>
      </c>
      <c r="D35" s="14" t="str">
        <f t="shared" ref="D35:L35" si="9">IF(OR(D$26="",$A35=""),"",C126)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196</v>
      </c>
      <c r="C36"/>
    </row>
    <row r="37" spans="1:14" x14ac:dyDescent="0.35">
      <c r="A37" t="s">
        <v>113</v>
      </c>
      <c r="C37" s="14">
        <f>IF(C$26&lt;&gt;"",B21,"")</f>
        <v>11</v>
      </c>
      <c r="D37" s="14">
        <f ca="1">IF(D$26&lt;&gt;"",C129,"")</f>
        <v>9.6390511600000135</v>
      </c>
      <c r="E37" s="14">
        <f t="shared" ref="E37:G37" ca="1" si="10">IF(E$26&lt;&gt;"",D129,"")</f>
        <v>10.797437667900391</v>
      </c>
      <c r="F37" s="14">
        <f t="shared" ca="1" si="10"/>
        <v>12.703688321400541</v>
      </c>
      <c r="G37" s="14">
        <f t="shared" ca="1" si="10"/>
        <v>6.5515315237500005</v>
      </c>
      <c r="H37" s="14" t="str">
        <f t="shared" ref="H37:H38" si="11">IF(H$26&lt;&gt;"",G129,"")</f>
        <v/>
      </c>
      <c r="I37" s="14" t="str">
        <f t="shared" ref="I37:I38" si="12">IF(I$26&lt;&gt;"",H129,"")</f>
        <v/>
      </c>
      <c r="J37" s="14" t="str">
        <f t="shared" ref="J37:J38" si="13">IF(J$26&lt;&gt;"",I129,"")</f>
        <v/>
      </c>
      <c r="K37" s="14" t="str">
        <f t="shared" ref="K37:K38" si="14">IF(K$26&lt;&gt;"",J129,"")</f>
        <v/>
      </c>
      <c r="L37" s="14" t="str">
        <f t="shared" ref="L37:L38" si="15">IF(L$26&lt;&gt;"",K129,"")</f>
        <v/>
      </c>
    </row>
    <row r="38" spans="1:14" x14ac:dyDescent="0.35">
      <c r="A38" t="s">
        <v>114</v>
      </c>
      <c r="C38" s="14">
        <f>IF(C$26&lt;&gt;"",C21,"")</f>
        <v>10.1</v>
      </c>
      <c r="D38" s="14">
        <f ca="1">IF(D$26&lt;&gt;"",C130,"")</f>
        <v>9.6390511600000135</v>
      </c>
      <c r="E38" s="14">
        <f t="shared" ref="E38:G38" ca="1" si="16">IF(E$26&lt;&gt;"",D130,"")</f>
        <v>5.8140048981002099</v>
      </c>
      <c r="F38" s="14">
        <f t="shared" ca="1" si="16"/>
        <v>1.4115209246000597</v>
      </c>
      <c r="G38" s="14">
        <f t="shared" ca="1" si="16"/>
        <v>6.5515315237500005</v>
      </c>
      <c r="H38" s="14" t="str">
        <f t="shared" si="11"/>
        <v/>
      </c>
      <c r="I38" s="14" t="str">
        <f t="shared" si="12"/>
        <v/>
      </c>
      <c r="J38" s="14" t="str">
        <f t="shared" si="13"/>
        <v/>
      </c>
      <c r="K38" s="14" t="str">
        <f t="shared" si="14"/>
        <v/>
      </c>
      <c r="L38" s="14" t="str">
        <f t="shared" si="15"/>
        <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IF(A5="","","    "&amp;A5&amp;" Share")</f>
        <v xml:space="preserve">    Upper Basin Share</v>
      </c>
      <c r="B40" s="1"/>
      <c r="C40" s="14">
        <f t="shared" ref="C40:C45" si="17">IF(OR(C$26="",$A40=""),"",C$39*C30/C$29)</f>
        <v>0.24571184643515467</v>
      </c>
      <c r="D40" s="14">
        <f t="shared" ref="D40:L40" ca="1" si="18">IF(OR(D$26="",$A40=""),"",D$39*D30/D$29)</f>
        <v>0.17570295304371292</v>
      </c>
      <c r="E40" s="14">
        <f t="shared" ca="1" si="18"/>
        <v>9.7367246311629713E-2</v>
      </c>
      <c r="F40" s="14">
        <f t="shared" ca="1" si="18"/>
        <v>8.6725938102693426E-2</v>
      </c>
      <c r="G40" s="14">
        <f t="shared" ca="1" si="18"/>
        <v>4.8433847040144681E-2</v>
      </c>
      <c r="H40" s="14" t="str">
        <f t="shared" si="18"/>
        <v/>
      </c>
      <c r="I40" s="14" t="str">
        <f t="shared" si="18"/>
        <v/>
      </c>
      <c r="J40" s="14" t="str">
        <f t="shared" si="18"/>
        <v/>
      </c>
      <c r="K40" s="14" t="str">
        <f t="shared" si="18"/>
        <v/>
      </c>
      <c r="L40" s="14" t="str">
        <f t="shared" si="18"/>
        <v/>
      </c>
    </row>
    <row r="41" spans="1:14" x14ac:dyDescent="0.35">
      <c r="A41" t="str">
        <f>IF(A6="","","    "&amp;A6&amp;" Share")</f>
        <v xml:space="preserve">    Lower Basin Share</v>
      </c>
      <c r="B41" s="1"/>
      <c r="C41" s="14">
        <f t="shared" si="17"/>
        <v>0.20638492544244763</v>
      </c>
      <c r="D41" s="14">
        <f t="shared" ref="D41:L41" ca="1" si="19">IF(OR(D$26="",$A41=""),"",D$39*D31/D$29)</f>
        <v>0.2040806337045358</v>
      </c>
      <c r="E41" s="14">
        <f t="shared" ca="1" si="19"/>
        <v>0.15435992381277225</v>
      </c>
      <c r="F41" s="14">
        <f t="shared" ca="1" si="19"/>
        <v>4.9939235454805622E-2</v>
      </c>
      <c r="G41" s="14">
        <f t="shared" ca="1" si="19"/>
        <v>3.7642828491229102E-2</v>
      </c>
      <c r="H41" s="14" t="str">
        <f t="shared" si="19"/>
        <v/>
      </c>
      <c r="I41" s="14" t="str">
        <f t="shared" si="19"/>
        <v/>
      </c>
      <c r="J41" s="14" t="str">
        <f t="shared" si="19"/>
        <v/>
      </c>
      <c r="K41" s="14" t="str">
        <f t="shared" si="19"/>
        <v/>
      </c>
      <c r="L41" s="14" t="str">
        <f t="shared" si="19"/>
        <v/>
      </c>
    </row>
    <row r="42" spans="1:14" x14ac:dyDescent="0.35">
      <c r="A42" t="str">
        <f>IF(A7="","","    "&amp;A7&amp;" Share")</f>
        <v xml:space="preserve">    Mexico Share</v>
      </c>
      <c r="B42" s="1"/>
      <c r="C42" s="14">
        <f t="shared" si="17"/>
        <v>8.4270235222746598E-3</v>
      </c>
      <c r="D42" s="14">
        <f t="shared" ref="D42:L42" ca="1" si="20">IF(OR(D$26="",$A42=""),"",D$39*D32/D$29)</f>
        <v>5.6614486143541122E-3</v>
      </c>
      <c r="E42" s="14">
        <f t="shared" ca="1" si="20"/>
        <v>1.9130475346776109E-2</v>
      </c>
      <c r="F42" s="14">
        <f t="shared" ca="1" si="20"/>
        <v>8.560409137718418E-3</v>
      </c>
      <c r="G42" s="14">
        <f t="shared" ca="1" si="20"/>
        <v>3.1609561853570521E-3</v>
      </c>
      <c r="H42" s="14" t="str">
        <f t="shared" si="20"/>
        <v/>
      </c>
      <c r="I42" s="14" t="str">
        <f t="shared" si="20"/>
        <v/>
      </c>
      <c r="J42" s="14" t="str">
        <f t="shared" si="20"/>
        <v/>
      </c>
      <c r="K42" s="14" t="str">
        <f t="shared" si="20"/>
        <v/>
      </c>
      <c r="L42" s="14" t="str">
        <f t="shared" si="20"/>
        <v/>
      </c>
    </row>
    <row r="43" spans="1:14" x14ac:dyDescent="0.35">
      <c r="A43" t="str">
        <f>IF(A8="","","    "&amp;A8&amp;" Share")</f>
        <v xml:space="preserve">    Shared, Reserve Share</v>
      </c>
      <c r="B43" s="1"/>
      <c r="C43" s="14">
        <f t="shared" si="17"/>
        <v>0.56137388460009618</v>
      </c>
      <c r="D43" s="14">
        <f t="shared" ref="D43:L43" ca="1" si="21">IF(OR(D$26="",$A43=""),"",D$39*D33/D$29)</f>
        <v>0.58121471863682417</v>
      </c>
      <c r="E43" s="14">
        <f t="shared" ca="1" si="21"/>
        <v>0.62537567452882203</v>
      </c>
      <c r="F43" s="14">
        <f t="shared" ca="1" si="21"/>
        <v>0.66692061580538275</v>
      </c>
      <c r="G43" s="14">
        <f t="shared" ca="1" si="21"/>
        <v>0.68415420078326927</v>
      </c>
      <c r="H43" s="14" t="str">
        <f t="shared" si="21"/>
        <v/>
      </c>
      <c r="I43" s="14" t="str">
        <f t="shared" si="21"/>
        <v/>
      </c>
      <c r="J43" s="14" t="str">
        <f t="shared" si="21"/>
        <v/>
      </c>
      <c r="K43" s="14" t="str">
        <f t="shared" si="21"/>
        <v/>
      </c>
      <c r="L43" s="14" t="str">
        <f t="shared" si="21"/>
        <v/>
      </c>
    </row>
    <row r="44" spans="1:14" x14ac:dyDescent="0.35">
      <c r="A44" t="str">
        <f>IF(A9="","","    "&amp;A9&amp;" Share")</f>
        <v/>
      </c>
      <c r="B44" s="1"/>
      <c r="C44" s="14" t="str">
        <f t="shared" si="17"/>
        <v/>
      </c>
      <c r="D44" s="14" t="str">
        <f t="shared" ref="D44:L44" si="22">IF(OR(D$26="",$A44=""),"",D$39*D34/D$29)</f>
        <v/>
      </c>
      <c r="E44" s="14" t="str">
        <f t="shared" si="22"/>
        <v/>
      </c>
      <c r="F44" s="14" t="str">
        <f t="shared" si="22"/>
        <v/>
      </c>
      <c r="G44" s="14" t="str">
        <f t="shared" si="22"/>
        <v/>
      </c>
      <c r="H44" s="14" t="str">
        <f t="shared" si="22"/>
        <v/>
      </c>
      <c r="I44" s="14" t="str">
        <f t="shared" si="22"/>
        <v/>
      </c>
      <c r="J44" s="14" t="str">
        <f t="shared" si="22"/>
        <v/>
      </c>
      <c r="K44" s="14" t="str">
        <f t="shared" si="22"/>
        <v/>
      </c>
      <c r="L44" s="14" t="str">
        <f t="shared" si="22"/>
        <v/>
      </c>
    </row>
    <row r="45" spans="1:14" x14ac:dyDescent="0.35">
      <c r="A45" t="str">
        <f>IF(A10="","","    "&amp;A10&amp;" Share")</f>
        <v/>
      </c>
      <c r="B45" s="1"/>
      <c r="C45" s="14" t="str">
        <f t="shared" si="17"/>
        <v/>
      </c>
      <c r="D45" s="14" t="str">
        <f t="shared" ref="D45:L45" si="23">IF(OR(D$26="",$A45=""),"",D$39*D35/D$29)</f>
        <v/>
      </c>
      <c r="E45" s="14" t="str">
        <f t="shared" si="23"/>
        <v/>
      </c>
      <c r="F45" s="14" t="str">
        <f t="shared" si="23"/>
        <v/>
      </c>
      <c r="G45" s="14" t="str">
        <f t="shared" si="23"/>
        <v/>
      </c>
      <c r="H45" s="14" t="str">
        <f t="shared" si="23"/>
        <v/>
      </c>
      <c r="I45" s="14" t="str">
        <f t="shared" si="23"/>
        <v/>
      </c>
      <c r="J45" s="14" t="str">
        <f t="shared" si="23"/>
        <v/>
      </c>
      <c r="K45" s="14" t="str">
        <f t="shared" si="23"/>
        <v/>
      </c>
      <c r="L45" s="14" t="str">
        <f t="shared" si="23"/>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f>IF(C26="","",SUM(C26:C27)-C28)</f>
        <v>11.200000000000001</v>
      </c>
      <c r="D47" s="51">
        <f t="shared" ref="D47:L47" si="24">IF(D26="","",SUM(D26:D27)-D28)</f>
        <v>9.2000000000000011</v>
      </c>
      <c r="E47" s="14">
        <f t="shared" si="24"/>
        <v>8.3000000000000007</v>
      </c>
      <c r="F47" s="51">
        <f t="shared" si="24"/>
        <v>8.3000000000000007</v>
      </c>
      <c r="G47" s="51">
        <f t="shared" si="24"/>
        <v>8.3000000000000007</v>
      </c>
      <c r="H47" s="51" t="str">
        <f t="shared" si="24"/>
        <v/>
      </c>
      <c r="I47" s="51" t="str">
        <f t="shared" si="24"/>
        <v/>
      </c>
      <c r="J47" s="51" t="str">
        <f t="shared" si="24"/>
        <v/>
      </c>
      <c r="K47" s="51" t="str">
        <f t="shared" si="24"/>
        <v/>
      </c>
      <c r="L47" s="51" t="str">
        <f t="shared" si="24"/>
        <v/>
      </c>
      <c r="M47" s="45"/>
      <c r="N47" s="45"/>
    </row>
    <row r="48" spans="1:14" x14ac:dyDescent="0.35">
      <c r="A48" t="str">
        <f>IF(A5="","","    To "&amp;A5)</f>
        <v xml:space="preserve">    To Upper Basin</v>
      </c>
      <c r="B48" s="163" t="s">
        <v>147</v>
      </c>
      <c r="C48" s="112">
        <f>IF(OR(C$26="",$A48=""),"",IF(C$26&gt;SUM(MIN($B49,C26-C50/2)+C50/2),C$26-SUM(MIN($B49,C26-C50/2)+C50/2),0))</f>
        <v>2.7763333333333335</v>
      </c>
      <c r="D48" s="14">
        <f t="shared" ref="D48:G48" ca="1" si="25">IF(OR(D$26="",$A48=""),"",IF(D$26&gt;SUM(MIN($B49,D26-D50/2)+D50/2),D$26-SUM(MIN($B49,D26-D50/2)+D50/2),0))</f>
        <v>0.77633333333333354</v>
      </c>
      <c r="E48" s="14">
        <f t="shared" ca="1" si="25"/>
        <v>0</v>
      </c>
      <c r="F48" s="14">
        <f t="shared" ca="1" si="25"/>
        <v>0</v>
      </c>
      <c r="G48" s="14">
        <f t="shared" ca="1" si="25"/>
        <v>0</v>
      </c>
      <c r="H48" s="14" t="str">
        <f t="shared" ref="H48:L48" si="26">IF(OR(H$26="",$A48=""),"",IF(H$26&gt;SUM(MIN($B49,H26-H50/2)+H50/2),H$26-SUM(MIN($B49,H26-H50/2)+H50/2),0))</f>
        <v/>
      </c>
      <c r="I48" s="14" t="str">
        <f t="shared" si="26"/>
        <v/>
      </c>
      <c r="J48" s="14" t="str">
        <f t="shared" si="26"/>
        <v/>
      </c>
      <c r="K48" s="14" t="str">
        <f t="shared" si="26"/>
        <v/>
      </c>
      <c r="L48" s="14" t="str">
        <f t="shared" si="26"/>
        <v/>
      </c>
      <c r="M48" s="29"/>
      <c r="N48" s="29"/>
    </row>
    <row r="49" spans="1:14" x14ac:dyDescent="0.35">
      <c r="A49" t="str">
        <f>IF(A6="","","    To "&amp;A6)</f>
        <v xml:space="preserve">    To Lower Basin</v>
      </c>
      <c r="B49" s="164">
        <f>7.5</f>
        <v>7.5</v>
      </c>
      <c r="C49" s="112">
        <f>IF(OR(C$26="",$A49=""),"",C27-C28-C51-C50/2+MIN($B49,C26-C50/2))</f>
        <v>6.4149594487332369</v>
      </c>
      <c r="D49" s="14">
        <f t="shared" ref="D49:L49" ca="1" si="27">IF(OR(D$26="",$A49=""),"",D27-D28-D51-D50/2+MIN($B49,D26-D50/2))</f>
        <v>6.3951186146965089</v>
      </c>
      <c r="E49" s="14">
        <f t="shared" ca="1" si="27"/>
        <v>6.4612909921378447</v>
      </c>
      <c r="F49" s="14">
        <f t="shared" ca="1" si="27"/>
        <v>6.419746050861284</v>
      </c>
      <c r="G49" s="14">
        <f t="shared" ca="1" si="27"/>
        <v>6.2895124658833961</v>
      </c>
      <c r="H49" s="14" t="str">
        <f t="shared" ref="H49:L49" si="28">IF(OR(H$26="",$A49=""),"",H27-H28-H51-H50/2+MIN($B49,H26-H50/2))</f>
        <v/>
      </c>
      <c r="I49" s="14" t="str">
        <f t="shared" si="28"/>
        <v/>
      </c>
      <c r="J49" s="14" t="str">
        <f t="shared" si="28"/>
        <v/>
      </c>
      <c r="K49" s="14" t="str">
        <f t="shared" si="28"/>
        <v/>
      </c>
      <c r="L49" s="14" t="str">
        <f t="shared" si="28"/>
        <v/>
      </c>
      <c r="M49" s="29"/>
      <c r="N49" s="29"/>
    </row>
    <row r="50" spans="1:14" x14ac:dyDescent="0.35">
      <c r="A50" t="str">
        <f>IF(A7="","","    To "&amp;A7)</f>
        <v xml:space="preserve">    To Mexico</v>
      </c>
      <c r="B50" s="164" t="s">
        <v>185</v>
      </c>
      <c r="C50" s="112">
        <f>IF(OR(C$26="",$A50=""),"",IF(C$47&gt;SUM(C51:C52,C46),C46,C$47-SUM(C51:C52)))</f>
        <v>1.4473333333333334</v>
      </c>
      <c r="D50" s="14">
        <f t="shared" ref="D50:L50" ca="1" si="29">IF(OR(D$26="",$A50=""),"",IF(D$47&gt;SUM(D51:D52,D46),D46,D$47-SUM(D51:D52)))</f>
        <v>1.4473333333333334</v>
      </c>
      <c r="E50" s="14">
        <f t="shared" ca="1" si="29"/>
        <v>1.2133333333333334</v>
      </c>
      <c r="F50" s="14">
        <f t="shared" ca="1" si="29"/>
        <v>1.2133333333333334</v>
      </c>
      <c r="G50" s="14">
        <f t="shared" ca="1" si="29"/>
        <v>1.3263333333333334</v>
      </c>
      <c r="H50" s="14" t="str">
        <f t="shared" ref="H50:L50" si="30">IF(OR(H$26="",$A50=""),"",IF(H$47&gt;SUM(H51:H52,H46),H46,H$47-SUM(H51:H52)))</f>
        <v/>
      </c>
      <c r="I50" s="14" t="str">
        <f t="shared" si="30"/>
        <v/>
      </c>
      <c r="J50" s="14" t="str">
        <f t="shared" si="30"/>
        <v/>
      </c>
      <c r="K50" s="14" t="str">
        <f t="shared" si="30"/>
        <v/>
      </c>
      <c r="L50" s="14" t="str">
        <f t="shared" si="30"/>
        <v/>
      </c>
      <c r="M50" s="29"/>
      <c r="N50" s="29"/>
    </row>
    <row r="51" spans="1:14" x14ac:dyDescent="0.35">
      <c r="A51" t="str">
        <f>IF(A8="","","    To "&amp;A8)</f>
        <v xml:space="preserve">    To Shared, Reserve</v>
      </c>
      <c r="B51" s="164" t="s">
        <v>184</v>
      </c>
      <c r="C51" s="112">
        <f>IF(OR(C$26="",$A51=""),"",IF(C$47&gt;C43,C43,C47))</f>
        <v>0.56137388460009618</v>
      </c>
      <c r="D51" s="14">
        <f t="shared" ref="D51:L51" ca="1" si="31">IF(OR(D$26="",$A51=""),"",IF(D$47&gt;D43,D43,D47))</f>
        <v>0.58121471863682417</v>
      </c>
      <c r="E51" s="14">
        <f t="shared" ca="1" si="31"/>
        <v>0.62537567452882203</v>
      </c>
      <c r="F51" s="14">
        <f t="shared" ca="1" si="31"/>
        <v>0.66692061580538275</v>
      </c>
      <c r="G51" s="14">
        <f t="shared" ca="1" si="31"/>
        <v>0.68415420078326927</v>
      </c>
      <c r="H51" s="14" t="str">
        <f t="shared" ref="H51:L51" si="32">IF(OR(H$26="",$A51=""),"",IF(H$47&gt;H43,H43,H47))</f>
        <v/>
      </c>
      <c r="I51" s="14" t="str">
        <f t="shared" si="32"/>
        <v/>
      </c>
      <c r="J51" s="14" t="str">
        <f t="shared" si="32"/>
        <v/>
      </c>
      <c r="K51" s="14" t="str">
        <f t="shared" si="32"/>
        <v/>
      </c>
      <c r="L51" s="14" t="str">
        <f t="shared" si="32"/>
        <v/>
      </c>
      <c r="M51" s="29"/>
      <c r="N51" s="29"/>
    </row>
    <row r="52" spans="1:14" x14ac:dyDescent="0.35">
      <c r="A52" t="str">
        <f>IF(A9="","","    To "&amp;A9)</f>
        <v/>
      </c>
      <c r="B52" s="164"/>
      <c r="C52" s="112"/>
      <c r="D52" s="14"/>
      <c r="E52" s="14"/>
      <c r="F52" s="14"/>
      <c r="G52" s="14"/>
      <c r="H52" s="14"/>
      <c r="I52" s="14"/>
      <c r="J52" s="14"/>
      <c r="K52" s="14"/>
      <c r="L52" s="14"/>
      <c r="M52" s="29"/>
      <c r="N52" s="29"/>
    </row>
    <row r="53" spans="1:14" x14ac:dyDescent="0.35">
      <c r="A53" t="str">
        <f>IF(A10="","","    To "&amp;A10)</f>
        <v/>
      </c>
      <c r="B53" s="164"/>
      <c r="C53" s="113"/>
      <c r="D53" s="52"/>
      <c r="E53" s="52"/>
      <c r="F53" s="52"/>
      <c r="G53" s="52"/>
      <c r="H53" s="52"/>
      <c r="I53" s="52"/>
      <c r="J53" s="52"/>
      <c r="K53" s="52"/>
      <c r="L53" s="52"/>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v>0.6</v>
      </c>
      <c r="D57" s="159">
        <v>-0.6</v>
      </c>
      <c r="E57" s="159">
        <v>-1.8</v>
      </c>
      <c r="F57" s="159">
        <f>-F73</f>
        <v>-0.1</v>
      </c>
      <c r="G57" s="159"/>
      <c r="H57" s="159"/>
      <c r="I57" s="159"/>
      <c r="J57" s="159"/>
      <c r="K57" s="159"/>
      <c r="L57" s="159"/>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60">
        <f>1000*C57</f>
        <v>600</v>
      </c>
      <c r="D58" s="160">
        <f>1000*D57</f>
        <v>-600</v>
      </c>
      <c r="E58" s="160">
        <f>-1.6*1000-0.2*1500</f>
        <v>-1900</v>
      </c>
      <c r="F58" s="159">
        <f>-F74</f>
        <v>-150</v>
      </c>
      <c r="G58" s="160"/>
      <c r="H58" s="160"/>
      <c r="I58" s="160"/>
      <c r="J58" s="160"/>
      <c r="K58" s="160"/>
      <c r="L58" s="160"/>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33">IF(OR(C$26="",$A59=""),"",C$112)</f>
        <v>0</v>
      </c>
      <c r="D59" s="67">
        <f t="shared" ca="1" si="33"/>
        <v>0</v>
      </c>
      <c r="E59" s="67">
        <f t="shared" ca="1" si="33"/>
        <v>5.5511151231257827E-17</v>
      </c>
      <c r="F59" s="67">
        <f t="shared" ca="1" si="33"/>
        <v>0</v>
      </c>
      <c r="G59" s="67">
        <f t="shared" ca="1" si="33"/>
        <v>0</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7.0040452368981789</v>
      </c>
      <c r="D60" s="14">
        <f t="shared" ref="D60:L60" ca="1" si="34">IF(OR(D$26="",$A60=""),"",D30+D48-D40-D57)</f>
        <v>4.7046756171877995</v>
      </c>
      <c r="E60" s="14">
        <f t="shared" ca="1" si="34"/>
        <v>3.5073083708761699</v>
      </c>
      <c r="F60" s="14">
        <f t="shared" ca="1" si="34"/>
        <v>1.5205824327734765</v>
      </c>
      <c r="G60" s="14">
        <f t="shared" ca="1" si="34"/>
        <v>0.77214858573333189</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v>3.5</v>
      </c>
      <c r="D61" s="161">
        <v>2.9</v>
      </c>
      <c r="E61" s="161">
        <v>2</v>
      </c>
      <c r="F61" s="161">
        <v>0.7</v>
      </c>
      <c r="G61" s="161">
        <v>0.3</v>
      </c>
      <c r="H61" s="161"/>
      <c r="I61" s="161"/>
      <c r="J61" s="161"/>
      <c r="K61" s="161"/>
      <c r="L61" s="161"/>
      <c r="N61" t="str">
        <f>IF(A61="","","Must be less than Available water")</f>
        <v>Must be less than Available water</v>
      </c>
    </row>
    <row r="62" spans="1:14" x14ac:dyDescent="0.35">
      <c r="A62" s="32" t="str">
        <f>IF(A61="","","   End of Year Balance [maf]")</f>
        <v xml:space="preserve">   End of Year Balance [maf]</v>
      </c>
      <c r="C62" s="66">
        <f>IF(OR(C$26="",$A62=""),"",C60-C61)</f>
        <v>3.5040452368981789</v>
      </c>
      <c r="D62" s="66">
        <f t="shared" ref="D62:L62" ca="1" si="35">IF(OR(D$26="",$A62=""),"",D60-D61)</f>
        <v>1.8046756171877996</v>
      </c>
      <c r="E62" s="66">
        <f t="shared" ca="1" si="35"/>
        <v>1.5073083708761699</v>
      </c>
      <c r="F62" s="66">
        <f t="shared" ca="1" si="35"/>
        <v>0.82058243277347653</v>
      </c>
      <c r="G62" s="66">
        <f t="shared" ca="1" si="35"/>
        <v>0.4721485857333319</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f>-C57</f>
        <v>-0.6</v>
      </c>
      <c r="D65" s="159">
        <f t="shared" ref="D65" si="36">-D57</f>
        <v>0.6</v>
      </c>
      <c r="E65" s="159">
        <v>1.6</v>
      </c>
      <c r="F65" s="159"/>
      <c r="G65" s="159"/>
      <c r="H65" s="159"/>
      <c r="I65" s="159"/>
      <c r="J65" s="159"/>
      <c r="K65" s="159"/>
      <c r="L65" s="159"/>
      <c r="M65" s="67">
        <f>SUM(C65:L65)</f>
        <v>1.6</v>
      </c>
      <c r="N65" t="str">
        <f>IF(A65="","",N57)</f>
        <v>Add if multiple transactions, e.g.: 0.5 + 0.25</v>
      </c>
    </row>
    <row r="66" spans="1:14" x14ac:dyDescent="0.35">
      <c r="A66" s="32" t="str">
        <f>IF(A65="","","   Cash Intake(+) and Payments(-) [$ Mill]")</f>
        <v xml:space="preserve">   Cash Intake(+) and Payments(-) [$ Mill]</v>
      </c>
      <c r="C66" s="160">
        <f>-C58</f>
        <v>-600</v>
      </c>
      <c r="D66" s="160">
        <f t="shared" ref="D66" si="37">-D58</f>
        <v>600</v>
      </c>
      <c r="E66" s="160">
        <f>1000*E65</f>
        <v>1600</v>
      </c>
      <c r="F66" s="160"/>
      <c r="G66" s="160"/>
      <c r="H66" s="160"/>
      <c r="I66" s="160"/>
      <c r="J66" s="160"/>
      <c r="K66" s="160"/>
      <c r="L66" s="160"/>
      <c r="M66" s="65">
        <f>SUM(C66:L66)</f>
        <v>1600</v>
      </c>
      <c r="N66" t="str">
        <f t="shared" ref="N66:N70" si="38">IF(A66="","",N58)</f>
        <v>Add if multiple transactions, e.g.: $350*0.5 + $450*0.25</v>
      </c>
    </row>
    <row r="67" spans="1:14" x14ac:dyDescent="0.35">
      <c r="A67" s="32" t="str">
        <f>IF(A66="","","   Volume all players (should be zero)")</f>
        <v xml:space="preserve">   Volume all players (should be zero)</v>
      </c>
      <c r="C67" s="67">
        <f t="shared" ref="C67:M67" ca="1" si="39">IF(OR(C$26="",$A67=""),"",C$112)</f>
        <v>0</v>
      </c>
      <c r="D67" s="67">
        <f t="shared" ca="1" si="39"/>
        <v>0</v>
      </c>
      <c r="E67" s="67">
        <f t="shared" ca="1" si="39"/>
        <v>5.5511151231257827E-17</v>
      </c>
      <c r="F67" s="67">
        <f t="shared" ca="1" si="39"/>
        <v>0</v>
      </c>
      <c r="G67" s="67">
        <f t="shared" ca="1" si="39"/>
        <v>0</v>
      </c>
      <c r="H67" s="67" t="str">
        <f t="shared" si="39"/>
        <v/>
      </c>
      <c r="I67" s="67" t="str">
        <f t="shared" si="39"/>
        <v/>
      </c>
      <c r="J67" s="67" t="str">
        <f t="shared" si="39"/>
        <v/>
      </c>
      <c r="K67" s="67" t="str">
        <f t="shared" si="39"/>
        <v/>
      </c>
      <c r="L67" s="67" t="str">
        <f t="shared" si="39"/>
        <v/>
      </c>
      <c r="M67" t="str">
        <f t="shared" si="39"/>
        <v/>
      </c>
      <c r="N67" t="str">
        <f t="shared" si="38"/>
        <v>If non-zero, players need to change amount(s)</v>
      </c>
    </row>
    <row r="68" spans="1:14" x14ac:dyDescent="0.35">
      <c r="A68" s="1" t="str">
        <f>IF(A66="","","   Available Water [maf]")</f>
        <v xml:space="preserve">   Available Water [maf]</v>
      </c>
      <c r="C68" s="14">
        <f t="shared" ref="C68:L68" si="40">IF(OR(C$26="",$A68=""),"",C31+C49-C41-C65)</f>
        <v>11.069981523290789</v>
      </c>
      <c r="D68" s="14">
        <f t="shared" ca="1" si="40"/>
        <v>9.6610195042827627</v>
      </c>
      <c r="E68" s="14">
        <f t="shared" ca="1" si="40"/>
        <v>7.5679505726078364</v>
      </c>
      <c r="F68" s="14">
        <f t="shared" ca="1" si="40"/>
        <v>7.2377573880143142</v>
      </c>
      <c r="G68" s="14">
        <f t="shared" ca="1" si="40"/>
        <v>6.8896270254064813</v>
      </c>
      <c r="H68" s="14" t="str">
        <f t="shared" si="40"/>
        <v/>
      </c>
      <c r="I68" s="14" t="str">
        <f t="shared" si="40"/>
        <v/>
      </c>
      <c r="J68" s="14" t="str">
        <f t="shared" si="40"/>
        <v/>
      </c>
      <c r="K68" s="14" t="str">
        <f t="shared" si="40"/>
        <v/>
      </c>
      <c r="L68" s="14" t="str">
        <f t="shared" si="40"/>
        <v/>
      </c>
      <c r="N68" t="str">
        <f t="shared" si="38"/>
        <v>Available water = Account Balance + Available Inflow - Evaporation + Sales - Purchases</v>
      </c>
    </row>
    <row r="69" spans="1:14" x14ac:dyDescent="0.35">
      <c r="A69" s="1" t="str">
        <f>IF(A68="","","   Account Withdraw [maf]")</f>
        <v xml:space="preserve">   Account Withdraw [maf]</v>
      </c>
      <c r="C69" s="161">
        <v>7</v>
      </c>
      <c r="D69" s="161">
        <v>6.8</v>
      </c>
      <c r="E69" s="161">
        <v>6.7</v>
      </c>
      <c r="F69" s="161">
        <v>6.6</v>
      </c>
      <c r="G69" s="161">
        <v>6.6</v>
      </c>
      <c r="H69" s="161"/>
      <c r="I69" s="161"/>
      <c r="J69" s="161"/>
      <c r="K69" s="161"/>
      <c r="L69" s="161"/>
      <c r="N69" t="str">
        <f t="shared" si="38"/>
        <v>Must be less than Available water</v>
      </c>
    </row>
    <row r="70" spans="1:14" x14ac:dyDescent="0.35">
      <c r="A70" s="32" t="str">
        <f>IF(A69="","","   End of Year Balance [maf]")</f>
        <v xml:space="preserve">   End of Year Balance [maf]</v>
      </c>
      <c r="C70" s="66">
        <f>IF(OR(C$26="",$A70=""),"",C68-C69)</f>
        <v>4.0699815232907888</v>
      </c>
      <c r="D70" s="66">
        <f t="shared" ref="D70:L70" ca="1" si="41">IF(OR(D$26="",$A70=""),"",D68-D69)</f>
        <v>2.8610195042827629</v>
      </c>
      <c r="E70" s="66">
        <f t="shared" ca="1" si="41"/>
        <v>0.86795057260783626</v>
      </c>
      <c r="F70" s="66">
        <f t="shared" ca="1" si="41"/>
        <v>0.63775738801431459</v>
      </c>
      <c r="G70" s="66">
        <f t="shared" ca="1" si="41"/>
        <v>0.28962702540648166</v>
      </c>
      <c r="H70" s="66" t="str">
        <f t="shared" si="41"/>
        <v/>
      </c>
      <c r="I70" s="66" t="str">
        <f t="shared" si="41"/>
        <v/>
      </c>
      <c r="J70" s="66" t="str">
        <f t="shared" si="41"/>
        <v/>
      </c>
      <c r="K70" s="66" t="str">
        <f t="shared" si="41"/>
        <v/>
      </c>
      <c r="L70" s="66" t="str">
        <f t="shared" si="41"/>
        <v/>
      </c>
      <c r="N70" t="str">
        <f t="shared" si="38"/>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v>0.2</v>
      </c>
      <c r="F73" s="159">
        <v>0.1</v>
      </c>
      <c r="G73" s="159"/>
      <c r="H73" s="159"/>
      <c r="I73" s="159"/>
      <c r="J73" s="159"/>
      <c r="K73" s="159"/>
      <c r="L73" s="159"/>
      <c r="M73" s="67">
        <f>SUM(C73:L73)</f>
        <v>0.30000000000000004</v>
      </c>
      <c r="N73" t="str">
        <f>IF(A73="","",N65)</f>
        <v>Add if multiple transactions, e.g.: 0.5 + 0.25</v>
      </c>
    </row>
    <row r="74" spans="1:14" x14ac:dyDescent="0.35">
      <c r="A74" s="32" t="str">
        <f>IF(A73="","","   Cash Intake(+) and Payments(-) [$ Mill]")</f>
        <v xml:space="preserve">   Cash Intake(+) and Payments(-) [$ Mill]</v>
      </c>
      <c r="C74" s="160"/>
      <c r="D74" s="160"/>
      <c r="E74" s="160">
        <f>1500*E73</f>
        <v>300</v>
      </c>
      <c r="F74" s="160">
        <f>1500*F73</f>
        <v>150</v>
      </c>
      <c r="G74" s="160"/>
      <c r="H74" s="160"/>
      <c r="I74" s="160"/>
      <c r="J74" s="160"/>
      <c r="K74" s="160"/>
      <c r="L74" s="160"/>
      <c r="M74" s="65">
        <f>SUM(C74:L74)</f>
        <v>450</v>
      </c>
      <c r="N74" t="str">
        <f t="shared" ref="N74:N78" si="42">IF(A74="","",N66)</f>
        <v>Add if multiple transactions, e.g.: $350*0.5 + $450*0.25</v>
      </c>
    </row>
    <row r="75" spans="1:14" x14ac:dyDescent="0.35">
      <c r="A75" s="32" t="str">
        <f>IF(A74="","","   Volume all players (should be zero)")</f>
        <v xml:space="preserve">   Volume all players (should be zero)</v>
      </c>
      <c r="C75" s="67">
        <f t="shared" ref="C75:M75" ca="1" si="43">IF(OR(C$26="",$A75=""),"",C$112)</f>
        <v>0</v>
      </c>
      <c r="D75" s="67">
        <f t="shared" ca="1" si="43"/>
        <v>0</v>
      </c>
      <c r="E75" s="67">
        <f t="shared" ca="1" si="43"/>
        <v>5.5511151231257827E-17</v>
      </c>
      <c r="F75" s="67">
        <f t="shared" ca="1" si="43"/>
        <v>0</v>
      </c>
      <c r="G75" s="67">
        <f t="shared" ca="1" si="43"/>
        <v>0</v>
      </c>
      <c r="H75" s="67" t="str">
        <f t="shared" si="43"/>
        <v/>
      </c>
      <c r="I75" s="67" t="str">
        <f t="shared" si="43"/>
        <v/>
      </c>
      <c r="J75" s="67" t="str">
        <f t="shared" si="43"/>
        <v/>
      </c>
      <c r="K75" s="67" t="str">
        <f t="shared" si="43"/>
        <v/>
      </c>
      <c r="L75" s="67" t="str">
        <f t="shared" si="43"/>
        <v/>
      </c>
      <c r="M75" t="str">
        <f t="shared" si="43"/>
        <v/>
      </c>
      <c r="N75" t="str">
        <f t="shared" si="42"/>
        <v>If non-zero, players need to change amount(s)</v>
      </c>
    </row>
    <row r="76" spans="1:14" x14ac:dyDescent="0.35">
      <c r="A76" s="1" t="str">
        <f>IF(A74="","","   Available Water [maf]")</f>
        <v xml:space="preserve">   Available Water [maf]</v>
      </c>
      <c r="C76" s="14">
        <f t="shared" ref="C76:L76" si="44">IF(OR(C$26="",$A76=""),"",C32+C50-C42-C73)</f>
        <v>1.6129063098110585</v>
      </c>
      <c r="D76" s="14">
        <f t="shared" ca="1" si="44"/>
        <v>1.5545781945300379</v>
      </c>
      <c r="E76" s="14">
        <f t="shared" ca="1" si="44"/>
        <v>1.3487810525165953</v>
      </c>
      <c r="F76" s="14">
        <f ca="1">IF(OR(F$26="",$A76=""),"",F32+F50-F42-F73)</f>
        <v>1.2535539767122101</v>
      </c>
      <c r="G76" s="14">
        <f t="shared" ca="1" si="44"/>
        <v>1.3767263538601866</v>
      </c>
      <c r="H76" s="14" t="str">
        <f t="shared" si="44"/>
        <v/>
      </c>
      <c r="I76" s="14" t="str">
        <f t="shared" si="44"/>
        <v/>
      </c>
      <c r="J76" s="14" t="str">
        <f t="shared" si="44"/>
        <v/>
      </c>
      <c r="K76" s="14" t="str">
        <f t="shared" si="44"/>
        <v/>
      </c>
      <c r="L76" s="14" t="str">
        <f t="shared" si="44"/>
        <v/>
      </c>
      <c r="N76" t="str">
        <f t="shared" si="42"/>
        <v>Available water = Account Balance + Available Inflow - Evaporation + Sales - Purchases</v>
      </c>
    </row>
    <row r="77" spans="1:14" x14ac:dyDescent="0.35">
      <c r="A77" s="1" t="str">
        <f>IF(A76="","","   Account Withdraw [maf]")</f>
        <v xml:space="preserve">   Account Withdraw [maf]</v>
      </c>
      <c r="C77" s="161">
        <v>1.5</v>
      </c>
      <c r="D77" s="161">
        <v>1.2</v>
      </c>
      <c r="E77" s="161">
        <v>1.2</v>
      </c>
      <c r="F77" s="161">
        <v>1.2</v>
      </c>
      <c r="G77" s="161">
        <v>1.2</v>
      </c>
      <c r="H77" s="161"/>
      <c r="I77" s="161"/>
      <c r="J77" s="161"/>
      <c r="K77" s="161"/>
      <c r="L77" s="161"/>
      <c r="N77" t="str">
        <f t="shared" si="42"/>
        <v>Must be less than Available water</v>
      </c>
    </row>
    <row r="78" spans="1:14" x14ac:dyDescent="0.35">
      <c r="A78" s="32" t="str">
        <f>IF(A77="","","   End of Year Balance [maf]")</f>
        <v xml:space="preserve">   End of Year Balance [maf]</v>
      </c>
      <c r="C78" s="66">
        <f>IF(OR(C$26="",$A78=""),"",C76-C77)</f>
        <v>0.11290630981105854</v>
      </c>
      <c r="D78" s="66">
        <f t="shared" ref="D78:L78" ca="1" si="45">IF(OR(D$26="",$A78=""),"",D76-D77)</f>
        <v>0.35457819453003792</v>
      </c>
      <c r="E78" s="66">
        <f t="shared" ca="1" si="45"/>
        <v>0.14878105251659535</v>
      </c>
      <c r="F78" s="66">
        <f t="shared" ca="1" si="45"/>
        <v>5.3553976712210183E-2</v>
      </c>
      <c r="G78" s="66">
        <f t="shared" ca="1" si="45"/>
        <v>0.17672635386018665</v>
      </c>
      <c r="H78" s="66" t="str">
        <f t="shared" si="45"/>
        <v/>
      </c>
      <c r="I78" s="66" t="str">
        <f t="shared" si="45"/>
        <v/>
      </c>
      <c r="J78" s="66" t="str">
        <f t="shared" si="45"/>
        <v/>
      </c>
      <c r="K78" s="66" t="str">
        <f t="shared" si="45"/>
        <v/>
      </c>
      <c r="L78" s="66" t="str">
        <f t="shared" si="45"/>
        <v/>
      </c>
      <c r="N78" t="str">
        <f t="shared" si="42"/>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46">IF(A82="","",N74)</f>
        <v>Add if multiple transactions, e.g.: $350*0.5 + $450*0.25</v>
      </c>
    </row>
    <row r="83" spans="1:14" x14ac:dyDescent="0.35">
      <c r="A83" s="32" t="str">
        <f>IF(A82="","","   Volume all players (should be zero)")</f>
        <v xml:space="preserve">   Volume all players (should be zero)</v>
      </c>
      <c r="C83" s="67">
        <f t="shared" ref="C83:M83" ca="1" si="47">IF(OR(C$26="",$A83=""),"",C$112)</f>
        <v>0</v>
      </c>
      <c r="D83" s="67">
        <f t="shared" ca="1" si="47"/>
        <v>0</v>
      </c>
      <c r="E83" s="67">
        <f t="shared" ca="1" si="47"/>
        <v>5.5511151231257827E-17</v>
      </c>
      <c r="F83" s="67">
        <f t="shared" ca="1" si="47"/>
        <v>0</v>
      </c>
      <c r="G83" s="67">
        <f t="shared" ca="1" si="47"/>
        <v>0</v>
      </c>
      <c r="H83" s="67" t="str">
        <f t="shared" si="47"/>
        <v/>
      </c>
      <c r="I83" s="67" t="str">
        <f t="shared" si="47"/>
        <v/>
      </c>
      <c r="J83" s="67" t="str">
        <f t="shared" si="47"/>
        <v/>
      </c>
      <c r="K83" s="67" t="str">
        <f t="shared" si="47"/>
        <v/>
      </c>
      <c r="L83" s="67" t="str">
        <f t="shared" si="47"/>
        <v/>
      </c>
      <c r="M83" t="str">
        <f t="shared" si="47"/>
        <v/>
      </c>
      <c r="N83" t="str">
        <f t="shared" si="46"/>
        <v>If non-zero, players need to change amount(s)</v>
      </c>
    </row>
    <row r="84" spans="1:14" x14ac:dyDescent="0.35">
      <c r="A84" s="1" t="str">
        <f>IF(A82="","","   Available Water [maf]")</f>
        <v xml:space="preserve">   Available Water [maf]</v>
      </c>
      <c r="C84" s="14">
        <f t="shared" ref="C84:L84" si="48">IF(OR(C$26="",$A84=""),"",C33+C51-C43-C81)</f>
        <v>11.59116925</v>
      </c>
      <c r="D84" s="14">
        <f t="shared" ca="1" si="48"/>
        <v>11.59116925</v>
      </c>
      <c r="E84" s="14">
        <f t="shared" ca="1" si="48"/>
        <v>11.59116925</v>
      </c>
      <c r="F84" s="14">
        <f t="shared" ca="1" si="48"/>
        <v>11.59116925</v>
      </c>
      <c r="G84" s="14">
        <f t="shared" ca="1" si="48"/>
        <v>11.59116925</v>
      </c>
      <c r="H84" s="14" t="str">
        <f t="shared" si="48"/>
        <v/>
      </c>
      <c r="I84" s="14" t="str">
        <f t="shared" si="48"/>
        <v/>
      </c>
      <c r="J84" s="14" t="str">
        <f t="shared" si="48"/>
        <v/>
      </c>
      <c r="K84" s="14" t="str">
        <f t="shared" si="48"/>
        <v/>
      </c>
      <c r="L84" s="14" t="str">
        <f t="shared" si="48"/>
        <v/>
      </c>
      <c r="N84" t="str">
        <f t="shared" si="46"/>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46"/>
        <v>Must be less than Available water</v>
      </c>
    </row>
    <row r="86" spans="1:14" x14ac:dyDescent="0.35">
      <c r="A86" s="32" t="str">
        <f>IF(A85="","","   End of Year Balance [maf]")</f>
        <v xml:space="preserve">   End of Year Balance [maf]</v>
      </c>
      <c r="C86" s="66">
        <f>IF(OR(C$26="",$A86=""),"",C84-C85)</f>
        <v>11.59116925</v>
      </c>
      <c r="D86" s="66">
        <f t="shared" ref="D86" ca="1" si="49">IF(OR(D$26="",$A86=""),"",D84-D85)</f>
        <v>11.59116925</v>
      </c>
      <c r="E86" s="66">
        <f t="shared" ref="E86" ca="1" si="50">IF(OR(E$26="",$A86=""),"",E84-E85)</f>
        <v>11.59116925</v>
      </c>
      <c r="F86" s="66">
        <f t="shared" ref="F86" ca="1" si="51">IF(OR(F$26="",$A86=""),"",F84-F85)</f>
        <v>11.59116925</v>
      </c>
      <c r="G86" s="66">
        <f t="shared" ref="G86" ca="1" si="52">IF(OR(G$26="",$A86=""),"",G84-G85)</f>
        <v>11.59116925</v>
      </c>
      <c r="H86" s="66" t="str">
        <f t="shared" ref="H86" si="53">IF(OR(H$26="",$A86=""),"",H84-H85)</f>
        <v/>
      </c>
      <c r="I86" s="66" t="str">
        <f t="shared" ref="I86" si="54">IF(OR(I$26="",$A86=""),"",I84-I85)</f>
        <v/>
      </c>
      <c r="J86" s="66" t="str">
        <f t="shared" ref="J86" si="55">IF(OR(J$26="",$A86=""),"",J84-J85)</f>
        <v/>
      </c>
      <c r="K86" s="66" t="str">
        <f t="shared" ref="K86" si="56">IF(OR(K$26="",$A86=""),"",K84-K85)</f>
        <v/>
      </c>
      <c r="L86" s="66" t="str">
        <f t="shared" ref="L86" si="57">IF(OR(L$26="",$A86=""),"",L84-L85)</f>
        <v/>
      </c>
      <c r="N86" t="str">
        <f t="shared" si="46"/>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58">IF(A90="","",N82)</f>
        <v/>
      </c>
    </row>
    <row r="91" spans="1:14" x14ac:dyDescent="0.35">
      <c r="A91" s="32" t="str">
        <f>IF(A90="","","   Volume all players (should be zero)")</f>
        <v/>
      </c>
      <c r="C91" s="67" t="str">
        <f t="shared" ref="C91:M91" si="59">IF(OR(C$26="",$A91=""),"",C$112)</f>
        <v/>
      </c>
      <c r="D91" s="67" t="str">
        <f t="shared" si="59"/>
        <v/>
      </c>
      <c r="E91" s="67" t="str">
        <f t="shared" si="59"/>
        <v/>
      </c>
      <c r="F91" s="67" t="str">
        <f t="shared" si="59"/>
        <v/>
      </c>
      <c r="G91" s="67" t="str">
        <f t="shared" si="59"/>
        <v/>
      </c>
      <c r="H91" s="67" t="str">
        <f t="shared" si="59"/>
        <v/>
      </c>
      <c r="I91" s="67" t="str">
        <f t="shared" si="59"/>
        <v/>
      </c>
      <c r="J91" s="67" t="str">
        <f t="shared" si="59"/>
        <v/>
      </c>
      <c r="K91" s="67" t="str">
        <f t="shared" si="59"/>
        <v/>
      </c>
      <c r="L91" s="67" t="str">
        <f t="shared" si="59"/>
        <v/>
      </c>
      <c r="M91" t="str">
        <f t="shared" si="59"/>
        <v/>
      </c>
      <c r="N91" t="str">
        <f t="shared" si="58"/>
        <v/>
      </c>
    </row>
    <row r="92" spans="1:14" x14ac:dyDescent="0.35">
      <c r="A92" s="1" t="str">
        <f>IF(A90="","","   Available Water [maf]")</f>
        <v/>
      </c>
      <c r="C92" s="14" t="str">
        <f t="shared" ref="C92:L92" si="60">IF(OR(C$26="",$A92=""),"",C34+C52-C44-C89)</f>
        <v/>
      </c>
      <c r="D92" s="14" t="str">
        <f t="shared" si="60"/>
        <v/>
      </c>
      <c r="E92" s="14" t="str">
        <f t="shared" si="60"/>
        <v/>
      </c>
      <c r="F92" s="14" t="str">
        <f t="shared" si="60"/>
        <v/>
      </c>
      <c r="G92" s="14" t="str">
        <f t="shared" si="60"/>
        <v/>
      </c>
      <c r="H92" s="14" t="str">
        <f t="shared" si="60"/>
        <v/>
      </c>
      <c r="I92" s="14" t="str">
        <f t="shared" si="60"/>
        <v/>
      </c>
      <c r="J92" s="14" t="str">
        <f t="shared" si="60"/>
        <v/>
      </c>
      <c r="K92" s="14" t="str">
        <f t="shared" si="60"/>
        <v/>
      </c>
      <c r="L92" s="14" t="str">
        <f t="shared" si="60"/>
        <v/>
      </c>
      <c r="N92" t="str">
        <f t="shared" si="58"/>
        <v/>
      </c>
    </row>
    <row r="93" spans="1:14" x14ac:dyDescent="0.35">
      <c r="A93" s="1" t="str">
        <f>IF(A92="","","   Account Withdraw [maf]")</f>
        <v/>
      </c>
      <c r="C93" s="161"/>
      <c r="D93" s="161"/>
      <c r="E93" s="161"/>
      <c r="F93" s="161"/>
      <c r="G93" s="161"/>
      <c r="H93" s="161"/>
      <c r="I93" s="161"/>
      <c r="J93" s="161"/>
      <c r="K93" s="161"/>
      <c r="L93" s="161"/>
      <c r="N93" t="str">
        <f t="shared" si="58"/>
        <v/>
      </c>
    </row>
    <row r="94" spans="1:14" x14ac:dyDescent="0.35">
      <c r="A94" s="32" t="str">
        <f>IF(A93="","","   End of Year Balance [maf]")</f>
        <v/>
      </c>
      <c r="C94" s="66" t="str">
        <f>IF(OR(C$26="",$A94=""),"",C92-C93)</f>
        <v/>
      </c>
      <c r="D94" s="66" t="str">
        <f t="shared" ref="D94" si="61">IF(OR(D$26="",$A94=""),"",D92-D93)</f>
        <v/>
      </c>
      <c r="E94" s="66" t="str">
        <f t="shared" ref="E94" si="62">IF(OR(E$26="",$A94=""),"",E92-E93)</f>
        <v/>
      </c>
      <c r="F94" s="66" t="str">
        <f t="shared" ref="F94" si="63">IF(OR(F$26="",$A94=""),"",F92-F93)</f>
        <v/>
      </c>
      <c r="G94" s="66" t="str">
        <f t="shared" ref="G94" si="64">IF(OR(G$26="",$A94=""),"",G92-G93)</f>
        <v/>
      </c>
      <c r="H94" s="66" t="str">
        <f t="shared" ref="H94" si="65">IF(OR(H$26="",$A94=""),"",H92-H93)</f>
        <v/>
      </c>
      <c r="I94" s="66" t="str">
        <f t="shared" ref="I94" si="66">IF(OR(I$26="",$A94=""),"",I92-I93)</f>
        <v/>
      </c>
      <c r="J94" s="66" t="str">
        <f t="shared" ref="J94" si="67">IF(OR(J$26="",$A94=""),"",J92-J93)</f>
        <v/>
      </c>
      <c r="K94" s="66" t="str">
        <f t="shared" ref="K94" si="68">IF(OR(K$26="",$A94=""),"",K92-K93)</f>
        <v/>
      </c>
      <c r="L94" s="66" t="str">
        <f t="shared" ref="L94" si="69">IF(OR(L$26="",$A94=""),"",L92-L93)</f>
        <v/>
      </c>
      <c r="N94" t="str">
        <f t="shared" si="58"/>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70">IF(A98="","",N90)</f>
        <v/>
      </c>
    </row>
    <row r="99" spans="1:14" x14ac:dyDescent="0.35">
      <c r="A99" s="32" t="str">
        <f>IF(A98="","","   Volume all players (should be zero)")</f>
        <v/>
      </c>
      <c r="C99" s="67" t="str">
        <f t="shared" ref="C99:M99" si="71">IF(OR(C$26="",$A99=""),"",C$112)</f>
        <v/>
      </c>
      <c r="D99" s="67" t="str">
        <f t="shared" si="71"/>
        <v/>
      </c>
      <c r="E99" s="67" t="str">
        <f t="shared" si="71"/>
        <v/>
      </c>
      <c r="F99" s="67" t="str">
        <f t="shared" si="71"/>
        <v/>
      </c>
      <c r="G99" s="67" t="str">
        <f t="shared" si="71"/>
        <v/>
      </c>
      <c r="H99" s="67" t="str">
        <f t="shared" si="71"/>
        <v/>
      </c>
      <c r="I99" s="67" t="str">
        <f t="shared" si="71"/>
        <v/>
      </c>
      <c r="J99" s="67" t="str">
        <f t="shared" si="71"/>
        <v/>
      </c>
      <c r="K99" s="67" t="str">
        <f t="shared" si="71"/>
        <v/>
      </c>
      <c r="L99" s="67" t="str">
        <f t="shared" si="71"/>
        <v/>
      </c>
      <c r="M99" t="str">
        <f t="shared" si="71"/>
        <v/>
      </c>
      <c r="N99" t="str">
        <f t="shared" si="70"/>
        <v/>
      </c>
    </row>
    <row r="100" spans="1:14" x14ac:dyDescent="0.35">
      <c r="A100" s="1" t="str">
        <f>IF(A98="","","   Available Water [maf]")</f>
        <v/>
      </c>
      <c r="C100" s="14" t="str">
        <f t="shared" ref="C100:L100" si="72">IF(OR(C$26="",$A100=""),"",C35+C53-C45-C97)</f>
        <v/>
      </c>
      <c r="D100" s="14" t="str">
        <f t="shared" si="72"/>
        <v/>
      </c>
      <c r="E100" s="14" t="str">
        <f t="shared" si="72"/>
        <v/>
      </c>
      <c r="F100" s="14" t="str">
        <f t="shared" si="72"/>
        <v/>
      </c>
      <c r="G100" s="14" t="str">
        <f t="shared" si="72"/>
        <v/>
      </c>
      <c r="H100" s="14" t="str">
        <f t="shared" si="72"/>
        <v/>
      </c>
      <c r="I100" s="14" t="str">
        <f t="shared" si="72"/>
        <v/>
      </c>
      <c r="J100" s="14" t="str">
        <f t="shared" si="72"/>
        <v/>
      </c>
      <c r="K100" s="14" t="str">
        <f t="shared" si="72"/>
        <v/>
      </c>
      <c r="L100" s="14" t="str">
        <f t="shared" si="72"/>
        <v/>
      </c>
      <c r="N100" t="str">
        <f t="shared" si="70"/>
        <v/>
      </c>
    </row>
    <row r="101" spans="1:14" x14ac:dyDescent="0.35">
      <c r="A101" s="1" t="str">
        <f>IF(A100="","","   Account Withdraw [maf]")</f>
        <v/>
      </c>
      <c r="C101" s="161"/>
      <c r="D101" s="161"/>
      <c r="E101" s="161"/>
      <c r="F101" s="161"/>
      <c r="G101" s="161"/>
      <c r="H101" s="161"/>
      <c r="I101" s="161"/>
      <c r="J101" s="161"/>
      <c r="K101" s="161"/>
      <c r="L101" s="161"/>
      <c r="N101" t="str">
        <f t="shared" si="70"/>
        <v/>
      </c>
    </row>
    <row r="102" spans="1:14" x14ac:dyDescent="0.35">
      <c r="A102" s="32" t="str">
        <f>IF(A101="","","   End of Year Balance [maf]")</f>
        <v/>
      </c>
      <c r="C102" s="66" t="str">
        <f>IF(OR(C$26="",$A102=""),"",C100-C101)</f>
        <v/>
      </c>
      <c r="D102" s="66" t="str">
        <f t="shared" ref="D102" si="73">IF(OR(D$26="",$A102=""),"",D100-D101)</f>
        <v/>
      </c>
      <c r="E102" s="66" t="str">
        <f t="shared" ref="E102" si="74">IF(OR(E$26="",$A102=""),"",E100-E101)</f>
        <v/>
      </c>
      <c r="F102" s="66" t="str">
        <f t="shared" ref="F102" si="75">IF(OR(F$26="",$A102=""),"",F100-F101)</f>
        <v/>
      </c>
      <c r="G102" s="66" t="str">
        <f t="shared" ref="G102" si="76">IF(OR(G$26="",$A102=""),"",G100-G101)</f>
        <v/>
      </c>
      <c r="H102" s="66" t="str">
        <f t="shared" ref="H102" si="77">IF(OR(H$26="",$A102=""),"",H100-H101)</f>
        <v/>
      </c>
      <c r="I102" s="66" t="str">
        <f t="shared" ref="I102" si="78">IF(OR(I$26="",$A102=""),"",I100-I101)</f>
        <v/>
      </c>
      <c r="J102" s="66" t="str">
        <f t="shared" ref="J102" si="79">IF(OR(J$26="",$A102=""),"",J100-J101)</f>
        <v/>
      </c>
      <c r="K102" s="66" t="str">
        <f t="shared" ref="K102" si="80">IF(OR(K$26="",$A102=""),"",K100-K101)</f>
        <v/>
      </c>
      <c r="L102" s="66" t="str">
        <f t="shared" ref="L102" si="81">IF(OR(L$26="",$A102=""),"",L100-L101)</f>
        <v/>
      </c>
      <c r="N102" t="str">
        <f t="shared" si="70"/>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f t="shared" ref="C106:L106" ca="1" si="82">IF(OR(C$26="",$A106=""),"",OFFSET(C$57,8*(ROW(B106)-ROW(B$106)),0))</f>
        <v>0.6</v>
      </c>
      <c r="D106" s="67">
        <f t="shared" ca="1" si="82"/>
        <v>-0.6</v>
      </c>
      <c r="E106" s="67">
        <f t="shared" ca="1" si="82"/>
        <v>-1.8</v>
      </c>
      <c r="F106" s="67">
        <f t="shared" ca="1" si="82"/>
        <v>-0.1</v>
      </c>
      <c r="G106" s="67">
        <f t="shared" ca="1" si="82"/>
        <v>0</v>
      </c>
      <c r="H106" s="67" t="str">
        <f t="shared" ca="1" si="82"/>
        <v/>
      </c>
      <c r="I106" s="67" t="str">
        <f t="shared" ca="1" si="82"/>
        <v/>
      </c>
      <c r="J106" s="67" t="str">
        <f t="shared" ca="1" si="82"/>
        <v/>
      </c>
      <c r="K106" s="67" t="str">
        <f t="shared" ca="1" si="82"/>
        <v/>
      </c>
      <c r="L106" s="67" t="str">
        <f t="shared" ca="1" si="82"/>
        <v/>
      </c>
      <c r="M106" s="67">
        <f ca="1">IF(OR($A106=""),"",SUM(C106:L106))</f>
        <v>-1.9000000000000001</v>
      </c>
      <c r="N106" s="65">
        <f>IF(OR($A106=""),"",M58)</f>
        <v>-2050</v>
      </c>
    </row>
    <row r="107" spans="1:14" x14ac:dyDescent="0.35">
      <c r="A107" t="str">
        <f>IF(A6="","","    "&amp;A6)</f>
        <v xml:space="preserve">    Lower Basin</v>
      </c>
      <c r="B107" s="1"/>
      <c r="C107" s="67">
        <f t="shared" ref="C107:L107" ca="1" si="83">IF(OR(C$26="",$A107=""),"",OFFSET(C$57,8*(ROW(B107)-ROW(B$106)),0))</f>
        <v>-0.6</v>
      </c>
      <c r="D107" s="67">
        <f t="shared" ca="1" si="83"/>
        <v>0.6</v>
      </c>
      <c r="E107" s="67">
        <f t="shared" ca="1" si="83"/>
        <v>1.6</v>
      </c>
      <c r="F107" s="67">
        <f t="shared" ca="1" si="83"/>
        <v>0</v>
      </c>
      <c r="G107" s="67">
        <f t="shared" ca="1" si="83"/>
        <v>0</v>
      </c>
      <c r="H107" s="67" t="str">
        <f t="shared" ca="1" si="83"/>
        <v/>
      </c>
      <c r="I107" s="67" t="str">
        <f t="shared" ca="1" si="83"/>
        <v/>
      </c>
      <c r="J107" s="67" t="str">
        <f t="shared" ca="1" si="83"/>
        <v/>
      </c>
      <c r="K107" s="67" t="str">
        <f t="shared" ca="1" si="83"/>
        <v/>
      </c>
      <c r="L107" s="67" t="str">
        <f t="shared" ca="1" si="83"/>
        <v/>
      </c>
      <c r="M107" s="67">
        <f t="shared" ref="M107:M111" ca="1" si="84">IF(OR($A107=""),"",SUM(C107:L107))</f>
        <v>1.6</v>
      </c>
      <c r="N107" s="65">
        <f>IF(OR($A107=""),"",M66)</f>
        <v>1600</v>
      </c>
    </row>
    <row r="108" spans="1:14" x14ac:dyDescent="0.35">
      <c r="A108" t="str">
        <f>IF(A7="","","    "&amp;A7)</f>
        <v xml:space="preserve">    Mexico</v>
      </c>
      <c r="B108" s="1"/>
      <c r="C108" s="67">
        <f t="shared" ref="C108:L108" ca="1" si="85">IF(OR(C$26="",$A108=""),"",OFFSET(C$57,8*(ROW(B108)-ROW(B$106)),0))</f>
        <v>0</v>
      </c>
      <c r="D108" s="67">
        <f t="shared" ca="1" si="85"/>
        <v>0</v>
      </c>
      <c r="E108" s="67">
        <f t="shared" ca="1" si="85"/>
        <v>0.2</v>
      </c>
      <c r="F108" s="67">
        <f t="shared" ca="1" si="85"/>
        <v>0.1</v>
      </c>
      <c r="G108" s="67">
        <f t="shared" ca="1" si="85"/>
        <v>0</v>
      </c>
      <c r="H108" s="67" t="str">
        <f t="shared" ca="1" si="85"/>
        <v/>
      </c>
      <c r="I108" s="67" t="str">
        <f t="shared" ca="1" si="85"/>
        <v/>
      </c>
      <c r="J108" s="67" t="str">
        <f t="shared" ca="1" si="85"/>
        <v/>
      </c>
      <c r="K108" s="67" t="str">
        <f t="shared" ca="1" si="85"/>
        <v/>
      </c>
      <c r="L108" s="67" t="str">
        <f t="shared" ca="1" si="85"/>
        <v/>
      </c>
      <c r="M108" s="67">
        <f t="shared" ca="1" si="84"/>
        <v>0.30000000000000004</v>
      </c>
      <c r="N108" s="65">
        <f>IF(OR($A108=""),"",M74)</f>
        <v>450</v>
      </c>
    </row>
    <row r="109" spans="1:14" x14ac:dyDescent="0.35">
      <c r="A109" t="str">
        <f>IF(A8="","","    "&amp;A8)</f>
        <v xml:space="preserve">    Shared, Reserve</v>
      </c>
      <c r="B109" s="1"/>
      <c r="C109" s="67">
        <f t="shared" ref="C109:L109" ca="1" si="86">IF(OR(C$26="",$A109=""),"",OFFSET(C$57,8*(ROW(B109)-ROW(B$106)),0))</f>
        <v>0</v>
      </c>
      <c r="D109" s="67">
        <f t="shared" ca="1" si="86"/>
        <v>0</v>
      </c>
      <c r="E109" s="67">
        <f t="shared" ca="1" si="86"/>
        <v>0</v>
      </c>
      <c r="F109" s="67">
        <f t="shared" ca="1" si="86"/>
        <v>0</v>
      </c>
      <c r="G109" s="67">
        <f t="shared" ca="1" si="86"/>
        <v>0</v>
      </c>
      <c r="H109" s="67" t="str">
        <f t="shared" ca="1" si="86"/>
        <v/>
      </c>
      <c r="I109" s="67" t="str">
        <f t="shared" ca="1" si="86"/>
        <v/>
      </c>
      <c r="J109" s="67" t="str">
        <f t="shared" ca="1" si="86"/>
        <v/>
      </c>
      <c r="K109" s="67" t="str">
        <f t="shared" ca="1" si="86"/>
        <v/>
      </c>
      <c r="L109" s="67" t="str">
        <f t="shared" ca="1" si="86"/>
        <v/>
      </c>
      <c r="M109" s="67">
        <f t="shared" ca="1" si="84"/>
        <v>0</v>
      </c>
      <c r="N109" s="65">
        <f>IF(OR($A109=""),"",M82)</f>
        <v>0</v>
      </c>
    </row>
    <row r="110" spans="1:14" x14ac:dyDescent="0.35">
      <c r="A110" t="str">
        <f>IF(A9="","","    "&amp;A9)</f>
        <v/>
      </c>
      <c r="B110" s="1"/>
      <c r="C110" s="67" t="str">
        <f t="shared" ref="C110:L110" ca="1" si="87">IF(OR(C$26="",$A110=""),"",OFFSET(C$57,8*(ROW(B110)-ROW(B$106)),0))</f>
        <v/>
      </c>
      <c r="D110" s="67" t="str">
        <f t="shared" ca="1" si="87"/>
        <v/>
      </c>
      <c r="E110" s="67" t="str">
        <f t="shared" ca="1" si="87"/>
        <v/>
      </c>
      <c r="F110" s="67" t="str">
        <f t="shared" ca="1" si="87"/>
        <v/>
      </c>
      <c r="G110" s="67" t="str">
        <f t="shared" ca="1" si="87"/>
        <v/>
      </c>
      <c r="H110" s="67" t="str">
        <f t="shared" ca="1" si="87"/>
        <v/>
      </c>
      <c r="I110" s="67" t="str">
        <f t="shared" ca="1" si="87"/>
        <v/>
      </c>
      <c r="J110" s="67" t="str">
        <f t="shared" ca="1" si="87"/>
        <v/>
      </c>
      <c r="K110" s="67" t="str">
        <f t="shared" ca="1" si="87"/>
        <v/>
      </c>
      <c r="L110" s="67" t="str">
        <f t="shared" ca="1" si="87"/>
        <v/>
      </c>
      <c r="M110" s="67" t="str">
        <f t="shared" si="84"/>
        <v/>
      </c>
      <c r="N110" s="65" t="str">
        <f>IF(OR($A110=""),"",M90)</f>
        <v/>
      </c>
    </row>
    <row r="111" spans="1:14" x14ac:dyDescent="0.35">
      <c r="A111" t="str">
        <f>IF(A10="","","    "&amp;A10)</f>
        <v/>
      </c>
      <c r="B111" s="1"/>
      <c r="C111" s="67" t="str">
        <f t="shared" ref="C111:L111" ca="1" si="88">IF(OR(C$26="",$A111=""),"",OFFSET(C$57,8*(ROW(B111)-ROW(B$106)),0))</f>
        <v/>
      </c>
      <c r="D111" s="67" t="str">
        <f t="shared" ca="1" si="88"/>
        <v/>
      </c>
      <c r="E111" s="67" t="str">
        <f t="shared" ca="1" si="88"/>
        <v/>
      </c>
      <c r="F111" s="67" t="str">
        <f t="shared" ca="1" si="88"/>
        <v/>
      </c>
      <c r="G111" s="67" t="str">
        <f t="shared" ca="1" si="88"/>
        <v/>
      </c>
      <c r="H111" s="67" t="str">
        <f t="shared" ca="1" si="88"/>
        <v/>
      </c>
      <c r="I111" s="67" t="str">
        <f t="shared" ca="1" si="88"/>
        <v/>
      </c>
      <c r="J111" s="67" t="str">
        <f t="shared" ca="1" si="88"/>
        <v/>
      </c>
      <c r="K111" s="67" t="str">
        <f t="shared" ca="1" si="88"/>
        <v/>
      </c>
      <c r="L111" s="67" t="str">
        <f t="shared" ca="1" si="88"/>
        <v/>
      </c>
      <c r="M111" s="67" t="str">
        <f t="shared" si="84"/>
        <v/>
      </c>
      <c r="N111" s="65" t="str">
        <f>IF(OR($A111=""),"",M98)</f>
        <v/>
      </c>
    </row>
    <row r="112" spans="1:14" x14ac:dyDescent="0.35">
      <c r="A112" t="s">
        <v>146</v>
      </c>
      <c r="B112" s="1"/>
      <c r="C112" s="51">
        <f ca="1">IF(C$26&lt;&gt;"",SUM(C106:C111),"")</f>
        <v>0</v>
      </c>
      <c r="D112" s="51">
        <f t="shared" ref="D112:L112" ca="1" si="89">IF(D$26&lt;&gt;"",SUM(D106:D111),"")</f>
        <v>0</v>
      </c>
      <c r="E112" s="119">
        <f t="shared" ca="1" si="89"/>
        <v>5.5511151231257827E-17</v>
      </c>
      <c r="F112" s="51">
        <f t="shared" ca="1" si="89"/>
        <v>0</v>
      </c>
      <c r="G112" s="51">
        <f t="shared" ca="1" si="89"/>
        <v>0</v>
      </c>
      <c r="H112" s="51" t="str">
        <f t="shared" si="89"/>
        <v/>
      </c>
      <c r="I112" s="51" t="str">
        <f t="shared" si="89"/>
        <v/>
      </c>
      <c r="J112" s="51" t="str">
        <f t="shared" si="89"/>
        <v/>
      </c>
      <c r="K112" s="51" t="str">
        <f t="shared" si="89"/>
        <v/>
      </c>
      <c r="L112" s="51" t="str">
        <f t="shared" si="89"/>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0">IF(OR(C$26="",$A114=""),"",OFFSET(C$61,8*(ROW(B114)-ROW(B$114)),0))</f>
        <v>3.5</v>
      </c>
      <c r="D114" s="67">
        <f t="shared" ca="1" si="90"/>
        <v>2.9</v>
      </c>
      <c r="E114" s="67">
        <f t="shared" ca="1" si="90"/>
        <v>2</v>
      </c>
      <c r="F114" s="67">
        <f t="shared" ca="1" si="90"/>
        <v>0.7</v>
      </c>
      <c r="G114" s="67">
        <f t="shared" ca="1" si="90"/>
        <v>0.3</v>
      </c>
      <c r="H114" s="67" t="str">
        <f t="shared" ca="1" si="90"/>
        <v/>
      </c>
      <c r="I114" s="67" t="str">
        <f t="shared" ca="1" si="90"/>
        <v/>
      </c>
      <c r="J114" s="67" t="str">
        <f t="shared" ca="1" si="90"/>
        <v/>
      </c>
      <c r="K114" s="67" t="str">
        <f t="shared" ca="1" si="90"/>
        <v/>
      </c>
      <c r="L114" s="67" t="str">
        <f t="shared" ca="1" si="90"/>
        <v/>
      </c>
    </row>
    <row r="115" spans="1:12" x14ac:dyDescent="0.35">
      <c r="A115" t="str">
        <f>IF(A6="","","    "&amp;A6&amp;" - Release from Mead")</f>
        <v xml:space="preserve">    Lower Basin - Release from Mead</v>
      </c>
      <c r="C115" s="67">
        <f t="shared" ref="C115:L115" ca="1" si="91">IF(OR(C$26="",$A115=""),"",OFFSET(C$61,8*(ROW(B115)-ROW(B$114)),0))</f>
        <v>7</v>
      </c>
      <c r="D115" s="67">
        <f t="shared" ca="1" si="91"/>
        <v>6.8</v>
      </c>
      <c r="E115" s="67">
        <f t="shared" ca="1" si="91"/>
        <v>6.7</v>
      </c>
      <c r="F115" s="67">
        <f t="shared" ca="1" si="91"/>
        <v>6.6</v>
      </c>
      <c r="G115" s="67">
        <f t="shared" ca="1" si="91"/>
        <v>6.6</v>
      </c>
      <c r="H115" s="67" t="str">
        <f t="shared" ca="1" si="91"/>
        <v/>
      </c>
      <c r="I115" s="67" t="str">
        <f t="shared" ca="1" si="91"/>
        <v/>
      </c>
      <c r="J115" s="67" t="str">
        <f t="shared" ca="1" si="91"/>
        <v/>
      </c>
      <c r="K115" s="67" t="str">
        <f t="shared" ca="1" si="91"/>
        <v/>
      </c>
      <c r="L115" s="67" t="str">
        <f t="shared" ca="1" si="91"/>
        <v/>
      </c>
    </row>
    <row r="116" spans="1:12" x14ac:dyDescent="0.35">
      <c r="A116" t="str">
        <f>IF(A7="","","    "&amp;A7&amp;" - Release from Mead")</f>
        <v xml:space="preserve">    Mexico - Release from Mead</v>
      </c>
      <c r="C116" s="67">
        <f t="shared" ref="C116:L116" ca="1" si="92">IF(OR(C$26="",$A116=""),"",OFFSET(C$61,8*(ROW(B116)-ROW(B$114)),0))</f>
        <v>1.5</v>
      </c>
      <c r="D116" s="67">
        <f t="shared" ca="1" si="92"/>
        <v>1.2</v>
      </c>
      <c r="E116" s="67">
        <f t="shared" ca="1" si="92"/>
        <v>1.2</v>
      </c>
      <c r="F116" s="67">
        <f t="shared" ca="1" si="92"/>
        <v>1.2</v>
      </c>
      <c r="G116" s="67">
        <f t="shared" ca="1" si="92"/>
        <v>1.2</v>
      </c>
      <c r="H116" s="67" t="str">
        <f t="shared" ca="1" si="92"/>
        <v/>
      </c>
      <c r="I116" s="67" t="str">
        <f t="shared" ca="1" si="92"/>
        <v/>
      </c>
      <c r="J116" s="67" t="str">
        <f t="shared" ca="1" si="92"/>
        <v/>
      </c>
      <c r="K116" s="67" t="str">
        <f t="shared" ca="1" si="92"/>
        <v/>
      </c>
      <c r="L116" s="67" t="str">
        <f t="shared" ca="1" si="92"/>
        <v/>
      </c>
    </row>
    <row r="117" spans="1:12" x14ac:dyDescent="0.35">
      <c r="A117" t="str">
        <f>IF(A8="","","    "&amp;A8&amp;" - Release from Mead")</f>
        <v xml:space="preserve">    Shared, Reserve - Release from Mead</v>
      </c>
      <c r="C117" s="67">
        <f t="shared" ref="C117:L117" ca="1" si="93">IF(OR(C$26="",$A117=""),"",OFFSET(C$61,8*(ROW(B117)-ROW(B$114)),0))</f>
        <v>0</v>
      </c>
      <c r="D117" s="67">
        <f t="shared" ca="1" si="93"/>
        <v>0</v>
      </c>
      <c r="E117" s="67">
        <f t="shared" ca="1" si="93"/>
        <v>0</v>
      </c>
      <c r="F117" s="67">
        <f t="shared" ca="1" si="93"/>
        <v>0</v>
      </c>
      <c r="G117" s="67">
        <f t="shared" ca="1" si="93"/>
        <v>0</v>
      </c>
      <c r="H117" s="67" t="str">
        <f t="shared" ca="1" si="93"/>
        <v/>
      </c>
      <c r="I117" s="67" t="str">
        <f t="shared" ca="1" si="93"/>
        <v/>
      </c>
      <c r="J117" s="67" t="str">
        <f t="shared" ca="1" si="93"/>
        <v/>
      </c>
      <c r="K117" s="67" t="str">
        <f t="shared" ca="1" si="93"/>
        <v/>
      </c>
      <c r="L117" s="67" t="str">
        <f t="shared" ca="1" si="93"/>
        <v/>
      </c>
    </row>
    <row r="118" spans="1:12" x14ac:dyDescent="0.35">
      <c r="A118" t="str">
        <f>IF(A9="","","    "&amp;A9&amp;" - Release from Mead")</f>
        <v/>
      </c>
      <c r="C118" s="67" t="str">
        <f t="shared" ref="C118:L118" ca="1" si="94">IF(OR(C$26="",$A118=""),"",OFFSET(C$61,8*(ROW(B118)-ROW(B$114)),0))</f>
        <v/>
      </c>
      <c r="D118" s="67" t="str">
        <f t="shared" ca="1" si="94"/>
        <v/>
      </c>
      <c r="E118" s="67" t="str">
        <f t="shared" ca="1" si="94"/>
        <v/>
      </c>
      <c r="F118" s="67" t="str">
        <f t="shared" ca="1" si="94"/>
        <v/>
      </c>
      <c r="G118" s="67" t="str">
        <f t="shared" ca="1" si="94"/>
        <v/>
      </c>
      <c r="H118" s="67" t="str">
        <f t="shared" ca="1" si="94"/>
        <v/>
      </c>
      <c r="I118" s="67" t="str">
        <f t="shared" ca="1" si="94"/>
        <v/>
      </c>
      <c r="J118" s="67" t="str">
        <f t="shared" ca="1" si="94"/>
        <v/>
      </c>
      <c r="K118" s="67" t="str">
        <f t="shared" ca="1" si="94"/>
        <v/>
      </c>
      <c r="L118" s="67" t="str">
        <f t="shared" ca="1" si="94"/>
        <v/>
      </c>
    </row>
    <row r="119" spans="1:12" x14ac:dyDescent="0.35">
      <c r="A119" t="str">
        <f>IF(A10="","","    "&amp;A10&amp;" - Release from Mead")</f>
        <v/>
      </c>
      <c r="C119" s="67" t="str">
        <f t="shared" ref="C119:L119" ca="1" si="95">IF(OR(C$26="",$A119=""),"",OFFSET(C$61,8*(ROW(B119)-ROW(B$114)),0))</f>
        <v/>
      </c>
      <c r="D119" s="67" t="str">
        <f t="shared" ca="1" si="95"/>
        <v/>
      </c>
      <c r="E119" s="67" t="str">
        <f t="shared" ca="1" si="95"/>
        <v/>
      </c>
      <c r="F119" s="67" t="str">
        <f t="shared" ca="1" si="95"/>
        <v/>
      </c>
      <c r="G119" s="67" t="str">
        <f t="shared" ca="1" si="95"/>
        <v/>
      </c>
      <c r="H119" s="67" t="str">
        <f t="shared" ca="1" si="95"/>
        <v/>
      </c>
      <c r="I119" s="67" t="str">
        <f t="shared" ca="1" si="95"/>
        <v/>
      </c>
      <c r="J119" s="67" t="str">
        <f t="shared" ca="1" si="95"/>
        <v/>
      </c>
      <c r="K119" s="67" t="str">
        <f t="shared" ca="1" si="95"/>
        <v/>
      </c>
      <c r="L119" s="67" t="str">
        <f t="shared" ca="1" si="95"/>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f t="shared" ref="C121:L121" ca="1" si="96">IF(OR(C$26="",$A121=""),"",OFFSET(C$62,8*(ROW(B121)-ROW(B$121)),0))</f>
        <v>3.5040452368981789</v>
      </c>
      <c r="D121" s="67">
        <f t="shared" ca="1" si="96"/>
        <v>1.8046756171877996</v>
      </c>
      <c r="E121" s="67">
        <f t="shared" ca="1" si="96"/>
        <v>1.5073083708761699</v>
      </c>
      <c r="F121" s="67">
        <f t="shared" ca="1" si="96"/>
        <v>0.82058243277347653</v>
      </c>
      <c r="G121" s="67">
        <f t="shared" ca="1" si="96"/>
        <v>0.4721485857333319</v>
      </c>
      <c r="H121" s="67" t="str">
        <f t="shared" ca="1" si="96"/>
        <v/>
      </c>
      <c r="I121" s="67" t="str">
        <f t="shared" ca="1" si="96"/>
        <v/>
      </c>
      <c r="J121" s="67" t="str">
        <f t="shared" ca="1" si="96"/>
        <v/>
      </c>
      <c r="K121" s="67" t="str">
        <f t="shared" ca="1" si="96"/>
        <v/>
      </c>
      <c r="L121" s="67" t="str">
        <f t="shared" ca="1" si="96"/>
        <v/>
      </c>
    </row>
    <row r="122" spans="1:12" x14ac:dyDescent="0.35">
      <c r="A122" t="str">
        <f>IF(A6="","","    "&amp;A6)</f>
        <v xml:space="preserve">    Lower Basin</v>
      </c>
      <c r="C122" s="67">
        <f t="shared" ref="C122:L122" ca="1" si="97">IF(OR(C$26="",$A122=""),"",OFFSET(C$62,8*(ROW(B122)-ROW(B$121)),0))</f>
        <v>4.0699815232907888</v>
      </c>
      <c r="D122" s="67">
        <f t="shared" ca="1" si="97"/>
        <v>2.8610195042827629</v>
      </c>
      <c r="E122" s="67">
        <f t="shared" ca="1" si="97"/>
        <v>0.86795057260783626</v>
      </c>
      <c r="F122" s="67">
        <f t="shared" ca="1" si="97"/>
        <v>0.63775738801431459</v>
      </c>
      <c r="G122" s="67">
        <f t="shared" ca="1" si="97"/>
        <v>0.28962702540648166</v>
      </c>
      <c r="H122" s="67" t="str">
        <f t="shared" ca="1" si="97"/>
        <v/>
      </c>
      <c r="I122" s="67" t="str">
        <f t="shared" ca="1" si="97"/>
        <v/>
      </c>
      <c r="J122" s="67" t="str">
        <f t="shared" ca="1" si="97"/>
        <v/>
      </c>
      <c r="K122" s="67" t="str">
        <f t="shared" ca="1" si="97"/>
        <v/>
      </c>
      <c r="L122" s="67" t="str">
        <f t="shared" ca="1" si="97"/>
        <v/>
      </c>
    </row>
    <row r="123" spans="1:12" x14ac:dyDescent="0.35">
      <c r="A123" t="str">
        <f>IF(A7="","","    "&amp;A7)</f>
        <v xml:space="preserve">    Mexico</v>
      </c>
      <c r="C123" s="67">
        <f t="shared" ref="C123:L123" ca="1" si="98">IF(OR(C$26="",$A123=""),"",OFFSET(C$62,8*(ROW(B123)-ROW(B$121)),0))</f>
        <v>0.11290630981105854</v>
      </c>
      <c r="D123" s="67">
        <f t="shared" ca="1" si="98"/>
        <v>0.35457819453003792</v>
      </c>
      <c r="E123" s="67">
        <f t="shared" ca="1" si="98"/>
        <v>0.14878105251659535</v>
      </c>
      <c r="F123" s="67">
        <f t="shared" ca="1" si="98"/>
        <v>5.3553976712210183E-2</v>
      </c>
      <c r="G123" s="67">
        <f t="shared" ca="1" si="98"/>
        <v>0.17672635386018665</v>
      </c>
      <c r="H123" s="67" t="str">
        <f t="shared" ca="1" si="98"/>
        <v/>
      </c>
      <c r="I123" s="67" t="str">
        <f t="shared" ca="1" si="98"/>
        <v/>
      </c>
      <c r="J123" s="67" t="str">
        <f t="shared" ca="1" si="98"/>
        <v/>
      </c>
      <c r="K123" s="67" t="str">
        <f t="shared" ca="1" si="98"/>
        <v/>
      </c>
      <c r="L123" s="67" t="str">
        <f t="shared" ca="1" si="98"/>
        <v/>
      </c>
    </row>
    <row r="124" spans="1:12" x14ac:dyDescent="0.35">
      <c r="A124" t="str">
        <f>IF(A8="","","    "&amp;A8)</f>
        <v xml:space="preserve">    Shared, Reserve</v>
      </c>
      <c r="C124" s="67">
        <f t="shared" ref="C124:L124" ca="1" si="99">IF(OR(C$26="",$A124=""),"",OFFSET(C$62,8*(ROW(B124)-ROW(B$121)),0))</f>
        <v>11.59116925</v>
      </c>
      <c r="D124" s="67">
        <f t="shared" ca="1" si="99"/>
        <v>11.59116925</v>
      </c>
      <c r="E124" s="67">
        <f t="shared" ca="1" si="99"/>
        <v>11.59116925</v>
      </c>
      <c r="F124" s="67">
        <f t="shared" ca="1" si="99"/>
        <v>11.59116925</v>
      </c>
      <c r="G124" s="67">
        <f t="shared" ca="1" si="99"/>
        <v>11.59116925</v>
      </c>
      <c r="H124" s="67" t="str">
        <f t="shared" ca="1" si="99"/>
        <v/>
      </c>
      <c r="I124" s="67" t="str">
        <f t="shared" ca="1" si="99"/>
        <v/>
      </c>
      <c r="J124" s="67" t="str">
        <f t="shared" ca="1" si="99"/>
        <v/>
      </c>
      <c r="K124" s="67" t="str">
        <f t="shared" ca="1" si="99"/>
        <v/>
      </c>
      <c r="L124" s="67" t="str">
        <f t="shared" ca="1" si="99"/>
        <v/>
      </c>
    </row>
    <row r="125" spans="1:12" x14ac:dyDescent="0.35">
      <c r="A125" t="str">
        <f>IF(A9="","","    "&amp;A9)</f>
        <v/>
      </c>
      <c r="C125" s="67" t="str">
        <f t="shared" ref="C125:L125" ca="1" si="100">IF(OR(C$26="",$A125=""),"",OFFSET(C$62,8*(ROW(B125)-ROW(B$121)),0))</f>
        <v/>
      </c>
      <c r="D125" s="67" t="str">
        <f t="shared" ca="1" si="100"/>
        <v/>
      </c>
      <c r="E125" s="67" t="str">
        <f t="shared" ca="1" si="100"/>
        <v/>
      </c>
      <c r="F125" s="67" t="str">
        <f t="shared" ca="1" si="100"/>
        <v/>
      </c>
      <c r="G125" s="67" t="str">
        <f t="shared" ca="1" si="100"/>
        <v/>
      </c>
      <c r="H125" s="67" t="str">
        <f t="shared" ca="1" si="100"/>
        <v/>
      </c>
      <c r="I125" s="67" t="str">
        <f t="shared" ca="1" si="100"/>
        <v/>
      </c>
      <c r="J125" s="67" t="str">
        <f t="shared" ca="1" si="100"/>
        <v/>
      </c>
      <c r="K125" s="67" t="str">
        <f t="shared" ca="1" si="100"/>
        <v/>
      </c>
      <c r="L125" s="67" t="str">
        <f t="shared" ca="1" si="100"/>
        <v/>
      </c>
    </row>
    <row r="126" spans="1:12" x14ac:dyDescent="0.35">
      <c r="A126" t="str">
        <f>IF(A10="","","    "&amp;A10)</f>
        <v/>
      </c>
      <c r="C126" s="67" t="str">
        <f t="shared" ref="C126:L126" ca="1" si="101">IF(OR(C$26="",$A126=""),"",OFFSET(C$62,8*(ROW(B126)-ROW(B$121)),0))</f>
        <v/>
      </c>
      <c r="D126" s="67" t="str">
        <f t="shared" ca="1" si="101"/>
        <v/>
      </c>
      <c r="E126" s="67" t="str">
        <f t="shared" ca="1" si="101"/>
        <v/>
      </c>
      <c r="F126" s="67" t="str">
        <f t="shared" ca="1" si="101"/>
        <v/>
      </c>
      <c r="G126" s="67" t="str">
        <f t="shared" ca="1" si="101"/>
        <v/>
      </c>
      <c r="H126" s="67" t="str">
        <f t="shared" ca="1" si="101"/>
        <v/>
      </c>
      <c r="I126" s="67" t="str">
        <f t="shared" ca="1" si="101"/>
        <v/>
      </c>
      <c r="J126" s="67" t="str">
        <f t="shared" ca="1" si="101"/>
        <v/>
      </c>
      <c r="K126" s="67" t="str">
        <f t="shared" ca="1" si="101"/>
        <v/>
      </c>
      <c r="L126" s="67" t="str">
        <f t="shared" ca="1" si="101"/>
        <v/>
      </c>
    </row>
    <row r="127" spans="1:12" x14ac:dyDescent="0.35">
      <c r="A127" s="1" t="s">
        <v>123</v>
      </c>
      <c r="B127" s="1"/>
      <c r="C127" s="14">
        <f ca="1">IF(C$26&lt;&gt;"",SUM(C121:C126),"")</f>
        <v>19.278102320000027</v>
      </c>
      <c r="D127" s="14">
        <f t="shared" ref="D127:L127" ca="1" si="102">IF(D$26&lt;&gt;"",SUM(D121:D126),"")</f>
        <v>16.611442566000601</v>
      </c>
      <c r="E127" s="14">
        <f t="shared" ca="1" si="102"/>
        <v>14.115209246000601</v>
      </c>
      <c r="F127" s="14">
        <f t="shared" ca="1" si="102"/>
        <v>13.103063047500001</v>
      </c>
      <c r="G127" s="14">
        <f t="shared" ca="1" si="102"/>
        <v>12.529671215</v>
      </c>
      <c r="H127" s="14" t="str">
        <f t="shared" si="102"/>
        <v/>
      </c>
      <c r="I127" s="14" t="str">
        <f t="shared" si="102"/>
        <v/>
      </c>
      <c r="J127" s="14" t="str">
        <f t="shared" si="102"/>
        <v/>
      </c>
      <c r="K127" s="14" t="str">
        <f t="shared" si="102"/>
        <v/>
      </c>
      <c r="L127" s="14" t="str">
        <f t="shared" si="102"/>
        <v/>
      </c>
    </row>
    <row r="128" spans="1:12" x14ac:dyDescent="0.35">
      <c r="A128" s="1" t="s">
        <v>197</v>
      </c>
      <c r="B128" s="1"/>
      <c r="C128" s="68">
        <v>0.5</v>
      </c>
      <c r="D128" s="68">
        <v>0.65</v>
      </c>
      <c r="E128" s="68">
        <v>0.9</v>
      </c>
      <c r="F128" s="68">
        <v>0.5</v>
      </c>
      <c r="G128" s="68">
        <v>0.5</v>
      </c>
      <c r="H128" s="68"/>
      <c r="I128" s="68"/>
      <c r="J128" s="68"/>
      <c r="K128" s="68"/>
      <c r="L128" s="68"/>
    </row>
    <row r="129" spans="1:14" x14ac:dyDescent="0.35">
      <c r="A129" s="1" t="s">
        <v>193</v>
      </c>
      <c r="B129" s="1"/>
      <c r="C129" s="14">
        <f ca="1">IF(C26="","",C$128*C$127)</f>
        <v>9.6390511600000135</v>
      </c>
      <c r="D129" s="14">
        <f t="shared" ref="D129:L129" ca="1" si="103">IF(D26="","",D$128*D$127)</f>
        <v>10.797437667900391</v>
      </c>
      <c r="E129" s="14">
        <f t="shared" ca="1" si="103"/>
        <v>12.703688321400541</v>
      </c>
      <c r="F129" s="14">
        <f t="shared" ca="1" si="103"/>
        <v>6.5515315237500005</v>
      </c>
      <c r="G129" s="14">
        <f t="shared" ca="1" si="103"/>
        <v>6.2648356075000002</v>
      </c>
      <c r="H129" s="14" t="str">
        <f t="shared" si="103"/>
        <v/>
      </c>
      <c r="I129" s="14" t="str">
        <f t="shared" si="103"/>
        <v/>
      </c>
      <c r="J129" s="14" t="str">
        <f t="shared" si="103"/>
        <v/>
      </c>
      <c r="K129" s="14" t="str">
        <f t="shared" si="103"/>
        <v/>
      </c>
      <c r="L129" s="14" t="str">
        <f t="shared" si="103"/>
        <v/>
      </c>
    </row>
    <row r="130" spans="1:14" x14ac:dyDescent="0.35">
      <c r="A130" s="1" t="s">
        <v>194</v>
      </c>
      <c r="B130" s="1"/>
      <c r="C130" s="14">
        <f ca="1">IF(C27="","",(1-C$128)*C$127)</f>
        <v>9.6390511600000135</v>
      </c>
      <c r="D130" s="14">
        <f t="shared" ref="D130:L130" ca="1" si="104">IF(D27="","",(1-D$128)*D$127)</f>
        <v>5.8140048981002099</v>
      </c>
      <c r="E130" s="14">
        <f t="shared" ca="1" si="104"/>
        <v>1.4115209246000597</v>
      </c>
      <c r="F130" s="14">
        <f t="shared" ca="1" si="104"/>
        <v>6.5515315237500005</v>
      </c>
      <c r="G130" s="14">
        <f t="shared" ca="1" si="104"/>
        <v>6.2648356075000002</v>
      </c>
      <c r="H130" s="14" t="str">
        <f t="shared" si="104"/>
        <v/>
      </c>
      <c r="I130" s="14" t="str">
        <f t="shared" si="104"/>
        <v/>
      </c>
      <c r="J130" s="14" t="str">
        <f t="shared" si="104"/>
        <v/>
      </c>
      <c r="K130" s="14" t="str">
        <f t="shared" si="104"/>
        <v/>
      </c>
      <c r="L130" s="14" t="str">
        <f t="shared" si="104"/>
        <v/>
      </c>
    </row>
    <row r="131" spans="1:14" x14ac:dyDescent="0.35">
      <c r="A131" s="32" t="s">
        <v>282</v>
      </c>
      <c r="B131" s="1"/>
      <c r="C131" s="87">
        <f ca="1">IF(C$26&lt;&gt;"",VLOOKUP(C129*1000000,'Powell-Elevation-Area'!$B$5:$H$689,7),"")</f>
        <v>3576</v>
      </c>
      <c r="D131" s="87">
        <f ca="1">IF(D$26&lt;&gt;"",VLOOKUP(D129*1000000,'Powell-Elevation-Area'!$B$5:$H$689,7),"")</f>
        <v>3589.5</v>
      </c>
      <c r="E131" s="87">
        <f ca="1">IF(E$26&lt;&gt;"",VLOOKUP(E129*1000000,'Powell-Elevation-Area'!$B$5:$H$689,7),"")</f>
        <v>3609.5</v>
      </c>
      <c r="F131" s="87">
        <f ca="1">IF(F$26&lt;&gt;"",VLOOKUP(F129*1000000,'Powell-Elevation-Area'!$B$5:$H$689,7),"")</f>
        <v>3534.5</v>
      </c>
      <c r="G131" s="87">
        <f ca="1">IF(G$26&lt;&gt;"",VLOOKUP(G129*1000000,'Powell-Elevation-Area'!$B$5:$H$689,7),"")</f>
        <v>3530</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f ca="1">IF(C$26&lt;&gt;"",VLOOKUP(C130*1000000,'Mead-Elevation-Area'!$B$5:$H$689,7),"")</f>
        <v>1075</v>
      </c>
      <c r="D132" s="87">
        <f ca="1">IF(D$26&lt;&gt;"",VLOOKUP(D130*1000000,'Mead-Elevation-Area'!$B$5:$H$689,7),"")</f>
        <v>1022</v>
      </c>
      <c r="E132" s="87">
        <f ca="1">IF(E$26&lt;&gt;"",VLOOKUP(E130*1000000,'Mead-Elevation-Area'!$B$5:$H$689,7),"")</f>
        <v>935.5</v>
      </c>
      <c r="F132" s="87">
        <f ca="1">IF(F$26&lt;&gt;"",VLOOKUP(F130*1000000,'Mead-Elevation-Area'!$B$5:$H$689,7),"")</f>
        <v>1033.5</v>
      </c>
      <c r="G132" s="87">
        <f ca="1">IF(G$26&lt;&gt;"",VLOOKUP(G130*1000000,'Mead-Elevation-Area'!$B$5:$H$689,7),"")</f>
        <v>1029</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f ca="1">IF(C$26&lt;&gt;"",-C129+C37+C26-C61-VLOOKUP(C37*1000000,'Powell-Elevation-Area'!$B$5:$D$689,3)*$B$20/1000000,"")</f>
        <v>8.3380519599994134</v>
      </c>
      <c r="D134" s="14">
        <f ca="1">IF(D$26&lt;&gt;"",-D129+D37+D26-D61-VLOOKUP(D37*1000000,'Powell-Elevation-Area'!$B$5:$D$689,3)*$B$20/1000000,"")</f>
        <v>4.4618417381001949</v>
      </c>
      <c r="E134" s="14">
        <f ca="1">IF(E$26&lt;&gt;"",-E129+E37+E26-E61-VLOOKUP(E37*1000000,'Powell-Elevation-Area'!$B$5:$D$689,3)*$B$20/1000000,"")</f>
        <v>3.6764220264998495</v>
      </c>
      <c r="F134" s="14">
        <f ca="1">IF(F$26&lt;&gt;"",-F129+F37+F26-F61-VLOOKUP(F37*1000000,'Powell-Elevation-Area'!$B$5:$D$689,3)*$B$20/1000000,"")</f>
        <v>12.976896599150541</v>
      </c>
      <c r="G134" s="14">
        <f ca="1">IF(G$26&lt;&gt;"",-G129+G37+G26-G61-VLOOKUP(G37*1000000,'Powell-Elevation-Area'!$B$5:$D$689,3)*$B$20/1000000,"")</f>
        <v>7.7137860837499987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15</v>
      </c>
      <c r="F135" s="87" t="str">
        <f ca="1">IF(F$26&lt;&gt;"",VLOOKUP(F131,PowellReleaseTemperature!$A$5:$B$11,2),"")</f>
        <v>&lt; 18</v>
      </c>
      <c r="G135" s="87" t="str">
        <f ca="1">IF(G$26&lt;&gt;"",VLOOKUP(G131,PowellReleaseTemperature!$A$5:$B$11,2),"")</f>
        <v>&lt; 18</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43" t="s">
        <v>311</v>
      </c>
      <c r="B136" s="88"/>
      <c r="C136" s="142" t="str">
        <f ca="1">IF(C$26&lt;&gt;"",VLOOKUP(C$131,PowellReleaseTemperature!$A$5:$E$11,5),"")</f>
        <v>May benefit or face invasion</v>
      </c>
      <c r="D136" s="142" t="str">
        <f ca="1">IF(D$26&lt;&gt;"",VLOOKUP(D$131,PowellReleaseTemperature!$A$5:$E$11,5),"")</f>
        <v>May benefit or face invasion</v>
      </c>
      <c r="E136" s="142" t="str">
        <f ca="1">IF(E$26&lt;&gt;"",VLOOKUP(E$131,PowellReleaseTemperature!$A$5:$E$11,5),"")</f>
        <v>Increased relative abundance</v>
      </c>
      <c r="F136" s="142" t="str">
        <f ca="1">IF(F$26&lt;&gt;"",VLOOKUP(F$131,PowellReleaseTemperature!$A$5:$E$11,5),"")</f>
        <v>May benefit or face invasion</v>
      </c>
      <c r="G136" s="142" t="str">
        <f ca="1">IF(G$26&lt;&gt;"",VLOOKUP(G$131,PowellReleaseTemperature!$A$5:$E$11,5),"")</f>
        <v>May benefit or face invasion</v>
      </c>
      <c r="H136" s="142" t="str">
        <f>IF(H$26&lt;&gt;"",VLOOKUP(H$131,PowellReleaseTemperature!$A$5:$E$11,5),"")</f>
        <v/>
      </c>
      <c r="I136" s="142" t="str">
        <f>IF(I$26&lt;&gt;"",VLOOKUP(I$131,PowellReleaseTemperature!$A$5:$E$11,5),"")</f>
        <v/>
      </c>
      <c r="J136" s="142" t="str">
        <f>IF(J$26&lt;&gt;"",VLOOKUP(J$131,PowellReleaseTemperature!$A$5:$E$11,5),"")</f>
        <v/>
      </c>
      <c r="K136" s="142" t="str">
        <f>IF(K$26&lt;&gt;"",VLOOKUP(K$131,PowellReleaseTemperature!$A$5:$E$11,5),"")</f>
        <v/>
      </c>
      <c r="L136" s="142" t="str">
        <f>IF(L$26&lt;&gt;"",VLOOKUP(L$131,PowellReleaseTemperature!$A$5:$E$11,5),"")</f>
        <v/>
      </c>
    </row>
    <row r="137" spans="1:14" s="89" customFormat="1" ht="32" customHeight="1" x14ac:dyDescent="0.35">
      <c r="A137" s="143" t="s">
        <v>317</v>
      </c>
      <c r="B137" s="88"/>
      <c r="C137" s="142" t="str">
        <f ca="1">IF(C$26&lt;&gt;"",VLOOKUP(C$131,PowellReleaseTemperature!$A$5:$F$11,6),"")</f>
        <v>Help grow + incubate</v>
      </c>
      <c r="D137" s="142" t="str">
        <f ca="1">IF(D$26&lt;&gt;"",VLOOKUP(D$131,PowellReleaseTemperature!$A$5:$F$11,6),"")</f>
        <v>Help grow + incubate</v>
      </c>
      <c r="E137" s="142" t="str">
        <f ca="1">IF(E$26&lt;&gt;"",VLOOKUP(E$131,PowellReleaseTemperature!$A$5:$F$11,6),"")</f>
        <v>Help grow + incubate</v>
      </c>
      <c r="F137" s="142" t="str">
        <f ca="1">IF(F$26&lt;&gt;"",VLOOKUP(F$131,PowellReleaseTemperature!$A$5:$F$11,6),"")</f>
        <v>Help grow + incubate</v>
      </c>
      <c r="G137" s="142" t="str">
        <f ca="1">IF(G$26&lt;&gt;"",VLOOKUP(G$131,PowellReleaseTemperature!$A$5:$F$11,6),"")</f>
        <v>Help grow + incubate</v>
      </c>
      <c r="H137" s="142" t="str">
        <f>IF(H$26&lt;&gt;"",VLOOKUP(H$131,PowellReleaseTemperature!$A$5:$F$11,6),"")</f>
        <v/>
      </c>
      <c r="I137" s="142" t="str">
        <f>IF(I$26&lt;&gt;"",VLOOKUP(I$131,PowellReleaseTemperature!$A$5:$F$11,6),"")</f>
        <v/>
      </c>
      <c r="J137" s="142" t="str">
        <f>IF(J$26&lt;&gt;"",VLOOKUP(J$131,PowellReleaseTemperature!$A$5:$F$11,6),"")</f>
        <v/>
      </c>
      <c r="K137" s="142" t="str">
        <f>IF(K$26&lt;&gt;"",VLOOKUP(K$131,PowellReleaseTemperature!$A$5:$F$11,6),"")</f>
        <v/>
      </c>
      <c r="L137" s="142" t="str">
        <f>IF(L$26&lt;&gt;"",VLOOKUP(L$131,PowellReleaseTemperature!$A$5:$F$11,6),"")</f>
        <v/>
      </c>
    </row>
    <row r="138" spans="1:14" x14ac:dyDescent="0.35">
      <c r="C138" s="29"/>
    </row>
    <row r="139" spans="1:14" x14ac:dyDescent="0.35">
      <c r="A139" s="1" t="s">
        <v>125</v>
      </c>
      <c r="C139" s="169">
        <f>IF(C$26&lt;&gt;"",0.2,"")</f>
        <v>0.2</v>
      </c>
      <c r="D139" s="169">
        <f t="shared" ref="D139:L139" si="105">IF(D$26&lt;&gt;"",0.2,"")</f>
        <v>0.2</v>
      </c>
      <c r="E139" s="169">
        <f t="shared" si="105"/>
        <v>0.2</v>
      </c>
      <c r="F139" s="169">
        <f t="shared" si="105"/>
        <v>0.2</v>
      </c>
      <c r="G139" s="169">
        <f t="shared" si="105"/>
        <v>0.2</v>
      </c>
      <c r="H139" s="169" t="str">
        <f t="shared" si="105"/>
        <v/>
      </c>
      <c r="I139" s="169" t="str">
        <f t="shared" si="105"/>
        <v/>
      </c>
      <c r="J139" s="169" t="str">
        <f t="shared" si="105"/>
        <v/>
      </c>
      <c r="K139" s="169" t="str">
        <f t="shared" si="105"/>
        <v/>
      </c>
      <c r="L139" s="169" t="str">
        <f t="shared" si="105"/>
        <v/>
      </c>
    </row>
    <row r="140" spans="1:14" x14ac:dyDescent="0.35">
      <c r="A140" t="s">
        <v>126</v>
      </c>
      <c r="C140" s="14">
        <f t="shared" ref="C140:L140" ca="1" si="106">IF(C$26&lt;&gt;"",C115+C139,"")</f>
        <v>7.2</v>
      </c>
      <c r="D140" s="14">
        <f t="shared" ca="1" si="106"/>
        <v>7</v>
      </c>
      <c r="E140" s="14">
        <f t="shared" ca="1" si="106"/>
        <v>6.9</v>
      </c>
      <c r="F140" s="14">
        <f t="shared" ca="1" si="106"/>
        <v>6.8</v>
      </c>
      <c r="G140" s="14">
        <f t="shared" ca="1" si="106"/>
        <v>6.8</v>
      </c>
      <c r="H140" s="14" t="str">
        <f t="shared" si="106"/>
        <v/>
      </c>
      <c r="I140" s="14" t="str">
        <f t="shared" si="106"/>
        <v/>
      </c>
      <c r="J140" s="14" t="str">
        <f t="shared" si="106"/>
        <v/>
      </c>
      <c r="K140" s="14" t="str">
        <f t="shared" si="106"/>
        <v/>
      </c>
      <c r="L140" s="14" t="str">
        <f t="shared" si="106"/>
        <v/>
      </c>
    </row>
    <row r="142" spans="1:14" x14ac:dyDescent="0.35">
      <c r="D142" s="18"/>
    </row>
  </sheetData>
  <mergeCells count="13">
    <mergeCell ref="C7:G7"/>
    <mergeCell ref="D17:G17"/>
    <mergeCell ref="B12:F12"/>
    <mergeCell ref="B13:F13"/>
    <mergeCell ref="B14:F14"/>
    <mergeCell ref="B15:F15"/>
    <mergeCell ref="A3:G3"/>
    <mergeCell ref="C4:G4"/>
    <mergeCell ref="C5:G5"/>
    <mergeCell ref="C6:G6"/>
    <mergeCell ref="C8:G8"/>
    <mergeCell ref="C9:G9"/>
    <mergeCell ref="C10:G10"/>
  </mergeCells>
  <conditionalFormatting sqref="D61">
    <cfRule type="cellIs" dxfId="286" priority="95" operator="greaterThan">
      <formula>$D$60</formula>
    </cfRule>
  </conditionalFormatting>
  <conditionalFormatting sqref="C61">
    <cfRule type="cellIs" dxfId="285" priority="84" operator="greaterThan">
      <formula>$C$60</formula>
    </cfRule>
  </conditionalFormatting>
  <conditionalFormatting sqref="E61">
    <cfRule type="cellIs" dxfId="284" priority="82" operator="greaterThan">
      <formula>$E$60</formula>
    </cfRule>
  </conditionalFormatting>
  <conditionalFormatting sqref="F61">
    <cfRule type="cellIs" dxfId="283" priority="81" operator="greaterThan">
      <formula>$F$60</formula>
    </cfRule>
  </conditionalFormatting>
  <conditionalFormatting sqref="G61">
    <cfRule type="cellIs" dxfId="282" priority="80" operator="greaterThan">
      <formula>$G$60</formula>
    </cfRule>
  </conditionalFormatting>
  <conditionalFormatting sqref="H61">
    <cfRule type="cellIs" dxfId="281" priority="79" operator="greaterThan">
      <formula>$H$60</formula>
    </cfRule>
  </conditionalFormatting>
  <conditionalFormatting sqref="I61">
    <cfRule type="cellIs" dxfId="280" priority="78" operator="greaterThan">
      <formula>$I$60</formula>
    </cfRule>
  </conditionalFormatting>
  <conditionalFormatting sqref="J61">
    <cfRule type="cellIs" dxfId="279" priority="77" operator="greaterThan">
      <formula>$J$60</formula>
    </cfRule>
  </conditionalFormatting>
  <conditionalFormatting sqref="K61">
    <cfRule type="cellIs" dxfId="278" priority="76" operator="greaterThan">
      <formula>$K$60</formula>
    </cfRule>
  </conditionalFormatting>
  <conditionalFormatting sqref="L61">
    <cfRule type="cellIs" dxfId="277" priority="75" operator="greaterThan">
      <formula>$L$60</formula>
    </cfRule>
  </conditionalFormatting>
  <conditionalFormatting sqref="C69">
    <cfRule type="cellIs" dxfId="276" priority="67" operator="greaterThan">
      <formula>$C$68</formula>
    </cfRule>
  </conditionalFormatting>
  <conditionalFormatting sqref="D69">
    <cfRule type="cellIs" dxfId="275" priority="66" operator="greaterThan">
      <formula>$D$68</formula>
    </cfRule>
  </conditionalFormatting>
  <conditionalFormatting sqref="E69">
    <cfRule type="cellIs" dxfId="274" priority="65" operator="greaterThan">
      <formula>$E$68</formula>
    </cfRule>
  </conditionalFormatting>
  <conditionalFormatting sqref="F69">
    <cfRule type="cellIs" dxfId="273" priority="64" operator="greaterThan">
      <formula>$F$68</formula>
    </cfRule>
  </conditionalFormatting>
  <conditionalFormatting sqref="G69">
    <cfRule type="cellIs" dxfId="272" priority="63" operator="greaterThan">
      <formula>$G$68</formula>
    </cfRule>
  </conditionalFormatting>
  <conditionalFormatting sqref="H69">
    <cfRule type="cellIs" dxfId="271" priority="62" operator="greaterThan">
      <formula>$H$68</formula>
    </cfRule>
  </conditionalFormatting>
  <conditionalFormatting sqref="I69">
    <cfRule type="cellIs" dxfId="270" priority="61" operator="greaterThan">
      <formula>$I$68</formula>
    </cfRule>
  </conditionalFormatting>
  <conditionalFormatting sqref="J69">
    <cfRule type="cellIs" dxfId="269" priority="60" operator="greaterThan">
      <formula>$J$68</formula>
    </cfRule>
  </conditionalFormatting>
  <conditionalFormatting sqref="K69">
    <cfRule type="cellIs" dxfId="268" priority="59" operator="greaterThan">
      <formula>$K$68</formula>
    </cfRule>
  </conditionalFormatting>
  <conditionalFormatting sqref="L69">
    <cfRule type="cellIs" dxfId="267" priority="58" operator="greaterThan">
      <formula>$L$68</formula>
    </cfRule>
  </conditionalFormatting>
  <conditionalFormatting sqref="C77">
    <cfRule type="cellIs" dxfId="266" priority="57" operator="greaterThan">
      <formula>$C$76</formula>
    </cfRule>
  </conditionalFormatting>
  <conditionalFormatting sqref="D77">
    <cfRule type="cellIs" dxfId="265" priority="56" operator="greaterThan">
      <formula>$D$76</formula>
    </cfRule>
  </conditionalFormatting>
  <conditionalFormatting sqref="E77">
    <cfRule type="cellIs" dxfId="264" priority="55" operator="greaterThan">
      <formula>$E$76</formula>
    </cfRule>
  </conditionalFormatting>
  <conditionalFormatting sqref="F77">
    <cfRule type="cellIs" dxfId="263" priority="54" operator="greaterThan">
      <formula>$F$76</formula>
    </cfRule>
  </conditionalFormatting>
  <conditionalFormatting sqref="G77">
    <cfRule type="cellIs" dxfId="262" priority="53" operator="greaterThan">
      <formula>$G$76</formula>
    </cfRule>
  </conditionalFormatting>
  <conditionalFormatting sqref="H77">
    <cfRule type="cellIs" dxfId="261" priority="52" operator="greaterThan">
      <formula>$H$76</formula>
    </cfRule>
  </conditionalFormatting>
  <conditionalFormatting sqref="I77">
    <cfRule type="cellIs" dxfId="260" priority="51" operator="greaterThan">
      <formula>$I$76</formula>
    </cfRule>
  </conditionalFormatting>
  <conditionalFormatting sqref="J77">
    <cfRule type="cellIs" dxfId="259" priority="50" operator="greaterThan">
      <formula>$J$76</formula>
    </cfRule>
  </conditionalFormatting>
  <conditionalFormatting sqref="K77">
    <cfRule type="cellIs" dxfId="258" priority="49" operator="greaterThan">
      <formula>$K$76</formula>
    </cfRule>
  </conditionalFormatting>
  <conditionalFormatting sqref="L77">
    <cfRule type="cellIs" dxfId="257" priority="48" operator="greaterThan">
      <formula>$L$76</formula>
    </cfRule>
  </conditionalFormatting>
  <conditionalFormatting sqref="C85:L85">
    <cfRule type="cellIs" dxfId="256" priority="47" operator="greaterThan">
      <formula>$C$84</formula>
    </cfRule>
  </conditionalFormatting>
  <conditionalFormatting sqref="C93">
    <cfRule type="cellIs" dxfId="255" priority="37" operator="greaterThan">
      <formula>$C$92</formula>
    </cfRule>
  </conditionalFormatting>
  <conditionalFormatting sqref="D93">
    <cfRule type="cellIs" dxfId="254" priority="36" operator="greaterThan">
      <formula>$D$92</formula>
    </cfRule>
  </conditionalFormatting>
  <conditionalFormatting sqref="E93">
    <cfRule type="cellIs" dxfId="253" priority="35" operator="greaterThan">
      <formula>$E$92</formula>
    </cfRule>
  </conditionalFormatting>
  <conditionalFormatting sqref="F93">
    <cfRule type="cellIs" dxfId="252" priority="34" operator="greaterThan">
      <formula>$F$92</formula>
    </cfRule>
  </conditionalFormatting>
  <conditionalFormatting sqref="G93">
    <cfRule type="cellIs" dxfId="251" priority="33" operator="greaterThan">
      <formula>$G$92</formula>
    </cfRule>
  </conditionalFormatting>
  <conditionalFormatting sqref="H93">
    <cfRule type="cellIs" dxfId="250" priority="32" operator="greaterThan">
      <formula>$H$92</formula>
    </cfRule>
  </conditionalFormatting>
  <conditionalFormatting sqref="I93">
    <cfRule type="cellIs" dxfId="249" priority="31" operator="greaterThan">
      <formula>$I$92</formula>
    </cfRule>
  </conditionalFormatting>
  <conditionalFormatting sqref="J93">
    <cfRule type="cellIs" dxfId="248" priority="30" operator="greaterThan">
      <formula>$J$92</formula>
    </cfRule>
  </conditionalFormatting>
  <conditionalFormatting sqref="K93">
    <cfRule type="cellIs" dxfId="247" priority="29" operator="greaterThan">
      <formula>$K$92</formula>
    </cfRule>
  </conditionalFormatting>
  <conditionalFormatting sqref="L93">
    <cfRule type="cellIs" dxfId="246" priority="28" operator="greaterThan">
      <formula>$L$92</formula>
    </cfRule>
  </conditionalFormatting>
  <conditionalFormatting sqref="C101">
    <cfRule type="cellIs" dxfId="245" priority="27" operator="greaterThan">
      <formula>$C$100</formula>
    </cfRule>
  </conditionalFormatting>
  <conditionalFormatting sqref="D101">
    <cfRule type="cellIs" dxfId="244" priority="26" operator="greaterThan">
      <formula>$D$100</formula>
    </cfRule>
  </conditionalFormatting>
  <conditionalFormatting sqref="E101">
    <cfRule type="cellIs" dxfId="243" priority="25" operator="greaterThan">
      <formula>$E$100</formula>
    </cfRule>
  </conditionalFormatting>
  <conditionalFormatting sqref="F101">
    <cfRule type="cellIs" dxfId="242" priority="24" operator="greaterThan">
      <formula>$F$100</formula>
    </cfRule>
  </conditionalFormatting>
  <conditionalFormatting sqref="G101">
    <cfRule type="cellIs" dxfId="241" priority="23" operator="greaterThan">
      <formula>$G$100</formula>
    </cfRule>
  </conditionalFormatting>
  <conditionalFormatting sqref="H101">
    <cfRule type="cellIs" dxfId="240" priority="22" operator="greaterThan">
      <formula>$H$100</formula>
    </cfRule>
  </conditionalFormatting>
  <conditionalFormatting sqref="I101">
    <cfRule type="cellIs" dxfId="239" priority="21" operator="greaterThan">
      <formula>$I$100</formula>
    </cfRule>
  </conditionalFormatting>
  <conditionalFormatting sqref="J101">
    <cfRule type="cellIs" dxfId="238" priority="20" operator="greaterThan">
      <formula>$J$100</formula>
    </cfRule>
  </conditionalFormatting>
  <conditionalFormatting sqref="K101">
    <cfRule type="cellIs" dxfId="237" priority="19" operator="greaterThan">
      <formula>$K$100</formula>
    </cfRule>
  </conditionalFormatting>
  <conditionalFormatting sqref="L101">
    <cfRule type="cellIs" dxfId="236"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36" zoomScale="150" zoomScaleNormal="150" workbookViewId="0">
      <selection activeCell="H36"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t="s">
        <v>153</v>
      </c>
      <c r="C5" s="165" t="s">
        <v>331</v>
      </c>
      <c r="D5" s="158"/>
      <c r="E5" s="158"/>
      <c r="F5" s="158"/>
      <c r="G5" s="158"/>
      <c r="M5" t="s">
        <v>322</v>
      </c>
    </row>
    <row r="6" spans="1:13" x14ac:dyDescent="0.35">
      <c r="A6" s="157" t="s">
        <v>40</v>
      </c>
      <c r="B6" s="157" t="s">
        <v>153</v>
      </c>
      <c r="C6" s="165" t="s">
        <v>331</v>
      </c>
      <c r="D6" s="158"/>
      <c r="E6" s="158"/>
      <c r="F6" s="158"/>
      <c r="G6" s="158"/>
      <c r="M6" t="s">
        <v>327</v>
      </c>
    </row>
    <row r="7" spans="1:13" x14ac:dyDescent="0.35">
      <c r="A7" s="157" t="s">
        <v>41</v>
      </c>
      <c r="B7" s="157" t="s">
        <v>153</v>
      </c>
      <c r="C7" s="165" t="s">
        <v>331</v>
      </c>
      <c r="D7" s="158"/>
      <c r="E7" s="158"/>
      <c r="F7" s="158"/>
      <c r="G7" s="158"/>
      <c r="M7" t="s">
        <v>328</v>
      </c>
    </row>
    <row r="8" spans="1:13" x14ac:dyDescent="0.35">
      <c r="A8" s="117" t="s">
        <v>157</v>
      </c>
      <c r="B8" s="117" t="s">
        <v>153</v>
      </c>
      <c r="C8" s="132" t="s">
        <v>323</v>
      </c>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v>11</v>
      </c>
      <c r="D26" s="170">
        <v>9</v>
      </c>
      <c r="E26" s="170">
        <v>8.1</v>
      </c>
      <c r="F26" s="170">
        <v>8.1</v>
      </c>
      <c r="G26" s="170">
        <v>8.1</v>
      </c>
      <c r="H26" s="170"/>
      <c r="I26" s="170"/>
      <c r="J26" s="170"/>
      <c r="K26" s="170"/>
      <c r="L26" s="170"/>
    </row>
    <row r="27" spans="1:14" x14ac:dyDescent="0.35">
      <c r="A27" s="1" t="s">
        <v>121</v>
      </c>
      <c r="B27" s="1"/>
      <c r="C27" s="169">
        <f>IF(C$26&lt;&gt;"",0.8,"")</f>
        <v>0.8</v>
      </c>
      <c r="D27" s="169">
        <f t="shared" ref="D27:L27" si="0">IF(D$26&lt;&gt;"",0.8,"")</f>
        <v>0.8</v>
      </c>
      <c r="E27" s="169">
        <f t="shared" si="0"/>
        <v>0.8</v>
      </c>
      <c r="F27" s="169">
        <f t="shared" si="0"/>
        <v>0.8</v>
      </c>
      <c r="G27" s="169">
        <f t="shared" si="0"/>
        <v>0.8</v>
      </c>
      <c r="H27" s="169" t="str">
        <f t="shared" si="0"/>
        <v/>
      </c>
      <c r="I27" s="169" t="str">
        <f t="shared" si="0"/>
        <v/>
      </c>
      <c r="J27" s="169" t="str">
        <f t="shared" si="0"/>
        <v/>
      </c>
      <c r="K27" s="169" t="str">
        <f t="shared" si="0"/>
        <v/>
      </c>
      <c r="L27" s="169" t="str">
        <f t="shared" si="0"/>
        <v/>
      </c>
    </row>
    <row r="28" spans="1:14" x14ac:dyDescent="0.35">
      <c r="A28" s="1" t="s">
        <v>305</v>
      </c>
      <c r="B28" s="1"/>
      <c r="C28" s="169">
        <f>IF(C$26&lt;&gt;"",0.6,"")</f>
        <v>0.6</v>
      </c>
      <c r="D28" s="169">
        <f t="shared" ref="D28:L28" si="1">IF(D$26&lt;&gt;"",0.6,"")</f>
        <v>0.6</v>
      </c>
      <c r="E28" s="169">
        <f t="shared" si="1"/>
        <v>0.6</v>
      </c>
      <c r="F28" s="169">
        <f t="shared" si="1"/>
        <v>0.6</v>
      </c>
      <c r="G28" s="169">
        <f t="shared" si="1"/>
        <v>0.6</v>
      </c>
      <c r="H28" s="169" t="str">
        <f t="shared" si="1"/>
        <v/>
      </c>
      <c r="I28" s="169" t="str">
        <f t="shared" si="1"/>
        <v/>
      </c>
      <c r="J28" s="169" t="str">
        <f t="shared" si="1"/>
        <v/>
      </c>
      <c r="K28" s="169" t="str">
        <f t="shared" si="1"/>
        <v/>
      </c>
      <c r="L28" s="169" t="str">
        <f t="shared" si="1"/>
        <v/>
      </c>
    </row>
    <row r="29" spans="1:14" x14ac:dyDescent="0.35">
      <c r="A29" s="1" t="s">
        <v>124</v>
      </c>
      <c r="B29" s="114">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IF(A5="","","    "&amp;A5&amp;" Balance")</f>
        <v xml:space="preserve">    Upper Basin Balance</v>
      </c>
      <c r="B30" s="115">
        <f>B21-B23</f>
        <v>5.0734237499999999</v>
      </c>
      <c r="C30" s="112">
        <f>IF(OR(C$26="",$A30=""),"",B30)</f>
        <v>5.0734237499999999</v>
      </c>
      <c r="D30" s="14">
        <f ca="1">IF(OR(D$26="",$A30=""),"",C121)</f>
        <v>3.4040452368981784</v>
      </c>
      <c r="E30" s="14">
        <f t="shared" ref="E30:L30" ca="1" si="3">IF(OR(E$26="",$A30=""),"",D121)</f>
        <v>0</v>
      </c>
      <c r="F30" s="14">
        <f t="shared" ca="1" si="3"/>
        <v>0</v>
      </c>
      <c r="G30" s="14">
        <f t="shared" ca="1" si="3"/>
        <v>0</v>
      </c>
      <c r="H30" s="14" t="str">
        <f t="shared" si="3"/>
        <v/>
      </c>
      <c r="I30" s="14" t="str">
        <f t="shared" si="3"/>
        <v/>
      </c>
      <c r="J30" s="14" t="str">
        <f t="shared" si="3"/>
        <v/>
      </c>
      <c r="K30" s="14" t="str">
        <f t="shared" si="3"/>
        <v/>
      </c>
      <c r="L30" s="14" t="str">
        <f t="shared" si="3"/>
        <v/>
      </c>
      <c r="N30" t="s">
        <v>177</v>
      </c>
    </row>
    <row r="31" spans="1:14" x14ac:dyDescent="0.35">
      <c r="A31" t="str">
        <f>IF(A6="","","    "&amp;A6&amp;" Balance")</f>
        <v xml:space="preserve">    Lower Basin Balance</v>
      </c>
      <c r="B31" s="115">
        <f>C21-C23-B32</f>
        <v>4.2614069999999993</v>
      </c>
      <c r="C31" s="112">
        <f t="shared" ref="C31:C35" si="4">IF(OR(C$26="",$A31=""),"",B31)</f>
        <v>4.2614069999999993</v>
      </c>
      <c r="D31" s="14">
        <f t="shared" ref="D31:L35" ca="1" si="5">IF(OR(D$26="",$A31=""),"",C122)</f>
        <v>3.2109815232907888</v>
      </c>
      <c r="E31" s="14">
        <f t="shared" ca="1" si="5"/>
        <v>2.5623520451145225</v>
      </c>
      <c r="F31" s="14">
        <f t="shared" ca="1" si="5"/>
        <v>2.2299807300538657</v>
      </c>
      <c r="G31" s="14">
        <f t="shared" ca="1" si="5"/>
        <v>1.9695642004172758</v>
      </c>
      <c r="H31" s="14" t="str">
        <f t="shared" si="5"/>
        <v/>
      </c>
      <c r="I31" s="14" t="str">
        <f t="shared" si="5"/>
        <v/>
      </c>
      <c r="J31" s="14" t="str">
        <f t="shared" si="5"/>
        <v/>
      </c>
      <c r="K31" s="14" t="str">
        <f t="shared" si="5"/>
        <v/>
      </c>
      <c r="L31" s="14" t="str">
        <f t="shared" si="5"/>
        <v/>
      </c>
      <c r="N31" t="s">
        <v>174</v>
      </c>
    </row>
    <row r="32" spans="1:14" x14ac:dyDescent="0.35">
      <c r="A32" t="str">
        <f>IF(A7="","","    "&amp;A7&amp;" Balance")</f>
        <v xml:space="preserve">    Mexico Balance</v>
      </c>
      <c r="B32" s="116">
        <v>0.17399999999999999</v>
      </c>
      <c r="C32" s="113">
        <f t="shared" si="4"/>
        <v>0.17399999999999999</v>
      </c>
      <c r="D32" s="52">
        <f t="shared" ca="1" si="5"/>
        <v>0.16557297647772518</v>
      </c>
      <c r="E32" s="52">
        <f t="shared" ca="1" si="5"/>
        <v>0.1571001961234586</v>
      </c>
      <c r="F32" s="52">
        <f t="shared" ca="1" si="5"/>
        <v>-5.1813304749818379E-2</v>
      </c>
      <c r="G32" s="52">
        <f t="shared" ca="1" si="5"/>
        <v>-0.14882516594656248</v>
      </c>
      <c r="H32" s="14" t="str">
        <f t="shared" si="5"/>
        <v/>
      </c>
      <c r="I32" s="14" t="str">
        <f t="shared" si="5"/>
        <v/>
      </c>
      <c r="J32" s="14" t="str">
        <f t="shared" si="5"/>
        <v/>
      </c>
      <c r="K32" s="14" t="str">
        <f t="shared" si="5"/>
        <v/>
      </c>
      <c r="L32" s="14" t="str">
        <f t="shared" si="5"/>
        <v/>
      </c>
      <c r="N32" t="s">
        <v>173</v>
      </c>
    </row>
    <row r="33" spans="1:14" x14ac:dyDescent="0.35">
      <c r="A33" t="str">
        <f>IF(A8="","","    "&amp;A8&amp;" Balance")</f>
        <v xml:space="preserve">    Shared, Reserve Balance</v>
      </c>
      <c r="B33" s="115">
        <f>SUM(B23:C23)</f>
        <v>11.59116925</v>
      </c>
      <c r="C33" s="112">
        <f t="shared" si="4"/>
        <v>11.59116925</v>
      </c>
      <c r="D33" s="14">
        <f t="shared" ca="1" si="5"/>
        <v>11.59116925</v>
      </c>
      <c r="E33" s="14">
        <f t="shared" ca="1" si="5"/>
        <v>11.59116925</v>
      </c>
      <c r="F33" s="14">
        <f t="shared" ca="1" si="5"/>
        <v>11.59116925</v>
      </c>
      <c r="G33" s="14">
        <f t="shared" ca="1" si="5"/>
        <v>11.59116925</v>
      </c>
      <c r="H33" s="14" t="str">
        <f t="shared" si="5"/>
        <v/>
      </c>
      <c r="I33" s="14" t="str">
        <f t="shared" si="5"/>
        <v/>
      </c>
      <c r="J33" s="14" t="str">
        <f t="shared" si="5"/>
        <v/>
      </c>
      <c r="K33" s="14" t="str">
        <f t="shared" si="5"/>
        <v/>
      </c>
      <c r="L33" s="14" t="str">
        <f t="shared" si="5"/>
        <v/>
      </c>
    </row>
    <row r="34" spans="1:14" x14ac:dyDescent="0.35">
      <c r="A34" t="str">
        <f>IF(A9="","","    "&amp;A9&amp;" Balance")</f>
        <v/>
      </c>
      <c r="B34" s="115"/>
      <c r="C34" s="112"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f>IF(C$26&lt;&gt;"",B21,"")</f>
        <v>11</v>
      </c>
      <c r="D37" s="14">
        <f ca="1">IF(D$26&lt;&gt;"",C129,"")</f>
        <v>9.1858844933333472</v>
      </c>
      <c r="E37" s="14">
        <f t="shared" ref="E37:G38" ca="1" si="6">IF(E$26&lt;&gt;"",D129,"")</f>
        <v>7.1553107456189906</v>
      </c>
      <c r="F37" s="14">
        <f t="shared" ca="1" si="6"/>
        <v>6.8846683376520232</v>
      </c>
      <c r="G37" s="14">
        <f t="shared" ca="1" si="6"/>
        <v>6.705954142235357</v>
      </c>
      <c r="H37" s="14" t="str">
        <f t="shared" ref="H37:H38" si="7">IF(H$26&lt;&gt;"",G129,"")</f>
        <v/>
      </c>
      <c r="I37" s="14" t="str">
        <f t="shared" ref="I37:I38" si="8">IF(I$26&lt;&gt;"",H129,"")</f>
        <v/>
      </c>
      <c r="J37" s="14" t="str">
        <f t="shared" ref="J37:J38" si="9">IF(J$26&lt;&gt;"",I129,"")</f>
        <v/>
      </c>
      <c r="K37" s="14" t="str">
        <f t="shared" ref="K37:K38" si="10">IF(K$26&lt;&gt;"",J129,"")</f>
        <v/>
      </c>
      <c r="L37" s="14" t="str">
        <f t="shared" ref="L37:L38" si="11">IF(L$26&lt;&gt;"",K129,"")</f>
        <v/>
      </c>
    </row>
    <row r="38" spans="1:14" x14ac:dyDescent="0.35">
      <c r="A38" t="s">
        <v>114</v>
      </c>
      <c r="C38" s="14">
        <f>IF(C$26&lt;&gt;"",C21,"")</f>
        <v>10.1</v>
      </c>
      <c r="D38" s="14">
        <f ca="1">IF(D$26&lt;&gt;"",C130,"")</f>
        <v>9.1858844933333472</v>
      </c>
      <c r="E38" s="14">
        <f t="shared" ca="1" si="6"/>
        <v>7.1553107456189906</v>
      </c>
      <c r="F38" s="14">
        <f t="shared" ca="1" si="6"/>
        <v>6.8846683376520232</v>
      </c>
      <c r="G38" s="14">
        <f t="shared" ca="1" si="6"/>
        <v>6.705954142235357</v>
      </c>
      <c r="H38" s="14" t="str">
        <f t="shared" si="7"/>
        <v/>
      </c>
      <c r="I38" s="14" t="str">
        <f t="shared" si="8"/>
        <v/>
      </c>
      <c r="J38" s="14" t="str">
        <f t="shared" si="9"/>
        <v/>
      </c>
      <c r="K38" s="14" t="str">
        <f t="shared" si="10"/>
        <v/>
      </c>
      <c r="L38" s="14" t="str">
        <f t="shared" si="11"/>
        <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IF(A5="","","    "&amp;A5&amp;" Share")</f>
        <v xml:space="preserve">    Upper Basin Share</v>
      </c>
      <c r="B40" s="1"/>
      <c r="C40" s="14">
        <f t="shared" ref="C40:L45" si="12">IF(OR(C$26="",$A40=""),"",C$39*C30/C$29)</f>
        <v>0.24571184643515467</v>
      </c>
      <c r="D40" s="14">
        <f t="shared" ca="1" si="12"/>
        <v>0.1741934476373071</v>
      </c>
      <c r="E40" s="14">
        <f t="shared" ca="1" si="12"/>
        <v>0</v>
      </c>
      <c r="F40" s="14">
        <f t="shared" ca="1" si="12"/>
        <v>0</v>
      </c>
      <c r="G40" s="14">
        <f t="shared" ca="1" si="12"/>
        <v>0</v>
      </c>
      <c r="H40" s="14" t="str">
        <f t="shared" si="12"/>
        <v/>
      </c>
      <c r="I40" s="14" t="str">
        <f t="shared" si="12"/>
        <v/>
      </c>
      <c r="J40" s="14" t="str">
        <f t="shared" si="12"/>
        <v/>
      </c>
      <c r="K40" s="14" t="str">
        <f t="shared" si="12"/>
        <v/>
      </c>
      <c r="L40" s="14" t="str">
        <f t="shared" si="12"/>
        <v/>
      </c>
    </row>
    <row r="41" spans="1:14" x14ac:dyDescent="0.35">
      <c r="A41" t="str">
        <f>IF(A6="","","    "&amp;A6&amp;" Share")</f>
        <v xml:space="preserve">    Lower Basin Share</v>
      </c>
      <c r="B41" s="1"/>
      <c r="C41" s="14">
        <f t="shared" si="12"/>
        <v>0.20638492544244763</v>
      </c>
      <c r="D41" s="14">
        <f t="shared" ca="1" si="12"/>
        <v>0.16431389799960092</v>
      </c>
      <c r="E41" s="14">
        <f t="shared" ca="1" si="12"/>
        <v>0.14538191393359506</v>
      </c>
      <c r="F41" s="14">
        <f t="shared" ca="1" si="12"/>
        <v>0.12860580853049078</v>
      </c>
      <c r="G41" s="14">
        <f t="shared" ca="1" si="12"/>
        <v>0.11509465376106434</v>
      </c>
      <c r="H41" s="14" t="str">
        <f t="shared" si="12"/>
        <v/>
      </c>
      <c r="I41" s="14" t="str">
        <f t="shared" si="12"/>
        <v/>
      </c>
      <c r="J41" s="14" t="str">
        <f t="shared" si="12"/>
        <v/>
      </c>
      <c r="K41" s="14" t="str">
        <f t="shared" si="12"/>
        <v/>
      </c>
      <c r="L41" s="14" t="str">
        <f t="shared" si="12"/>
        <v/>
      </c>
    </row>
    <row r="42" spans="1:14" x14ac:dyDescent="0.35">
      <c r="A42" t="str">
        <f>IF(A7="","","    "&amp;A7&amp;" Share")</f>
        <v xml:space="preserve">    Mexico Share</v>
      </c>
      <c r="B42" s="1"/>
      <c r="C42" s="14">
        <f t="shared" si="12"/>
        <v>8.4270235222746598E-3</v>
      </c>
      <c r="D42" s="14">
        <f t="shared" ca="1" si="12"/>
        <v>8.4727803542666066E-3</v>
      </c>
      <c r="E42" s="14">
        <f t="shared" ca="1" si="12"/>
        <v>8.9135008732770631E-3</v>
      </c>
      <c r="F42" s="14">
        <f t="shared" ca="1" si="12"/>
        <v>-2.9881388032560051E-3</v>
      </c>
      <c r="G42" s="14">
        <f t="shared" ca="1" si="12"/>
        <v>-8.6968380832285509E-3</v>
      </c>
      <c r="H42" s="14" t="str">
        <f t="shared" si="12"/>
        <v/>
      </c>
      <c r="I42" s="14" t="str">
        <f t="shared" si="12"/>
        <v/>
      </c>
      <c r="J42" s="14" t="str">
        <f t="shared" si="12"/>
        <v/>
      </c>
      <c r="K42" s="14" t="str">
        <f t="shared" si="12"/>
        <v/>
      </c>
      <c r="L42" s="14" t="str">
        <f t="shared" si="12"/>
        <v/>
      </c>
    </row>
    <row r="43" spans="1:14" x14ac:dyDescent="0.35">
      <c r="A43" t="str">
        <f>IF(A8="","","    "&amp;A8&amp;" Share")</f>
        <v xml:space="preserve">    Shared, Reserve Share</v>
      </c>
      <c r="B43" s="1"/>
      <c r="C43" s="14">
        <f t="shared" si="12"/>
        <v>0.56137388460009618</v>
      </c>
      <c r="D43" s="14">
        <f t="shared" ca="1" si="12"/>
        <v>0.59314891350999832</v>
      </c>
      <c r="E43" s="14">
        <f t="shared" ca="1" si="12"/>
        <v>0.65765606779372787</v>
      </c>
      <c r="F43" s="14">
        <f t="shared" ca="1" si="12"/>
        <v>0.66847738777276533</v>
      </c>
      <c r="G43" s="14">
        <f t="shared" ca="1" si="12"/>
        <v>0.67734862932216422</v>
      </c>
      <c r="H43" s="14" t="str">
        <f t="shared" si="12"/>
        <v/>
      </c>
      <c r="I43" s="14" t="str">
        <f t="shared" si="12"/>
        <v/>
      </c>
      <c r="J43" s="14" t="str">
        <f t="shared" si="12"/>
        <v/>
      </c>
      <c r="K43" s="14" t="str">
        <f t="shared" si="12"/>
        <v/>
      </c>
      <c r="L43" s="14" t="str">
        <f t="shared" si="12"/>
        <v/>
      </c>
    </row>
    <row r="44" spans="1:14" x14ac:dyDescent="0.35">
      <c r="A44" t="str">
        <f>IF(A9="","","    "&amp;A9&amp;" Share")</f>
        <v/>
      </c>
      <c r="B44" s="1"/>
      <c r="C44" s="14" t="str">
        <f t="shared" si="12"/>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IF(A10="","","    "&amp;A10&amp;" Share")</f>
        <v/>
      </c>
      <c r="B45" s="1"/>
      <c r="C45" s="14" t="str">
        <f t="shared" si="12"/>
        <v/>
      </c>
      <c r="D45" s="14" t="str">
        <f t="shared" si="12"/>
        <v/>
      </c>
      <c r="E45" s="14" t="str">
        <f t="shared" si="12"/>
        <v/>
      </c>
      <c r="F45" s="14" t="str">
        <f t="shared" si="12"/>
        <v/>
      </c>
      <c r="G45" s="14" t="str">
        <f t="shared" si="12"/>
        <v/>
      </c>
      <c r="H45" s="14" t="str">
        <f t="shared" si="12"/>
        <v/>
      </c>
      <c r="I45" s="14" t="str">
        <f t="shared" si="12"/>
        <v/>
      </c>
      <c r="J45" s="14" t="str">
        <f t="shared" si="12"/>
        <v/>
      </c>
      <c r="K45" s="14" t="str">
        <f t="shared" si="12"/>
        <v/>
      </c>
      <c r="L45" s="14" t="str">
        <f t="shared" si="12"/>
        <v/>
      </c>
    </row>
    <row r="46" spans="1:14" x14ac:dyDescent="0.35">
      <c r="A46" s="1" t="s">
        <v>259</v>
      </c>
      <c r="B46" s="75"/>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306</v>
      </c>
      <c r="B47" s="1"/>
      <c r="C47" s="51">
        <f>IF(C26="","",SUM(C26:C27)-C28)</f>
        <v>11.200000000000001</v>
      </c>
      <c r="D47" s="51">
        <f t="shared" ref="D47:L47" si="13">IF(D26="","",SUM(D26:D27)-D28)</f>
        <v>9.2000000000000011</v>
      </c>
      <c r="E47" s="14">
        <f t="shared" si="13"/>
        <v>8.3000000000000007</v>
      </c>
      <c r="F47" s="51">
        <f t="shared" si="13"/>
        <v>8.3000000000000007</v>
      </c>
      <c r="G47" s="51">
        <f t="shared" si="13"/>
        <v>8.3000000000000007</v>
      </c>
      <c r="H47" s="51" t="str">
        <f t="shared" si="13"/>
        <v/>
      </c>
      <c r="I47" s="51" t="str">
        <f t="shared" si="13"/>
        <v/>
      </c>
      <c r="J47" s="51" t="str">
        <f t="shared" si="13"/>
        <v/>
      </c>
      <c r="K47" s="51" t="str">
        <f t="shared" si="13"/>
        <v/>
      </c>
      <c r="L47" s="51" t="str">
        <f t="shared" si="13"/>
        <v/>
      </c>
      <c r="M47" s="45"/>
      <c r="N47" s="45"/>
    </row>
    <row r="48" spans="1:14" x14ac:dyDescent="0.35">
      <c r="A48" t="str">
        <f>IF(A5="","","    To "&amp;A5)</f>
        <v xml:space="preserve">    To Upper Basin</v>
      </c>
      <c r="B48" s="163" t="s">
        <v>147</v>
      </c>
      <c r="C48" s="112">
        <f>IF(OR(C$26="",$A48=""),"",IF(C$26&gt;SUM(MIN($B49,C26-C50/2)+C50/2),C$26-SUM(MIN($B49,C26-C50/2)+C50/2),0))</f>
        <v>2.7763333333333335</v>
      </c>
      <c r="D48" s="112">
        <f t="shared" ref="D48:L48" ca="1" si="14">IF(OR(D$26="",$A48=""),"",IF(D$26&gt;SUM(MIN($B49,D26-D50/2)+D50/2),D$26-SUM(MIN($B49,D26-D50/2)+D50/2),0))</f>
        <v>0.79583333333333428</v>
      </c>
      <c r="E48" s="112">
        <f t="shared" ca="1" si="14"/>
        <v>0</v>
      </c>
      <c r="F48" s="112">
        <f t="shared" ca="1" si="14"/>
        <v>0</v>
      </c>
      <c r="G48" s="112">
        <f t="shared" ca="1" si="14"/>
        <v>0</v>
      </c>
      <c r="H48" s="112" t="str">
        <f t="shared" si="14"/>
        <v/>
      </c>
      <c r="I48" s="112" t="str">
        <f t="shared" si="14"/>
        <v/>
      </c>
      <c r="J48" s="112" t="str">
        <f t="shared" si="14"/>
        <v/>
      </c>
      <c r="K48" s="112" t="str">
        <f t="shared" si="14"/>
        <v/>
      </c>
      <c r="L48" s="112" t="str">
        <f t="shared" si="14"/>
        <v/>
      </c>
      <c r="M48" s="29"/>
      <c r="N48" s="29"/>
    </row>
    <row r="49" spans="1:14" x14ac:dyDescent="0.35">
      <c r="A49" t="str">
        <f>IF(A6="","","    To "&amp;A6)</f>
        <v xml:space="preserve">    To Lower Basin</v>
      </c>
      <c r="B49" s="164">
        <f>7.5</f>
        <v>7.5</v>
      </c>
      <c r="C49" s="112">
        <f>IF(OR(C$26="",$A49=""),"",C27-C28-C51-C50/2+MIN($B49,C26-C50/2))</f>
        <v>6.4149594487332369</v>
      </c>
      <c r="D49" s="112">
        <f t="shared" ref="D49:L49" ca="1" si="15">IF(OR(D$26="",$A49=""),"",D27-D28-D51-D50/2+MIN($B49,D26-D50/2))</f>
        <v>6.402684419823335</v>
      </c>
      <c r="E49" s="112">
        <f t="shared" ca="1" si="15"/>
        <v>6.3000105988729391</v>
      </c>
      <c r="F49" s="112">
        <f t="shared" ca="1" si="15"/>
        <v>6.2971892788939012</v>
      </c>
      <c r="G49" s="112">
        <f t="shared" ca="1" si="15"/>
        <v>6.288318037344502</v>
      </c>
      <c r="H49" s="112" t="str">
        <f t="shared" si="15"/>
        <v/>
      </c>
      <c r="I49" s="112" t="str">
        <f t="shared" si="15"/>
        <v/>
      </c>
      <c r="J49" s="112" t="str">
        <f t="shared" si="15"/>
        <v/>
      </c>
      <c r="K49" s="112" t="str">
        <f t="shared" si="15"/>
        <v/>
      </c>
      <c r="L49" s="112" t="str">
        <f t="shared" si="15"/>
        <v/>
      </c>
      <c r="M49" s="29"/>
      <c r="N49" s="29"/>
    </row>
    <row r="50" spans="1:14" x14ac:dyDescent="0.35">
      <c r="A50" t="str">
        <f>IF(A7="","","    To "&amp;A7)</f>
        <v xml:space="preserve">    To Mexico</v>
      </c>
      <c r="B50" s="164" t="s">
        <v>185</v>
      </c>
      <c r="C50" s="112">
        <f>IF(OR(C$26="",$A50=""),"",IF(C$47&gt;SUM(C51:C52,C46),C46,C$47-SUM(C51:C52)))</f>
        <v>1.4473333333333334</v>
      </c>
      <c r="D50" s="112">
        <f t="shared" ref="D50:L50" ca="1" si="16">IF(OR(D$26="",$A50=""),"",IF(D$47&gt;SUM(D51:D52,D46),D46,D$47-SUM(D51:D52)))</f>
        <v>1.4083333333333332</v>
      </c>
      <c r="E50" s="112">
        <f t="shared" ca="1" si="16"/>
        <v>1.3423333333333334</v>
      </c>
      <c r="F50" s="112">
        <f t="shared" ca="1" si="16"/>
        <v>1.3343333333333334</v>
      </c>
      <c r="G50" s="112">
        <f t="shared" ca="1" si="16"/>
        <v>1.3343333333333334</v>
      </c>
      <c r="H50" s="112" t="str">
        <f t="shared" si="16"/>
        <v/>
      </c>
      <c r="I50" s="112" t="str">
        <f t="shared" si="16"/>
        <v/>
      </c>
      <c r="J50" s="112" t="str">
        <f t="shared" si="16"/>
        <v/>
      </c>
      <c r="K50" s="112" t="str">
        <f t="shared" si="16"/>
        <v/>
      </c>
      <c r="L50" s="112" t="str">
        <f t="shared" si="16"/>
        <v/>
      </c>
      <c r="M50" s="29"/>
      <c r="N50" s="29"/>
    </row>
    <row r="51" spans="1:14" x14ac:dyDescent="0.35">
      <c r="A51" t="str">
        <f>IF(A8="","","    To "&amp;A8)</f>
        <v xml:space="preserve">    To Shared, Reserve</v>
      </c>
      <c r="B51" s="164" t="s">
        <v>184</v>
      </c>
      <c r="C51" s="112">
        <f>IF(OR(C$26="",$A51=""),"",IF(C$47&gt;C43,C43,C47))</f>
        <v>0.56137388460009618</v>
      </c>
      <c r="D51" s="112">
        <f t="shared" ref="D51:L51" ca="1" si="17">IF(OR(D$26="",$A51=""),"",IF(D$47&gt;D43,D43,D47))</f>
        <v>0.59314891350999832</v>
      </c>
      <c r="E51" s="112">
        <f t="shared" ca="1" si="17"/>
        <v>0.65765606779372787</v>
      </c>
      <c r="F51" s="112">
        <f t="shared" ca="1" si="17"/>
        <v>0.66847738777276533</v>
      </c>
      <c r="G51" s="112">
        <f t="shared" ca="1" si="17"/>
        <v>0.67734862932216422</v>
      </c>
      <c r="H51" s="112" t="str">
        <f t="shared" si="17"/>
        <v/>
      </c>
      <c r="I51" s="112" t="str">
        <f t="shared" si="17"/>
        <v/>
      </c>
      <c r="J51" s="112" t="str">
        <f t="shared" si="17"/>
        <v/>
      </c>
      <c r="K51" s="112" t="str">
        <f t="shared" si="17"/>
        <v/>
      </c>
      <c r="L51" s="112" t="str">
        <f t="shared" si="17"/>
        <v/>
      </c>
      <c r="M51" s="29"/>
      <c r="N51" s="29"/>
    </row>
    <row r="52" spans="1:14" x14ac:dyDescent="0.35">
      <c r="A52" t="str">
        <f>IF(A9="","","    To "&amp;A9)</f>
        <v/>
      </c>
      <c r="B52" s="164"/>
      <c r="C52" s="112"/>
      <c r="D52" s="112"/>
      <c r="E52" s="112"/>
      <c r="F52" s="112"/>
      <c r="G52" s="112"/>
      <c r="H52" s="112"/>
      <c r="I52" s="112"/>
      <c r="J52" s="112"/>
      <c r="K52" s="112"/>
      <c r="L52" s="112"/>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c r="J57" s="159"/>
      <c r="K57" s="159"/>
      <c r="L57" s="159"/>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c r="J58" s="160"/>
      <c r="K58" s="160"/>
      <c r="L58" s="160"/>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0.2</v>
      </c>
      <c r="F59" s="67">
        <f t="shared" ca="1" si="18"/>
        <v>0.1</v>
      </c>
      <c r="G59" s="67">
        <f t="shared" ca="1" si="18"/>
        <v>0</v>
      </c>
      <c r="H59" s="67" t="str">
        <f t="shared" si="18"/>
        <v/>
      </c>
      <c r="I59" s="67" t="str">
        <f t="shared" si="18"/>
        <v/>
      </c>
      <c r="J59" s="67" t="str">
        <f t="shared" si="18"/>
        <v/>
      </c>
      <c r="K59" s="67" t="str">
        <f t="shared" si="18"/>
        <v/>
      </c>
      <c r="L59" s="67" t="str">
        <f t="shared" si="18"/>
        <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7.6040452368981786</v>
      </c>
      <c r="D60" s="14">
        <f t="shared" ref="D60:L60" ca="1" si="19">IF(OR(D$26="",$A60=""),"",D30+D48-D40-D57)</f>
        <v>4.0256851225942052</v>
      </c>
      <c r="E60" s="14">
        <f t="shared" ca="1" si="19"/>
        <v>0</v>
      </c>
      <c r="F60" s="14">
        <f t="shared" ca="1" si="19"/>
        <v>0</v>
      </c>
      <c r="G60" s="14">
        <f t="shared" ca="1" si="19"/>
        <v>0</v>
      </c>
      <c r="H60" s="14" t="str">
        <f t="shared" si="19"/>
        <v/>
      </c>
      <c r="I60" s="14" t="str">
        <f t="shared" si="19"/>
        <v/>
      </c>
      <c r="J60" s="14" t="str">
        <f t="shared" si="19"/>
        <v/>
      </c>
      <c r="K60" s="14" t="str">
        <f t="shared" si="19"/>
        <v/>
      </c>
      <c r="L60" s="14" t="str">
        <f t="shared" si="1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f>IF(C27&lt;&gt;"",IF(C60&gt;4.2,4.2,MAX(C60,0)),"")</f>
        <v>4.2</v>
      </c>
      <c r="D61" s="161">
        <f t="shared" ref="D61:G61" ca="1" si="20">IF(D27&lt;&gt;"",IF(D60&gt;4.2,4.2,MAX(D60,0)),"")</f>
        <v>4.0256851225942052</v>
      </c>
      <c r="E61" s="161">
        <f t="shared" ca="1" si="20"/>
        <v>0</v>
      </c>
      <c r="F61" s="161">
        <f t="shared" ca="1" si="20"/>
        <v>0</v>
      </c>
      <c r="G61" s="161">
        <f t="shared" ca="1" si="20"/>
        <v>0</v>
      </c>
      <c r="H61" s="161"/>
      <c r="I61" s="161"/>
      <c r="J61" s="161"/>
      <c r="K61" s="161"/>
      <c r="L61" s="161"/>
      <c r="N61" t="str">
        <f>IF(A61="","","Must be less than Available water")</f>
        <v>Must be less than Available water</v>
      </c>
    </row>
    <row r="62" spans="1:14" x14ac:dyDescent="0.35">
      <c r="A62" s="32" t="str">
        <f>IF(A61="","","   End of Year Balance [maf]")</f>
        <v xml:space="preserve">   End of Year Balance [maf]</v>
      </c>
      <c r="C62" s="66">
        <f>IF(OR(C$26="",$A62=""),"",C60-C61)</f>
        <v>3.4040452368981784</v>
      </c>
      <c r="D62" s="66">
        <f t="shared" ref="D62:L62" ca="1" si="21">IF(OR(D$26="",$A62=""),"",D60-D61)</f>
        <v>0</v>
      </c>
      <c r="E62" s="66">
        <f t="shared" ca="1" si="21"/>
        <v>0</v>
      </c>
      <c r="F62" s="66">
        <f t="shared" ca="1" si="21"/>
        <v>0</v>
      </c>
      <c r="G62" s="66">
        <f t="shared" ca="1" si="21"/>
        <v>0</v>
      </c>
      <c r="H62" s="66" t="str">
        <f t="shared" si="21"/>
        <v/>
      </c>
      <c r="I62" s="66" t="str">
        <f t="shared" si="21"/>
        <v/>
      </c>
      <c r="J62" s="66" t="str">
        <f t="shared" si="21"/>
        <v/>
      </c>
      <c r="K62" s="66" t="str">
        <f t="shared" si="21"/>
        <v/>
      </c>
      <c r="L62" s="66" t="str">
        <f t="shared" si="21"/>
        <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c r="J65" s="159"/>
      <c r="K65" s="159"/>
      <c r="L65" s="159"/>
      <c r="M65" s="67">
        <f>SUM(C65:L65)</f>
        <v>0</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60"/>
      <c r="J66" s="160"/>
      <c r="K66" s="160"/>
      <c r="L66" s="160"/>
      <c r="M66" s="65">
        <f>SUM(C66:L66)</f>
        <v>0</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0.2</v>
      </c>
      <c r="F67" s="67">
        <f t="shared" ca="1" si="23"/>
        <v>0.1</v>
      </c>
      <c r="G67" s="67">
        <f t="shared" ca="1" si="23"/>
        <v>0</v>
      </c>
      <c r="H67" s="67" t="str">
        <f t="shared" si="23"/>
        <v/>
      </c>
      <c r="I67" s="67" t="str">
        <f t="shared" si="23"/>
        <v/>
      </c>
      <c r="J67" s="67" t="str">
        <f t="shared" si="23"/>
        <v/>
      </c>
      <c r="K67" s="67" t="str">
        <f t="shared" si="23"/>
        <v/>
      </c>
      <c r="L67" s="67" t="str">
        <f t="shared" si="23"/>
        <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10.469981523290789</v>
      </c>
      <c r="D68" s="14">
        <f t="shared" ca="1" si="24"/>
        <v>9.449352045114523</v>
      </c>
      <c r="E68" s="14">
        <f t="shared" ca="1" si="24"/>
        <v>8.7169807300538658</v>
      </c>
      <c r="F68" s="14">
        <f t="shared" ca="1" si="24"/>
        <v>8.398564200417276</v>
      </c>
      <c r="G68" s="14">
        <f t="shared" ca="1" si="24"/>
        <v>8.1427875840007129</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161">
        <f>IF(C27&lt;&gt;"",7.5-VLOOKUP(C38,LowerBasinCuts!$C$5:$P$13,14),"")</f>
        <v>7.2590000000000003</v>
      </c>
      <c r="D69" s="161">
        <f ca="1">IF(D27&lt;&gt;"",7.5-VLOOKUP(D38,LowerBasinCuts!$C$5:$P$13,14),"")</f>
        <v>6.8870000000000005</v>
      </c>
      <c r="E69" s="161">
        <f ca="1">IF(E27&lt;&gt;"",7.5-VLOOKUP(E38,LowerBasinCuts!$C$5:$P$13,14),"")</f>
        <v>6.4870000000000001</v>
      </c>
      <c r="F69" s="161">
        <f ca="1">IF(F27&lt;&gt;"",7.5-VLOOKUP(F38,LowerBasinCuts!$C$5:$P$13,14),"")</f>
        <v>6.4290000000000003</v>
      </c>
      <c r="G69" s="161">
        <f ca="1">IF(G27&lt;&gt;"",7.5-VLOOKUP(G38,LowerBasinCuts!$C$5:$P$13,14),"")</f>
        <v>6.4290000000000003</v>
      </c>
      <c r="H69" s="161"/>
      <c r="I69" s="161"/>
      <c r="J69" s="161"/>
      <c r="K69" s="161"/>
      <c r="L69" s="161"/>
      <c r="N69" t="str">
        <f t="shared" si="22"/>
        <v>Must be less than Available water</v>
      </c>
    </row>
    <row r="70" spans="1:14" x14ac:dyDescent="0.35">
      <c r="A70" s="32" t="str">
        <f>IF(A69="","","   End of Year Balance [maf]")</f>
        <v xml:space="preserve">   End of Year Balance [maf]</v>
      </c>
      <c r="C70" s="66">
        <f>IF(OR(C$26="",$A70=""),"",C68-C69)</f>
        <v>3.2109815232907888</v>
      </c>
      <c r="D70" s="66">
        <f t="shared" ref="D70:L70" ca="1" si="25">IF(OR(D$26="",$A70=""),"",D68-D69)</f>
        <v>2.5623520451145225</v>
      </c>
      <c r="E70" s="66">
        <f t="shared" ca="1" si="25"/>
        <v>2.2299807300538657</v>
      </c>
      <c r="F70" s="66">
        <f t="shared" ca="1" si="25"/>
        <v>1.9695642004172758</v>
      </c>
      <c r="G70" s="66">
        <f t="shared" ca="1" si="25"/>
        <v>1.7137875840007126</v>
      </c>
      <c r="H70" s="66" t="str">
        <f t="shared" si="25"/>
        <v/>
      </c>
      <c r="I70" s="66" t="str">
        <f t="shared" si="25"/>
        <v/>
      </c>
      <c r="J70" s="66" t="str">
        <f t="shared" si="25"/>
        <v/>
      </c>
      <c r="K70" s="66" t="str">
        <f t="shared" si="25"/>
        <v/>
      </c>
      <c r="L70" s="66" t="str">
        <f t="shared" si="25"/>
        <v/>
      </c>
      <c r="N70" t="str">
        <f t="shared" si="22"/>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v>0.2</v>
      </c>
      <c r="F73" s="159">
        <v>0.1</v>
      </c>
      <c r="G73" s="159"/>
      <c r="H73" s="159"/>
      <c r="I73" s="159"/>
      <c r="J73" s="159"/>
      <c r="K73" s="159"/>
      <c r="L73" s="159"/>
      <c r="M73" s="67">
        <f>SUM(C73:L73)</f>
        <v>0.30000000000000004</v>
      </c>
      <c r="N73" t="str">
        <f>IF(A73="","",N65)</f>
        <v>Add if multiple transactions, e.g.: 0.5 + 0.25</v>
      </c>
    </row>
    <row r="74" spans="1:14" x14ac:dyDescent="0.35">
      <c r="A74" s="32" t="str">
        <f>IF(A73="","","   Cash Intake(+) and Payments(-) [$ Mill]")</f>
        <v xml:space="preserve">   Cash Intake(+) and Payments(-) [$ Mill]</v>
      </c>
      <c r="C74" s="160"/>
      <c r="D74" s="160"/>
      <c r="E74" s="160">
        <f>1500*E73</f>
        <v>300</v>
      </c>
      <c r="F74" s="160">
        <f>1500*F73</f>
        <v>150</v>
      </c>
      <c r="G74" s="160"/>
      <c r="H74" s="160"/>
      <c r="I74" s="160"/>
      <c r="J74" s="160"/>
      <c r="K74" s="160"/>
      <c r="L74" s="160"/>
      <c r="M74" s="65">
        <f>SUM(C74:L74)</f>
        <v>450</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0.2</v>
      </c>
      <c r="F75" s="67">
        <f t="shared" ca="1" si="27"/>
        <v>0.1</v>
      </c>
      <c r="G75" s="67">
        <f t="shared" ca="1" si="27"/>
        <v>0</v>
      </c>
      <c r="H75" s="67" t="str">
        <f t="shared" si="27"/>
        <v/>
      </c>
      <c r="I75" s="67" t="str">
        <f t="shared" si="27"/>
        <v/>
      </c>
      <c r="J75" s="67" t="str">
        <f t="shared" si="27"/>
        <v/>
      </c>
      <c r="K75" s="67" t="str">
        <f t="shared" si="27"/>
        <v/>
      </c>
      <c r="L75" s="67" t="str">
        <f t="shared" si="27"/>
        <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1.5654335294567918</v>
      </c>
      <c r="E76" s="14">
        <f t="shared" ca="1" si="28"/>
        <v>1.290520028583515</v>
      </c>
      <c r="F76" s="14">
        <f ca="1">IF(OR(F$26="",$A76=""),"",F32+F50-F42-F73)</f>
        <v>1.1855081673867709</v>
      </c>
      <c r="G76" s="14">
        <f t="shared" ca="1" si="28"/>
        <v>1.1942050054699995</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161">
        <f>C46</f>
        <v>1.4473333333333334</v>
      </c>
      <c r="D77" s="161">
        <f t="shared" ref="D77:G77" ca="1" si="29">D46</f>
        <v>1.4083333333333332</v>
      </c>
      <c r="E77" s="161">
        <f t="shared" ca="1" si="29"/>
        <v>1.3423333333333334</v>
      </c>
      <c r="F77" s="161">
        <f t="shared" ca="1" si="29"/>
        <v>1.3343333333333334</v>
      </c>
      <c r="G77" s="161">
        <f t="shared" ca="1" si="29"/>
        <v>1.3343333333333334</v>
      </c>
      <c r="H77" s="161"/>
      <c r="I77" s="161"/>
      <c r="J77" s="161"/>
      <c r="K77" s="161"/>
      <c r="L77" s="161"/>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0.1571001961234586</v>
      </c>
      <c r="E78" s="66">
        <f t="shared" ca="1" si="30"/>
        <v>-5.1813304749818379E-2</v>
      </c>
      <c r="F78" s="66">
        <f t="shared" ca="1" si="30"/>
        <v>-0.14882516594656248</v>
      </c>
      <c r="G78" s="66">
        <f t="shared" ca="1" si="30"/>
        <v>-0.14012832786333385</v>
      </c>
      <c r="H78" s="66" t="str">
        <f t="shared" si="30"/>
        <v/>
      </c>
      <c r="I78" s="66" t="str">
        <f t="shared" si="30"/>
        <v/>
      </c>
      <c r="J78" s="66" t="str">
        <f t="shared" si="30"/>
        <v/>
      </c>
      <c r="K78" s="66" t="str">
        <f t="shared" si="30"/>
        <v/>
      </c>
      <c r="L78" s="66" t="str">
        <f t="shared" si="30"/>
        <v/>
      </c>
      <c r="N78" t="str">
        <f t="shared" si="26"/>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0.2</v>
      </c>
      <c r="F83" s="67">
        <f t="shared" ca="1" si="32"/>
        <v>0.1</v>
      </c>
      <c r="G83" s="67">
        <f t="shared" ca="1" si="32"/>
        <v>0</v>
      </c>
      <c r="H83" s="67" t="str">
        <f t="shared" si="32"/>
        <v/>
      </c>
      <c r="I83" s="67" t="str">
        <f t="shared" si="32"/>
        <v/>
      </c>
      <c r="J83" s="67" t="str">
        <f t="shared" si="32"/>
        <v/>
      </c>
      <c r="K83" s="67" t="str">
        <f t="shared" si="32"/>
        <v/>
      </c>
      <c r="L83" s="67" t="str">
        <f t="shared" si="32"/>
        <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t="str">
        <f t="shared" si="33"/>
        <v/>
      </c>
      <c r="I84" s="14" t="str">
        <f t="shared" si="33"/>
        <v/>
      </c>
      <c r="J84" s="14" t="str">
        <f t="shared" si="33"/>
        <v/>
      </c>
      <c r="K84" s="14" t="str">
        <f t="shared" si="33"/>
        <v/>
      </c>
      <c r="L84" s="14" t="str">
        <f t="shared" si="33"/>
        <v/>
      </c>
      <c r="N84" t="str">
        <f t="shared" si="31"/>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t="str">
        <f t="shared" si="34"/>
        <v/>
      </c>
      <c r="I86" s="66" t="str">
        <f t="shared" si="34"/>
        <v/>
      </c>
      <c r="J86" s="66" t="str">
        <f t="shared" si="34"/>
        <v/>
      </c>
      <c r="K86" s="66" t="str">
        <f t="shared" si="34"/>
        <v/>
      </c>
      <c r="L86" s="66" t="str">
        <f t="shared" si="34"/>
        <v/>
      </c>
      <c r="N86" t="str">
        <f t="shared" si="31"/>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35">IF(A90="","",N82)</f>
        <v/>
      </c>
    </row>
    <row r="91" spans="1:14" x14ac:dyDescent="0.35">
      <c r="A91" s="32" t="str">
        <f>IF(A90="","","   Volume all players (should be zero)")</f>
        <v/>
      </c>
      <c r="C91" s="67" t="str">
        <f t="shared" ref="C91:M91" si="36">IF(OR(C$26="",$A91=""),"",C$112)</f>
        <v/>
      </c>
      <c r="D91" s="67" t="str">
        <f t="shared" si="36"/>
        <v/>
      </c>
      <c r="E91" s="67" t="str">
        <f t="shared" si="36"/>
        <v/>
      </c>
      <c r="F91" s="67" t="str">
        <f t="shared" si="36"/>
        <v/>
      </c>
      <c r="G91" s="67" t="str">
        <f t="shared" si="36"/>
        <v/>
      </c>
      <c r="H91" s="67" t="str">
        <f t="shared" si="36"/>
        <v/>
      </c>
      <c r="I91" s="67" t="str">
        <f t="shared" si="36"/>
        <v/>
      </c>
      <c r="J91" s="67" t="str">
        <f t="shared" si="36"/>
        <v/>
      </c>
      <c r="K91" s="67" t="str">
        <f t="shared" si="36"/>
        <v/>
      </c>
      <c r="L91" s="67" t="str">
        <f t="shared" si="36"/>
        <v/>
      </c>
      <c r="M91" t="str">
        <f t="shared" si="36"/>
        <v/>
      </c>
      <c r="N91" t="str">
        <f t="shared" si="35"/>
        <v/>
      </c>
    </row>
    <row r="92" spans="1:14" x14ac:dyDescent="0.35">
      <c r="A92" s="1" t="str">
        <f>IF(A90="","","   Available Water [maf]")</f>
        <v/>
      </c>
      <c r="C92" s="14" t="str">
        <f t="shared" ref="C92:L92" si="37">IF(OR(C$26="",$A92=""),"",C34+C52-C44-C89)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
      </c>
    </row>
    <row r="93" spans="1:14" x14ac:dyDescent="0.35">
      <c r="A93" s="1" t="str">
        <f>IF(A92="","","   Account Withdraw [maf]")</f>
        <v/>
      </c>
      <c r="C93" s="161"/>
      <c r="D93" s="161"/>
      <c r="E93" s="161"/>
      <c r="F93" s="161"/>
      <c r="G93" s="161"/>
      <c r="H93" s="161"/>
      <c r="I93" s="161"/>
      <c r="J93" s="161"/>
      <c r="K93" s="161"/>
      <c r="L93" s="161"/>
      <c r="N93" t="str">
        <f t="shared" si="35"/>
        <v/>
      </c>
    </row>
    <row r="94" spans="1:14" x14ac:dyDescent="0.35">
      <c r="A94" s="32" t="str">
        <f>IF(A93="","","   End of Year Balance [maf]")</f>
        <v/>
      </c>
      <c r="C94" s="66" t="str">
        <f>IF(OR(C$26="",$A94=""),"",C92-C93)</f>
        <v/>
      </c>
      <c r="D94" s="66" t="str">
        <f t="shared" ref="D94:L94" si="38">IF(OR(D$26="",$A94=""),"",D92-D93)</f>
        <v/>
      </c>
      <c r="E94" s="66" t="str">
        <f t="shared" si="38"/>
        <v/>
      </c>
      <c r="F94" s="66" t="str">
        <f t="shared" si="38"/>
        <v/>
      </c>
      <c r="G94" s="66" t="str">
        <f t="shared" si="38"/>
        <v/>
      </c>
      <c r="H94" s="66" t="str">
        <f t="shared" si="38"/>
        <v/>
      </c>
      <c r="I94" s="66" t="str">
        <f t="shared" si="38"/>
        <v/>
      </c>
      <c r="J94" s="66" t="str">
        <f t="shared" si="38"/>
        <v/>
      </c>
      <c r="K94" s="66" t="str">
        <f t="shared" si="38"/>
        <v/>
      </c>
      <c r="L94" s="66" t="str">
        <f t="shared" si="38"/>
        <v/>
      </c>
      <c r="N94" t="str">
        <f t="shared" si="35"/>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61"/>
      <c r="D101" s="161"/>
      <c r="E101" s="161"/>
      <c r="F101" s="161"/>
      <c r="G101" s="161"/>
      <c r="H101" s="161"/>
      <c r="I101" s="161"/>
      <c r="J101" s="161"/>
      <c r="K101" s="161"/>
      <c r="L101" s="161"/>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f t="shared" ref="C106:L111" ca="1" si="43">IF(OR(C$26="",$A106=""),"",OFFSET(C$57,8*(ROW(B106)-ROW(B$106)),0))</f>
        <v>0</v>
      </c>
      <c r="D106" s="67">
        <f t="shared" ca="1" si="43"/>
        <v>0</v>
      </c>
      <c r="E106" s="67">
        <f t="shared" ca="1" si="43"/>
        <v>0</v>
      </c>
      <c r="F106" s="67">
        <f t="shared" ca="1" si="43"/>
        <v>0</v>
      </c>
      <c r="G106" s="67">
        <f t="shared" ca="1" si="43"/>
        <v>0</v>
      </c>
      <c r="H106" s="67" t="str">
        <f t="shared" ca="1" si="43"/>
        <v/>
      </c>
      <c r="I106" s="67" t="str">
        <f t="shared" ca="1" si="43"/>
        <v/>
      </c>
      <c r="J106" s="67" t="str">
        <f t="shared" ca="1" si="43"/>
        <v/>
      </c>
      <c r="K106" s="67" t="str">
        <f t="shared" ca="1" si="43"/>
        <v/>
      </c>
      <c r="L106" s="67" t="str">
        <f t="shared" ca="1" si="43"/>
        <v/>
      </c>
      <c r="M106" s="67">
        <f ca="1">IF(OR($A106=""),"",SUM(C106:L106))</f>
        <v>0</v>
      </c>
      <c r="N106" s="65">
        <f>IF(OR($A106=""),"",M58)</f>
        <v>0</v>
      </c>
    </row>
    <row r="107" spans="1:14" x14ac:dyDescent="0.35">
      <c r="A107" t="str">
        <f>IF(A6="","","    "&amp;A6)</f>
        <v xml:space="preserve">    Lower Basin</v>
      </c>
      <c r="B107" s="1"/>
      <c r="C107" s="67">
        <f t="shared" ca="1" si="43"/>
        <v>0</v>
      </c>
      <c r="D107" s="67">
        <f t="shared" ca="1" si="43"/>
        <v>0</v>
      </c>
      <c r="E107" s="67">
        <f t="shared" ca="1" si="43"/>
        <v>0</v>
      </c>
      <c r="F107" s="67">
        <f t="shared" ca="1" si="43"/>
        <v>0</v>
      </c>
      <c r="G107" s="67">
        <f t="shared" ca="1" si="43"/>
        <v>0</v>
      </c>
      <c r="H107" s="67" t="str">
        <f t="shared" ca="1" si="43"/>
        <v/>
      </c>
      <c r="I107" s="67" t="str">
        <f t="shared" ca="1" si="43"/>
        <v/>
      </c>
      <c r="J107" s="67" t="str">
        <f t="shared" ca="1" si="43"/>
        <v/>
      </c>
      <c r="K107" s="67" t="str">
        <f t="shared" ca="1" si="43"/>
        <v/>
      </c>
      <c r="L107" s="67" t="str">
        <f t="shared" ca="1" si="43"/>
        <v/>
      </c>
      <c r="M107" s="67">
        <f t="shared" ref="M107:M111" ca="1" si="44">IF(OR($A107=""),"",SUM(C107:L107))</f>
        <v>0</v>
      </c>
      <c r="N107" s="65">
        <f>IF(OR($A107=""),"",M66)</f>
        <v>0</v>
      </c>
    </row>
    <row r="108" spans="1:14" x14ac:dyDescent="0.35">
      <c r="A108" t="str">
        <f>IF(A7="","","    "&amp;A7)</f>
        <v xml:space="preserve">    Mexico</v>
      </c>
      <c r="B108" s="1"/>
      <c r="C108" s="67">
        <f t="shared" ca="1" si="43"/>
        <v>0</v>
      </c>
      <c r="D108" s="67">
        <f t="shared" ca="1" si="43"/>
        <v>0</v>
      </c>
      <c r="E108" s="67">
        <f t="shared" ca="1" si="43"/>
        <v>0.2</v>
      </c>
      <c r="F108" s="67">
        <f t="shared" ca="1" si="43"/>
        <v>0.1</v>
      </c>
      <c r="G108" s="67">
        <f t="shared" ca="1" si="43"/>
        <v>0</v>
      </c>
      <c r="H108" s="67" t="str">
        <f t="shared" ca="1" si="43"/>
        <v/>
      </c>
      <c r="I108" s="67" t="str">
        <f t="shared" ca="1" si="43"/>
        <v/>
      </c>
      <c r="J108" s="67" t="str">
        <f t="shared" ca="1" si="43"/>
        <v/>
      </c>
      <c r="K108" s="67" t="str">
        <f t="shared" ca="1" si="43"/>
        <v/>
      </c>
      <c r="L108" s="67" t="str">
        <f t="shared" ca="1" si="43"/>
        <v/>
      </c>
      <c r="M108" s="67">
        <f t="shared" ca="1" si="44"/>
        <v>0.30000000000000004</v>
      </c>
      <c r="N108" s="65">
        <f>IF(OR($A108=""),"",M74)</f>
        <v>450</v>
      </c>
    </row>
    <row r="109" spans="1:14" x14ac:dyDescent="0.35">
      <c r="A109" t="str">
        <f>IF(A8="","","    "&amp;A8)</f>
        <v xml:space="preserve">    Shared, Reserve</v>
      </c>
      <c r="B109" s="1"/>
      <c r="C109" s="67">
        <f t="shared" ca="1" si="43"/>
        <v>0</v>
      </c>
      <c r="D109" s="67">
        <f t="shared" ca="1" si="43"/>
        <v>0</v>
      </c>
      <c r="E109" s="67">
        <f t="shared" ca="1" si="43"/>
        <v>0</v>
      </c>
      <c r="F109" s="67">
        <f t="shared" ca="1" si="43"/>
        <v>0</v>
      </c>
      <c r="G109" s="67">
        <f t="shared" ca="1" si="43"/>
        <v>0</v>
      </c>
      <c r="H109" s="67" t="str">
        <f t="shared" ca="1" si="43"/>
        <v/>
      </c>
      <c r="I109" s="67" t="str">
        <f t="shared" ca="1" si="43"/>
        <v/>
      </c>
      <c r="J109" s="67" t="str">
        <f t="shared" ca="1" si="43"/>
        <v/>
      </c>
      <c r="K109" s="67" t="str">
        <f t="shared" ca="1" si="43"/>
        <v/>
      </c>
      <c r="L109" s="67" t="str">
        <f t="shared" ca="1" si="43"/>
        <v/>
      </c>
      <c r="M109" s="67">
        <f t="shared" ca="1" si="44"/>
        <v>0</v>
      </c>
      <c r="N109" s="65">
        <f>IF(OR($A109=""),"",M82)</f>
        <v>0</v>
      </c>
    </row>
    <row r="110" spans="1:14" x14ac:dyDescent="0.35">
      <c r="A110" t="str">
        <f>IF(A9="","","    "&amp;A9)</f>
        <v/>
      </c>
      <c r="B110" s="1"/>
      <c r="C110" s="67" t="str">
        <f t="shared" ca="1" si="43"/>
        <v/>
      </c>
      <c r="D110" s="67" t="str">
        <f t="shared" ca="1" si="43"/>
        <v/>
      </c>
      <c r="E110" s="67" t="str">
        <f t="shared" ca="1" si="43"/>
        <v/>
      </c>
      <c r="F110" s="67" t="str">
        <f t="shared" ca="1" si="43"/>
        <v/>
      </c>
      <c r="G110" s="67" t="str">
        <f t="shared" ca="1" si="43"/>
        <v/>
      </c>
      <c r="H110" s="67" t="str">
        <f t="shared" ca="1" si="43"/>
        <v/>
      </c>
      <c r="I110" s="67" t="str">
        <f t="shared" ca="1" si="43"/>
        <v/>
      </c>
      <c r="J110" s="67" t="str">
        <f t="shared" ca="1" si="43"/>
        <v/>
      </c>
      <c r="K110" s="67" t="str">
        <f t="shared" ca="1" si="43"/>
        <v/>
      </c>
      <c r="L110" s="67" t="str">
        <f t="shared" ca="1" si="43"/>
        <v/>
      </c>
      <c r="M110" s="67" t="str">
        <f t="shared" si="44"/>
        <v/>
      </c>
      <c r="N110" s="65" t="str">
        <f>IF(OR($A110=""),"",M90)</f>
        <v/>
      </c>
    </row>
    <row r="111" spans="1:14" x14ac:dyDescent="0.35">
      <c r="A111" t="str">
        <f>IF(A10="","","    "&amp;A10)</f>
        <v/>
      </c>
      <c r="B111" s="1"/>
      <c r="C111" s="67" t="str">
        <f t="shared" ca="1" si="43"/>
        <v/>
      </c>
      <c r="D111" s="67" t="str">
        <f t="shared" ca="1" si="43"/>
        <v/>
      </c>
      <c r="E111" s="67" t="str">
        <f t="shared" ca="1" si="43"/>
        <v/>
      </c>
      <c r="F111" s="67" t="str">
        <f t="shared" ca="1" si="43"/>
        <v/>
      </c>
      <c r="G111" s="67" t="str">
        <f t="shared" ca="1" si="43"/>
        <v/>
      </c>
      <c r="H111" s="67" t="str">
        <f t="shared" ca="1" si="43"/>
        <v/>
      </c>
      <c r="I111" s="67" t="str">
        <f t="shared" ca="1" si="43"/>
        <v/>
      </c>
      <c r="J111" s="67" t="str">
        <f t="shared" ca="1" si="43"/>
        <v/>
      </c>
      <c r="K111" s="67" t="str">
        <f t="shared" ca="1" si="43"/>
        <v/>
      </c>
      <c r="L111" s="67" t="str">
        <f t="shared" ca="1" si="43"/>
        <v/>
      </c>
      <c r="M111" s="67" t="str">
        <f t="shared" si="44"/>
        <v/>
      </c>
      <c r="N111" s="65" t="str">
        <f>IF(OR($A111=""),"",M98)</f>
        <v/>
      </c>
    </row>
    <row r="112" spans="1:14" x14ac:dyDescent="0.35">
      <c r="A112" t="s">
        <v>146</v>
      </c>
      <c r="B112" s="1"/>
      <c r="C112" s="51">
        <f ca="1">IF(C$26&lt;&gt;"",SUM(C106:C111),"")</f>
        <v>0</v>
      </c>
      <c r="D112" s="51">
        <f t="shared" ref="D112:L112" ca="1" si="45">IF(D$26&lt;&gt;"",SUM(D106:D111),"")</f>
        <v>0</v>
      </c>
      <c r="E112" s="119">
        <f t="shared" ca="1" si="45"/>
        <v>0.2</v>
      </c>
      <c r="F112" s="51">
        <f t="shared" ca="1" si="45"/>
        <v>0.1</v>
      </c>
      <c r="G112" s="51">
        <f t="shared" ca="1" si="45"/>
        <v>0</v>
      </c>
      <c r="H112" s="51" t="str">
        <f t="shared" si="45"/>
        <v/>
      </c>
      <c r="I112" s="51" t="str">
        <f t="shared" si="45"/>
        <v/>
      </c>
      <c r="J112" s="51" t="str">
        <f t="shared" si="45"/>
        <v/>
      </c>
      <c r="K112" s="51" t="str">
        <f t="shared" si="45"/>
        <v/>
      </c>
      <c r="L112" s="51" t="str">
        <f t="shared" si="45"/>
        <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6">IF(OR(C$26="",$A114=""),"",OFFSET(C$61,8*(ROW(B114)-ROW(B$114)),0))</f>
        <v>4.2</v>
      </c>
      <c r="D114" s="67">
        <f t="shared" ca="1" si="46"/>
        <v>4.0256851225942052</v>
      </c>
      <c r="E114" s="67">
        <f t="shared" ca="1" si="46"/>
        <v>0</v>
      </c>
      <c r="F114" s="67">
        <f t="shared" ca="1" si="46"/>
        <v>0</v>
      </c>
      <c r="G114" s="67">
        <f t="shared" ca="1" si="46"/>
        <v>0</v>
      </c>
      <c r="H114" s="67" t="str">
        <f t="shared" ca="1" si="46"/>
        <v/>
      </c>
      <c r="I114" s="67" t="str">
        <f t="shared" ca="1" si="46"/>
        <v/>
      </c>
      <c r="J114" s="67" t="str">
        <f t="shared" ca="1" si="46"/>
        <v/>
      </c>
      <c r="K114" s="67" t="str">
        <f t="shared" ca="1" si="46"/>
        <v/>
      </c>
      <c r="L114" s="67" t="str">
        <f t="shared" ca="1" si="46"/>
        <v/>
      </c>
    </row>
    <row r="115" spans="1:12" x14ac:dyDescent="0.35">
      <c r="A115" t="str">
        <f>IF(A6="","","    "&amp;A6&amp;" - Release from Mead")</f>
        <v xml:space="preserve">    Lower Basin - Release from Mead</v>
      </c>
      <c r="C115" s="67">
        <f t="shared" ca="1" si="46"/>
        <v>7.2590000000000003</v>
      </c>
      <c r="D115" s="67">
        <f t="shared" ca="1" si="46"/>
        <v>6.8870000000000005</v>
      </c>
      <c r="E115" s="67">
        <f t="shared" ca="1" si="46"/>
        <v>6.4870000000000001</v>
      </c>
      <c r="F115" s="67">
        <f t="shared" ca="1" si="46"/>
        <v>6.4290000000000003</v>
      </c>
      <c r="G115" s="67">
        <f t="shared" ca="1" si="46"/>
        <v>6.4290000000000003</v>
      </c>
      <c r="H115" s="67" t="str">
        <f t="shared" ca="1" si="46"/>
        <v/>
      </c>
      <c r="I115" s="67" t="str">
        <f t="shared" ca="1" si="46"/>
        <v/>
      </c>
      <c r="J115" s="67" t="str">
        <f t="shared" ca="1" si="46"/>
        <v/>
      </c>
      <c r="K115" s="67" t="str">
        <f t="shared" ca="1" si="46"/>
        <v/>
      </c>
      <c r="L115" s="67" t="str">
        <f t="shared" ca="1" si="46"/>
        <v/>
      </c>
    </row>
    <row r="116" spans="1:12" x14ac:dyDescent="0.35">
      <c r="A116" t="str">
        <f>IF(A7="","","    "&amp;A7&amp;" - Release from Mead")</f>
        <v xml:space="preserve">    Mexico - Release from Mead</v>
      </c>
      <c r="C116" s="67">
        <f t="shared" ca="1" si="46"/>
        <v>1.4473333333333334</v>
      </c>
      <c r="D116" s="67">
        <f t="shared" ca="1" si="46"/>
        <v>1.4083333333333332</v>
      </c>
      <c r="E116" s="67">
        <f t="shared" ca="1" si="46"/>
        <v>1.3423333333333334</v>
      </c>
      <c r="F116" s="67">
        <f t="shared" ca="1" si="46"/>
        <v>1.3343333333333334</v>
      </c>
      <c r="G116" s="67">
        <f t="shared" ca="1" si="46"/>
        <v>1.3343333333333334</v>
      </c>
      <c r="H116" s="67" t="str">
        <f t="shared" ca="1" si="46"/>
        <v/>
      </c>
      <c r="I116" s="67" t="str">
        <f t="shared" ca="1" si="46"/>
        <v/>
      </c>
      <c r="J116" s="67" t="str">
        <f t="shared" ca="1" si="46"/>
        <v/>
      </c>
      <c r="K116" s="67" t="str">
        <f t="shared" ca="1" si="46"/>
        <v/>
      </c>
      <c r="L116" s="67" t="str">
        <f t="shared" ca="1" si="46"/>
        <v/>
      </c>
    </row>
    <row r="117" spans="1:12" x14ac:dyDescent="0.35">
      <c r="A117" t="str">
        <f>IF(A8="","","    "&amp;A8&amp;" - Release from Mead")</f>
        <v xml:space="preserve">    Shared, Reserve - Release from Mead</v>
      </c>
      <c r="C117" s="67">
        <f t="shared" ca="1" si="46"/>
        <v>0</v>
      </c>
      <c r="D117" s="67">
        <f t="shared" ca="1" si="46"/>
        <v>0</v>
      </c>
      <c r="E117" s="67">
        <f t="shared" ca="1" si="46"/>
        <v>0</v>
      </c>
      <c r="F117" s="67">
        <f t="shared" ca="1" si="46"/>
        <v>0</v>
      </c>
      <c r="G117" s="67">
        <f t="shared" ca="1" si="46"/>
        <v>0</v>
      </c>
      <c r="H117" s="67" t="str">
        <f t="shared" ca="1" si="46"/>
        <v/>
      </c>
      <c r="I117" s="67" t="str">
        <f t="shared" ca="1" si="46"/>
        <v/>
      </c>
      <c r="J117" s="67" t="str">
        <f t="shared" ca="1" si="46"/>
        <v/>
      </c>
      <c r="K117" s="67" t="str">
        <f t="shared" ca="1" si="46"/>
        <v/>
      </c>
      <c r="L117" s="67" t="str">
        <f t="shared" ca="1" si="46"/>
        <v/>
      </c>
    </row>
    <row r="118" spans="1:12" x14ac:dyDescent="0.35">
      <c r="A118" t="str">
        <f>IF(A9="","","    "&amp;A9&amp;" - Release from Mead")</f>
        <v/>
      </c>
      <c r="C118" s="67" t="str">
        <f t="shared" ca="1" si="46"/>
        <v/>
      </c>
      <c r="D118" s="67" t="str">
        <f t="shared" ca="1" si="46"/>
        <v/>
      </c>
      <c r="E118" s="67" t="str">
        <f t="shared" ca="1" si="46"/>
        <v/>
      </c>
      <c r="F118" s="67" t="str">
        <f t="shared" ca="1" si="46"/>
        <v/>
      </c>
      <c r="G118" s="67" t="str">
        <f t="shared" ca="1" si="46"/>
        <v/>
      </c>
      <c r="H118" s="67" t="str">
        <f t="shared" ca="1" si="46"/>
        <v/>
      </c>
      <c r="I118" s="67" t="str">
        <f t="shared" ca="1" si="46"/>
        <v/>
      </c>
      <c r="J118" s="67" t="str">
        <f t="shared" ca="1" si="46"/>
        <v/>
      </c>
      <c r="K118" s="67" t="str">
        <f t="shared" ca="1" si="46"/>
        <v/>
      </c>
      <c r="L118" s="67" t="str">
        <f t="shared" ca="1" si="46"/>
        <v/>
      </c>
    </row>
    <row r="119" spans="1:12" x14ac:dyDescent="0.35">
      <c r="A119" t="str">
        <f>IF(A10="","","    "&amp;A10&amp;" - Release from Mead")</f>
        <v/>
      </c>
      <c r="C119" s="67" t="str">
        <f t="shared" ca="1" si="46"/>
        <v/>
      </c>
      <c r="D119" s="67" t="str">
        <f t="shared" ca="1" si="46"/>
        <v/>
      </c>
      <c r="E119" s="67" t="str">
        <f t="shared" ca="1" si="46"/>
        <v/>
      </c>
      <c r="F119" s="67" t="str">
        <f t="shared" ca="1" si="46"/>
        <v/>
      </c>
      <c r="G119" s="67" t="str">
        <f t="shared" ca="1" si="46"/>
        <v/>
      </c>
      <c r="H119" s="67" t="str">
        <f t="shared" ca="1" si="46"/>
        <v/>
      </c>
      <c r="I119" s="67" t="str">
        <f t="shared" ca="1" si="46"/>
        <v/>
      </c>
      <c r="J119" s="67" t="str">
        <f t="shared" ca="1" si="46"/>
        <v/>
      </c>
      <c r="K119" s="67" t="str">
        <f t="shared" ca="1" si="46"/>
        <v/>
      </c>
      <c r="L119" s="67" t="str">
        <f t="shared" ca="1" si="46"/>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f t="shared" ref="C121:L126" ca="1" si="47">IF(OR(C$26="",$A121=""),"",OFFSET(C$62,8*(ROW(B121)-ROW(B$121)),0))</f>
        <v>3.4040452368981784</v>
      </c>
      <c r="D121" s="67">
        <f t="shared" ca="1" si="47"/>
        <v>0</v>
      </c>
      <c r="E121" s="67">
        <f t="shared" ca="1" si="47"/>
        <v>0</v>
      </c>
      <c r="F121" s="67">
        <f t="shared" ca="1" si="47"/>
        <v>0</v>
      </c>
      <c r="G121" s="67">
        <f t="shared" ca="1" si="47"/>
        <v>0</v>
      </c>
      <c r="H121" s="67" t="str">
        <f t="shared" ca="1" si="47"/>
        <v/>
      </c>
      <c r="I121" s="67" t="str">
        <f t="shared" ca="1" si="47"/>
        <v/>
      </c>
      <c r="J121" s="67" t="str">
        <f t="shared" ca="1" si="47"/>
        <v/>
      </c>
      <c r="K121" s="67" t="str">
        <f t="shared" ca="1" si="47"/>
        <v/>
      </c>
      <c r="L121" s="67" t="str">
        <f t="shared" ca="1" si="47"/>
        <v/>
      </c>
    </row>
    <row r="122" spans="1:12" x14ac:dyDescent="0.35">
      <c r="A122" t="str">
        <f>IF(A6="","","    "&amp;A6)</f>
        <v xml:space="preserve">    Lower Basin</v>
      </c>
      <c r="C122" s="67">
        <f t="shared" ca="1" si="47"/>
        <v>3.2109815232907888</v>
      </c>
      <c r="D122" s="67">
        <f t="shared" ca="1" si="47"/>
        <v>2.5623520451145225</v>
      </c>
      <c r="E122" s="67">
        <f t="shared" ca="1" si="47"/>
        <v>2.2299807300538657</v>
      </c>
      <c r="F122" s="67">
        <f t="shared" ca="1" si="47"/>
        <v>1.9695642004172758</v>
      </c>
      <c r="G122" s="67">
        <f t="shared" ca="1" si="47"/>
        <v>1.7137875840007126</v>
      </c>
      <c r="H122" s="67" t="str">
        <f t="shared" ca="1" si="47"/>
        <v/>
      </c>
      <c r="I122" s="67" t="str">
        <f t="shared" ca="1" si="47"/>
        <v/>
      </c>
      <c r="J122" s="67" t="str">
        <f t="shared" ca="1" si="47"/>
        <v/>
      </c>
      <c r="K122" s="67" t="str">
        <f t="shared" ca="1" si="47"/>
        <v/>
      </c>
      <c r="L122" s="67" t="str">
        <f t="shared" ca="1" si="47"/>
        <v/>
      </c>
    </row>
    <row r="123" spans="1:12" x14ac:dyDescent="0.35">
      <c r="A123" t="str">
        <f>IF(A7="","","    "&amp;A7)</f>
        <v xml:space="preserve">    Mexico</v>
      </c>
      <c r="C123" s="67">
        <f t="shared" ca="1" si="47"/>
        <v>0.16557297647772518</v>
      </c>
      <c r="D123" s="67">
        <f t="shared" ca="1" si="47"/>
        <v>0.1571001961234586</v>
      </c>
      <c r="E123" s="67">
        <f t="shared" ca="1" si="47"/>
        <v>-5.1813304749818379E-2</v>
      </c>
      <c r="F123" s="67">
        <f t="shared" ca="1" si="47"/>
        <v>-0.14882516594656248</v>
      </c>
      <c r="G123" s="67">
        <f t="shared" ca="1" si="47"/>
        <v>-0.14012832786333385</v>
      </c>
      <c r="H123" s="67" t="str">
        <f t="shared" ca="1" si="47"/>
        <v/>
      </c>
      <c r="I123" s="67" t="str">
        <f t="shared" ca="1" si="47"/>
        <v/>
      </c>
      <c r="J123" s="67" t="str">
        <f t="shared" ca="1" si="47"/>
        <v/>
      </c>
      <c r="K123" s="67" t="str">
        <f t="shared" ca="1" si="47"/>
        <v/>
      </c>
      <c r="L123" s="67" t="str">
        <f t="shared" ca="1" si="47"/>
        <v/>
      </c>
    </row>
    <row r="124" spans="1:12" x14ac:dyDescent="0.35">
      <c r="A124" t="str">
        <f>IF(A8="","","    "&amp;A8)</f>
        <v xml:space="preserve">    Shared, Reserve</v>
      </c>
      <c r="C124" s="67">
        <f t="shared" ca="1" si="47"/>
        <v>11.59116925</v>
      </c>
      <c r="D124" s="67">
        <f t="shared" ca="1" si="47"/>
        <v>11.59116925</v>
      </c>
      <c r="E124" s="67">
        <f t="shared" ca="1" si="47"/>
        <v>11.59116925</v>
      </c>
      <c r="F124" s="67">
        <f t="shared" ca="1" si="47"/>
        <v>11.59116925</v>
      </c>
      <c r="G124" s="67">
        <f t="shared" ca="1" si="47"/>
        <v>11.59116925</v>
      </c>
      <c r="H124" s="67" t="str">
        <f t="shared" ca="1" si="47"/>
        <v/>
      </c>
      <c r="I124" s="67" t="str">
        <f t="shared" ca="1" si="47"/>
        <v/>
      </c>
      <c r="J124" s="67" t="str">
        <f t="shared" ca="1" si="47"/>
        <v/>
      </c>
      <c r="K124" s="67" t="str">
        <f t="shared" ca="1" si="47"/>
        <v/>
      </c>
      <c r="L124" s="67" t="str">
        <f t="shared" ca="1" si="47"/>
        <v/>
      </c>
    </row>
    <row r="125" spans="1:12" x14ac:dyDescent="0.35">
      <c r="A125" t="str">
        <f>IF(A9="","","    "&amp;A9)</f>
        <v/>
      </c>
      <c r="C125" s="67" t="str">
        <f t="shared" ca="1" si="47"/>
        <v/>
      </c>
      <c r="D125" s="67" t="str">
        <f t="shared" ca="1" si="47"/>
        <v/>
      </c>
      <c r="E125" s="67" t="str">
        <f t="shared" ca="1" si="47"/>
        <v/>
      </c>
      <c r="F125" s="67" t="str">
        <f t="shared" ca="1" si="47"/>
        <v/>
      </c>
      <c r="G125" s="67" t="str">
        <f t="shared" ca="1" si="47"/>
        <v/>
      </c>
      <c r="H125" s="67" t="str">
        <f t="shared" ca="1" si="47"/>
        <v/>
      </c>
      <c r="I125" s="67" t="str">
        <f t="shared" ca="1" si="47"/>
        <v/>
      </c>
      <c r="J125" s="67" t="str">
        <f t="shared" ca="1" si="47"/>
        <v/>
      </c>
      <c r="K125" s="67" t="str">
        <f t="shared" ca="1" si="47"/>
        <v/>
      </c>
      <c r="L125" s="67" t="str">
        <f t="shared" ca="1" si="47"/>
        <v/>
      </c>
    </row>
    <row r="126" spans="1:12" x14ac:dyDescent="0.35">
      <c r="A126" t="str">
        <f>IF(A10="","","    "&amp;A10)</f>
        <v/>
      </c>
      <c r="C126" s="67" t="str">
        <f t="shared" ca="1" si="47"/>
        <v/>
      </c>
      <c r="D126" s="67" t="str">
        <f t="shared" ca="1" si="47"/>
        <v/>
      </c>
      <c r="E126" s="67" t="str">
        <f t="shared" ca="1" si="47"/>
        <v/>
      </c>
      <c r="F126" s="67" t="str">
        <f t="shared" ca="1" si="47"/>
        <v/>
      </c>
      <c r="G126" s="67" t="str">
        <f t="shared" ca="1" si="47"/>
        <v/>
      </c>
      <c r="H126" s="67" t="str">
        <f t="shared" ca="1" si="47"/>
        <v/>
      </c>
      <c r="I126" s="67" t="str">
        <f t="shared" ca="1" si="47"/>
        <v/>
      </c>
      <c r="J126" s="67" t="str">
        <f t="shared" ca="1" si="47"/>
        <v/>
      </c>
      <c r="K126" s="67" t="str">
        <f t="shared" ca="1" si="47"/>
        <v/>
      </c>
      <c r="L126" s="67" t="str">
        <f t="shared" ca="1" si="47"/>
        <v/>
      </c>
    </row>
    <row r="127" spans="1:12" x14ac:dyDescent="0.35">
      <c r="A127" s="1" t="s">
        <v>123</v>
      </c>
      <c r="B127" s="1"/>
      <c r="C127" s="14">
        <f ca="1">IF(C$26&lt;&gt;"",SUM(C121:C126),"")</f>
        <v>18.371768986666694</v>
      </c>
      <c r="D127" s="14">
        <f t="shared" ref="D127:L127" ca="1" si="48">IF(D$26&lt;&gt;"",SUM(D121:D126),"")</f>
        <v>14.310621491237981</v>
      </c>
      <c r="E127" s="14">
        <f t="shared" ca="1" si="48"/>
        <v>13.769336675304046</v>
      </c>
      <c r="F127" s="14">
        <f t="shared" ca="1" si="48"/>
        <v>13.411908284470714</v>
      </c>
      <c r="G127" s="14">
        <f t="shared" ca="1" si="48"/>
        <v>13.164828506137379</v>
      </c>
      <c r="H127" s="14" t="str">
        <f t="shared" si="48"/>
        <v/>
      </c>
      <c r="I127" s="14" t="str">
        <f t="shared" si="48"/>
        <v/>
      </c>
      <c r="J127" s="14" t="str">
        <f t="shared" si="48"/>
        <v/>
      </c>
      <c r="K127" s="14" t="str">
        <f t="shared" si="48"/>
        <v/>
      </c>
      <c r="L127" s="14" t="str">
        <f t="shared" si="48"/>
        <v/>
      </c>
    </row>
    <row r="128" spans="1:12" x14ac:dyDescent="0.35">
      <c r="A128" s="1" t="s">
        <v>197</v>
      </c>
      <c r="B128" s="1"/>
      <c r="C128" s="68">
        <v>0.5</v>
      </c>
      <c r="D128" s="68">
        <v>0.5</v>
      </c>
      <c r="E128" s="68">
        <v>0.5</v>
      </c>
      <c r="F128" s="68">
        <v>0.5</v>
      </c>
      <c r="G128" s="68">
        <v>0.5</v>
      </c>
      <c r="H128" s="68"/>
      <c r="I128" s="68"/>
      <c r="J128" s="68"/>
      <c r="K128" s="68"/>
      <c r="L128" s="68"/>
    </row>
    <row r="129" spans="1:14" x14ac:dyDescent="0.35">
      <c r="A129" s="1" t="s">
        <v>193</v>
      </c>
      <c r="B129" s="1"/>
      <c r="C129" s="14">
        <f ca="1">IF(C26="","",C$128*C$127)</f>
        <v>9.1858844933333472</v>
      </c>
      <c r="D129" s="14">
        <f t="shared" ref="D129:L129" ca="1" si="49">IF(D26="","",D$128*D$127)</f>
        <v>7.1553107456189906</v>
      </c>
      <c r="E129" s="14">
        <f t="shared" ca="1" si="49"/>
        <v>6.8846683376520232</v>
      </c>
      <c r="F129" s="14">
        <f t="shared" ca="1" si="49"/>
        <v>6.705954142235357</v>
      </c>
      <c r="G129" s="14">
        <f t="shared" ca="1" si="49"/>
        <v>6.5824142530686895</v>
      </c>
      <c r="H129" s="14" t="str">
        <f t="shared" si="49"/>
        <v/>
      </c>
      <c r="I129" s="14" t="str">
        <f t="shared" si="49"/>
        <v/>
      </c>
      <c r="J129" s="14" t="str">
        <f t="shared" si="49"/>
        <v/>
      </c>
      <c r="K129" s="14" t="str">
        <f t="shared" si="49"/>
        <v/>
      </c>
      <c r="L129" s="14" t="str">
        <f t="shared" si="49"/>
        <v/>
      </c>
    </row>
    <row r="130" spans="1:14" x14ac:dyDescent="0.35">
      <c r="A130" s="1" t="s">
        <v>194</v>
      </c>
      <c r="B130" s="1"/>
      <c r="C130" s="14">
        <f ca="1">IF(C27="","",(1-C$128)*C$127)</f>
        <v>9.1858844933333472</v>
      </c>
      <c r="D130" s="14">
        <f t="shared" ref="D130:L130" ca="1" si="50">IF(D27="","",(1-D$128)*D$127)</f>
        <v>7.1553107456189906</v>
      </c>
      <c r="E130" s="14">
        <f t="shared" ca="1" si="50"/>
        <v>6.8846683376520232</v>
      </c>
      <c r="F130" s="14">
        <f t="shared" ca="1" si="50"/>
        <v>6.705954142235357</v>
      </c>
      <c r="G130" s="14">
        <f t="shared" ca="1" si="50"/>
        <v>6.5824142530686895</v>
      </c>
      <c r="H130" s="14" t="str">
        <f t="shared" si="50"/>
        <v/>
      </c>
      <c r="I130" s="14" t="str">
        <f t="shared" si="50"/>
        <v/>
      </c>
      <c r="J130" s="14" t="str">
        <f t="shared" si="50"/>
        <v/>
      </c>
      <c r="K130" s="14" t="str">
        <f t="shared" si="50"/>
        <v/>
      </c>
      <c r="L130" s="14" t="str">
        <f t="shared" si="50"/>
        <v/>
      </c>
    </row>
    <row r="131" spans="1:14" x14ac:dyDescent="0.35">
      <c r="A131" s="32" t="s">
        <v>282</v>
      </c>
      <c r="B131" s="1"/>
      <c r="C131" s="87">
        <f ca="1">IF(C$26&lt;&gt;"",VLOOKUP(C129*1000000,'Powell-Elevation-Area'!$B$5:$H$689,7),"")</f>
        <v>3570.5</v>
      </c>
      <c r="D131" s="87">
        <f ca="1">IF(D$26&lt;&gt;"",VLOOKUP(D129*1000000,'Powell-Elevation-Area'!$B$5:$H$689,7),"")</f>
        <v>3543.5</v>
      </c>
      <c r="E131" s="87">
        <f ca="1">IF(E$26&lt;&gt;"",VLOOKUP(E129*1000000,'Powell-Elevation-Area'!$B$5:$H$689,7),"")</f>
        <v>3539.5</v>
      </c>
      <c r="F131" s="87">
        <f ca="1">IF(F$26&lt;&gt;"",VLOOKUP(F129*1000000,'Powell-Elevation-Area'!$B$5:$H$689,7),"")</f>
        <v>3537</v>
      </c>
      <c r="G131" s="87">
        <f ca="1">IF(G$26&lt;&gt;"",VLOOKUP(G129*1000000,'Powell-Elevation-Area'!$B$5:$H$689,7),"")</f>
        <v>3535</v>
      </c>
      <c r="H131" s="87" t="str">
        <f>IF(H$26&lt;&gt;"",VLOOKUP(H129*1000000,'Powell-Elevation-Area'!$B$5:$H$689,7),"")</f>
        <v/>
      </c>
      <c r="I131" s="87" t="str">
        <f>IF(I$26&lt;&gt;"",VLOOKUP(I129*1000000,'Powell-Elevation-Area'!$B$5:$H$689,7),"")</f>
        <v/>
      </c>
      <c r="J131" s="87" t="str">
        <f>IF(J$26&lt;&gt;"",VLOOKUP(J129*1000000,'Powell-Elevation-Area'!$B$5:$H$689,7),"")</f>
        <v/>
      </c>
      <c r="K131" s="87" t="str">
        <f>IF(K$26&lt;&gt;"",VLOOKUP(K129*1000000,'Powell-Elevation-Area'!$B$5:$H$689,7),"")</f>
        <v/>
      </c>
      <c r="L131" s="87" t="str">
        <f>IF(L$26&lt;&gt;"",VLOOKUP(L129*1000000,'Powell-Elevation-Area'!$B$5:$H$689,7),"")</f>
        <v/>
      </c>
    </row>
    <row r="132" spans="1:14" x14ac:dyDescent="0.35">
      <c r="A132" s="32" t="s">
        <v>283</v>
      </c>
      <c r="B132" s="1"/>
      <c r="C132" s="87">
        <f ca="1">IF(C$26&lt;&gt;"",VLOOKUP(C130*1000000,'Mead-Elevation-Area'!$B$5:$H$689,7),"")</f>
        <v>1069.5</v>
      </c>
      <c r="D132" s="87">
        <f ca="1">IF(D$26&lt;&gt;"",VLOOKUP(D130*1000000,'Mead-Elevation-Area'!$B$5:$H$689,7),"")</f>
        <v>1042.5</v>
      </c>
      <c r="E132" s="87">
        <f ca="1">IF(E$26&lt;&gt;"",VLOOKUP(E130*1000000,'Mead-Elevation-Area'!$B$5:$H$689,7),"")</f>
        <v>1038.5</v>
      </c>
      <c r="F132" s="87">
        <f ca="1">IF(F$26&lt;&gt;"",VLOOKUP(F130*1000000,'Mead-Elevation-Area'!$B$5:$H$689,7),"")</f>
        <v>1036</v>
      </c>
      <c r="G132" s="87">
        <f ca="1">IF(G$26&lt;&gt;"",VLOOKUP(G130*1000000,'Mead-Elevation-Area'!$B$5:$H$689,7),"")</f>
        <v>1034</v>
      </c>
      <c r="H132" s="87" t="str">
        <f>IF(H$26&lt;&gt;"",VLOOKUP(H130*1000000,'Mead-Elevation-Area'!$B$5:$H$689,7),"")</f>
        <v/>
      </c>
      <c r="I132" s="87" t="str">
        <f>IF(I$26&lt;&gt;"",VLOOKUP(I130*1000000,'Mead-Elevation-Area'!$B$5:$H$689,7),"")</f>
        <v/>
      </c>
      <c r="J132" s="87" t="str">
        <f>IF(J$26&lt;&gt;"",VLOOKUP(J130*1000000,'Mead-Elevation-Area'!$B$5:$H$689,7),"")</f>
        <v/>
      </c>
      <c r="K132" s="87" t="str">
        <f>IF(K$26&lt;&gt;"",VLOOKUP(K130*1000000,'Mead-Elevation-Area'!$B$5:$H$689,7),"")</f>
        <v/>
      </c>
      <c r="L132" s="87" t="str">
        <f>IF(L$26&lt;&gt;"",VLOOKUP(L130*1000000,'Mead-Elevation-Area'!$B$5:$H$689,7),"")</f>
        <v/>
      </c>
    </row>
    <row r="133" spans="1:14" x14ac:dyDescent="0.35">
      <c r="A133" s="1" t="s">
        <v>295</v>
      </c>
      <c r="B133" s="1"/>
    </row>
    <row r="134" spans="1:14" x14ac:dyDescent="0.35">
      <c r="A134" s="32" t="s">
        <v>296</v>
      </c>
      <c r="B134" s="1"/>
      <c r="C134" s="14">
        <f ca="1">IF(C$26&lt;&gt;"",-C129+C37+C26-C61-VLOOKUP(C37*1000000,'Powell-Elevation-Area'!$B$5:$D$689,3)*$B$20/1000000,"")</f>
        <v>8.0912186266660804</v>
      </c>
      <c r="D134" s="14">
        <f ca="1">IF(D$26&lt;&gt;"",-D129+D37+D26-D61-VLOOKUP(D37*1000000,'Powell-Elevation-Area'!$B$5:$D$689,3)*$B$20/1000000,"")</f>
        <v>6.5403795856195783</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7.8450934441666664</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IF(H$26&lt;&gt;"",VLOOKUP(H131,PowellReleaseTemperature!$A$5:$B$11,2),"")</f>
        <v/>
      </c>
      <c r="I135" s="87" t="str">
        <f>IF(I$26&lt;&gt;"",VLOOKUP(I131,PowellReleaseTemperature!$A$5:$B$11,2),"")</f>
        <v/>
      </c>
      <c r="J135" s="87" t="str">
        <f>IF(J$26&lt;&gt;"",VLOOKUP(J131,PowellReleaseTemperature!$A$5:$B$11,2),"")</f>
        <v/>
      </c>
      <c r="K135" s="87" t="str">
        <f>IF(K$26&lt;&gt;"",VLOOKUP(K131,PowellReleaseTemperature!$A$5:$B$11,2),"")</f>
        <v/>
      </c>
      <c r="L135" s="87" t="str">
        <f>IF(L$26&lt;&gt;"",VLOOKUP(L131,PowellReleaseTemperature!$A$5:$B$11,2),"")</f>
        <v/>
      </c>
      <c r="N135" t="s">
        <v>301</v>
      </c>
    </row>
    <row r="136" spans="1:14" s="89" customFormat="1" ht="62.5" customHeight="1" x14ac:dyDescent="0.35">
      <c r="A136" s="143" t="s">
        <v>311</v>
      </c>
      <c r="B136" s="88"/>
      <c r="C136" s="142" t="str">
        <f ca="1">IF(C$26&lt;&gt;"",VLOOKUP(C$131,PowellReleaseTemperature!$A$5:$E$11,5),"")</f>
        <v>May benefit or face invasion</v>
      </c>
      <c r="D136" s="142" t="str">
        <f ca="1">IF(D$26&lt;&gt;"",VLOOKUP(D$131,PowellReleaseTemperature!$A$5:$E$11,5),"")</f>
        <v>May benefit or face invasion</v>
      </c>
      <c r="E136" s="142" t="str">
        <f ca="1">IF(E$26&lt;&gt;"",VLOOKUP(E$131,PowellReleaseTemperature!$A$5:$E$11,5),"")</f>
        <v>May benefit or face invasion</v>
      </c>
      <c r="F136" s="142" t="str">
        <f ca="1">IF(F$26&lt;&gt;"",VLOOKUP(F$131,PowellReleaseTemperature!$A$5:$E$11,5),"")</f>
        <v>May benefit or face invasion</v>
      </c>
      <c r="G136" s="142" t="str">
        <f ca="1">IF(G$26&lt;&gt;"",VLOOKUP(G$131,PowellReleaseTemperature!$A$5:$E$11,5),"")</f>
        <v>May benefit or face invasion</v>
      </c>
      <c r="H136" s="142" t="str">
        <f>IF(H$26&lt;&gt;"",VLOOKUP(H$131,PowellReleaseTemperature!$A$5:$E$11,5),"")</f>
        <v/>
      </c>
      <c r="I136" s="142" t="str">
        <f>IF(I$26&lt;&gt;"",VLOOKUP(I$131,PowellReleaseTemperature!$A$5:$E$11,5),"")</f>
        <v/>
      </c>
      <c r="J136" s="142" t="str">
        <f>IF(J$26&lt;&gt;"",VLOOKUP(J$131,PowellReleaseTemperature!$A$5:$E$11,5),"")</f>
        <v/>
      </c>
      <c r="K136" s="142" t="str">
        <f>IF(K$26&lt;&gt;"",VLOOKUP(K$131,PowellReleaseTemperature!$A$5:$E$11,5),"")</f>
        <v/>
      </c>
      <c r="L136" s="142" t="str">
        <f>IF(L$26&lt;&gt;"",VLOOKUP(L$131,PowellReleaseTemperature!$A$5:$E$11,5),"")</f>
        <v/>
      </c>
    </row>
    <row r="137" spans="1:14" s="89" customFormat="1" ht="32" customHeight="1" x14ac:dyDescent="0.35">
      <c r="A137" s="143" t="s">
        <v>317</v>
      </c>
      <c r="B137" s="88"/>
      <c r="C137" s="142" t="str">
        <f ca="1">IF(C$26&lt;&gt;"",VLOOKUP(C$131,PowellReleaseTemperature!$A$5:$F$11,6),"")</f>
        <v>Help grow + incubate</v>
      </c>
      <c r="D137" s="142" t="str">
        <f ca="1">IF(D$26&lt;&gt;"",VLOOKUP(D$131,PowellReleaseTemperature!$A$5:$F$11,6),"")</f>
        <v>Help grow + incubate</v>
      </c>
      <c r="E137" s="142" t="str">
        <f ca="1">IF(E$26&lt;&gt;"",VLOOKUP(E$131,PowellReleaseTemperature!$A$5:$F$11,6),"")</f>
        <v>Help grow + incubate</v>
      </c>
      <c r="F137" s="142" t="str">
        <f ca="1">IF(F$26&lt;&gt;"",VLOOKUP(F$131,PowellReleaseTemperature!$A$5:$F$11,6),"")</f>
        <v>Help grow + incubate</v>
      </c>
      <c r="G137" s="142" t="str">
        <f ca="1">IF(G$26&lt;&gt;"",VLOOKUP(G$131,PowellReleaseTemperature!$A$5:$F$11,6),"")</f>
        <v>Help grow + incubate</v>
      </c>
      <c r="H137" s="142" t="str">
        <f>IF(H$26&lt;&gt;"",VLOOKUP(H$131,PowellReleaseTemperature!$A$5:$F$11,6),"")</f>
        <v/>
      </c>
      <c r="I137" s="142" t="str">
        <f>IF(I$26&lt;&gt;"",VLOOKUP(I$131,PowellReleaseTemperature!$A$5:$F$11,6),"")</f>
        <v/>
      </c>
      <c r="J137" s="142" t="str">
        <f>IF(J$26&lt;&gt;"",VLOOKUP(J$131,PowellReleaseTemperature!$A$5:$F$11,6),"")</f>
        <v/>
      </c>
      <c r="K137" s="142" t="str">
        <f>IF(K$26&lt;&gt;"",VLOOKUP(K$131,PowellReleaseTemperature!$A$5:$F$11,6),"")</f>
        <v/>
      </c>
      <c r="L137" s="142" t="str">
        <f>IF(L$26&lt;&gt;"",VLOOKUP(L$131,PowellReleaseTemperature!$A$5:$F$11,6),"")</f>
        <v/>
      </c>
    </row>
    <row r="138" spans="1:14" x14ac:dyDescent="0.35">
      <c r="C138" s="29"/>
    </row>
    <row r="139" spans="1:14" x14ac:dyDescent="0.35">
      <c r="A139" s="1" t="s">
        <v>125</v>
      </c>
      <c r="C139" s="169">
        <f>IF(C$26&lt;&gt;"",0.2,"")</f>
        <v>0.2</v>
      </c>
      <c r="D139" s="169">
        <f t="shared" ref="D139:L139" si="51">IF(D$26&lt;&gt;"",0.2,"")</f>
        <v>0.2</v>
      </c>
      <c r="E139" s="169">
        <f t="shared" si="51"/>
        <v>0.2</v>
      </c>
      <c r="F139" s="169">
        <f t="shared" si="51"/>
        <v>0.2</v>
      </c>
      <c r="G139" s="169">
        <f t="shared" si="51"/>
        <v>0.2</v>
      </c>
      <c r="H139" s="169" t="str">
        <f t="shared" si="51"/>
        <v/>
      </c>
      <c r="I139" s="169" t="str">
        <f t="shared" si="51"/>
        <v/>
      </c>
      <c r="J139" s="169" t="str">
        <f t="shared" si="51"/>
        <v/>
      </c>
      <c r="K139" s="169" t="str">
        <f t="shared" si="51"/>
        <v/>
      </c>
      <c r="L139" s="169" t="str">
        <f t="shared" si="51"/>
        <v/>
      </c>
    </row>
    <row r="140" spans="1:14" x14ac:dyDescent="0.35">
      <c r="A140" t="s">
        <v>126</v>
      </c>
      <c r="C140" s="14">
        <f t="shared" ref="C140:L140" ca="1" si="52">IF(C$26&lt;&gt;"",C115+C139,"")</f>
        <v>7.4590000000000005</v>
      </c>
      <c r="D140" s="14">
        <f t="shared" ca="1" si="52"/>
        <v>7.0870000000000006</v>
      </c>
      <c r="E140" s="14">
        <f t="shared" ca="1" si="52"/>
        <v>6.6870000000000003</v>
      </c>
      <c r="F140" s="14">
        <f t="shared" ca="1" si="52"/>
        <v>6.6290000000000004</v>
      </c>
      <c r="G140" s="14">
        <f t="shared" ca="1" si="52"/>
        <v>6.6290000000000004</v>
      </c>
      <c r="H140" s="14" t="str">
        <f t="shared" si="52"/>
        <v/>
      </c>
      <c r="I140" s="14" t="str">
        <f t="shared" si="52"/>
        <v/>
      </c>
      <c r="J140" s="14" t="str">
        <f t="shared" si="52"/>
        <v/>
      </c>
      <c r="K140" s="14" t="str">
        <f t="shared" si="52"/>
        <v/>
      </c>
      <c r="L140" s="14" t="str">
        <f t="shared" si="52"/>
        <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H61">
    <cfRule type="cellIs" dxfId="219" priority="68" operator="greaterThan">
      <formula>$H$60</formula>
    </cfRule>
  </conditionalFormatting>
  <conditionalFormatting sqref="I61">
    <cfRule type="cellIs" dxfId="218" priority="67" operator="greaterThan">
      <formula>$I$60</formula>
    </cfRule>
  </conditionalFormatting>
  <conditionalFormatting sqref="J61">
    <cfRule type="cellIs" dxfId="217" priority="66" operator="greaterThan">
      <formula>$J$60</formula>
    </cfRule>
  </conditionalFormatting>
  <conditionalFormatting sqref="K61">
    <cfRule type="cellIs" dxfId="216" priority="65" operator="greaterThan">
      <formula>$K$60</formula>
    </cfRule>
  </conditionalFormatting>
  <conditionalFormatting sqref="L61">
    <cfRule type="cellIs" dxfId="215" priority="64" operator="greaterThan">
      <formula>$L$60</formula>
    </cfRule>
  </conditionalFormatting>
  <conditionalFormatting sqref="H69">
    <cfRule type="cellIs" dxfId="209" priority="51" operator="greaterThan">
      <formula>$H$68</formula>
    </cfRule>
  </conditionalFormatting>
  <conditionalFormatting sqref="I69">
    <cfRule type="cellIs" dxfId="208" priority="50" operator="greaterThan">
      <formula>$I$68</formula>
    </cfRule>
  </conditionalFormatting>
  <conditionalFormatting sqref="J69">
    <cfRule type="cellIs" dxfId="207" priority="49" operator="greaterThan">
      <formula>$J$68</formula>
    </cfRule>
  </conditionalFormatting>
  <conditionalFormatting sqref="K69">
    <cfRule type="cellIs" dxfId="206" priority="48" operator="greaterThan">
      <formula>$K$68</formula>
    </cfRule>
  </conditionalFormatting>
  <conditionalFormatting sqref="L69">
    <cfRule type="cellIs" dxfId="205" priority="47" operator="greaterThan">
      <formula>$L$68</formula>
    </cfRule>
  </conditionalFormatting>
  <conditionalFormatting sqref="C77:G77">
    <cfRule type="cellIs" dxfId="204" priority="46" operator="greaterThan">
      <formula>$C$76</formula>
    </cfRule>
  </conditionalFormatting>
  <conditionalFormatting sqref="H77">
    <cfRule type="cellIs" dxfId="199" priority="41" operator="greaterThan">
      <formula>$H$76</formula>
    </cfRule>
  </conditionalFormatting>
  <conditionalFormatting sqref="I77">
    <cfRule type="cellIs" dxfId="198" priority="40" operator="greaterThan">
      <formula>$I$76</formula>
    </cfRule>
  </conditionalFormatting>
  <conditionalFormatting sqref="J77">
    <cfRule type="cellIs" dxfId="197" priority="39" operator="greaterThan">
      <formula>$J$76</formula>
    </cfRule>
  </conditionalFormatting>
  <conditionalFormatting sqref="K77">
    <cfRule type="cellIs" dxfId="196" priority="38" operator="greaterThan">
      <formula>$K$76</formula>
    </cfRule>
  </conditionalFormatting>
  <conditionalFormatting sqref="L77">
    <cfRule type="cellIs" dxfId="195" priority="37" operator="greaterThan">
      <formula>$L$76</formula>
    </cfRule>
  </conditionalFormatting>
  <conditionalFormatting sqref="C85:L85">
    <cfRule type="cellIs" dxfId="194" priority="36" operator="greaterThan">
      <formula>$C$84</formula>
    </cfRule>
  </conditionalFormatting>
  <conditionalFormatting sqref="C93">
    <cfRule type="cellIs" dxfId="193" priority="35" operator="greaterThan">
      <formula>$C$92</formula>
    </cfRule>
  </conditionalFormatting>
  <conditionalFormatting sqref="D93">
    <cfRule type="cellIs" dxfId="192" priority="34" operator="greaterThan">
      <formula>$D$92</formula>
    </cfRule>
  </conditionalFormatting>
  <conditionalFormatting sqref="E93">
    <cfRule type="cellIs" dxfId="191" priority="33" operator="greaterThan">
      <formula>$E$92</formula>
    </cfRule>
  </conditionalFormatting>
  <conditionalFormatting sqref="F93">
    <cfRule type="cellIs" dxfId="190" priority="32" operator="greaterThan">
      <formula>$F$92</formula>
    </cfRule>
  </conditionalFormatting>
  <conditionalFormatting sqref="G93">
    <cfRule type="cellIs" dxfId="189" priority="31" operator="greaterThan">
      <formula>$G$92</formula>
    </cfRule>
  </conditionalFormatting>
  <conditionalFormatting sqref="H93">
    <cfRule type="cellIs" dxfId="188" priority="30" operator="greaterThan">
      <formula>$H$92</formula>
    </cfRule>
  </conditionalFormatting>
  <conditionalFormatting sqref="I93">
    <cfRule type="cellIs" dxfId="187" priority="29" operator="greaterThan">
      <formula>$I$92</formula>
    </cfRule>
  </conditionalFormatting>
  <conditionalFormatting sqref="J93">
    <cfRule type="cellIs" dxfId="186" priority="28" operator="greaterThan">
      <formula>$J$92</formula>
    </cfRule>
  </conditionalFormatting>
  <conditionalFormatting sqref="K93">
    <cfRule type="cellIs" dxfId="185" priority="27" operator="greaterThan">
      <formula>$K$92</formula>
    </cfRule>
  </conditionalFormatting>
  <conditionalFormatting sqref="L93">
    <cfRule type="cellIs" dxfId="184" priority="26" operator="greaterThan">
      <formula>$L$92</formula>
    </cfRule>
  </conditionalFormatting>
  <conditionalFormatting sqref="C101">
    <cfRule type="cellIs" dxfId="183" priority="25" operator="greaterThan">
      <formula>$C$100</formula>
    </cfRule>
  </conditionalFormatting>
  <conditionalFormatting sqref="D101">
    <cfRule type="cellIs" dxfId="182" priority="24" operator="greaterThan">
      <formula>$D$100</formula>
    </cfRule>
  </conditionalFormatting>
  <conditionalFormatting sqref="E101">
    <cfRule type="cellIs" dxfId="181" priority="23" operator="greaterThan">
      <formula>$E$100</formula>
    </cfRule>
  </conditionalFormatting>
  <conditionalFormatting sqref="F101">
    <cfRule type="cellIs" dxfId="180" priority="22" operator="greaterThan">
      <formula>$F$100</formula>
    </cfRule>
  </conditionalFormatting>
  <conditionalFormatting sqref="G101">
    <cfRule type="cellIs" dxfId="179" priority="21" operator="greaterThan">
      <formula>$G$100</formula>
    </cfRule>
  </conditionalFormatting>
  <conditionalFormatting sqref="H101">
    <cfRule type="cellIs" dxfId="178" priority="20" operator="greaterThan">
      <formula>$H$100</formula>
    </cfRule>
  </conditionalFormatting>
  <conditionalFormatting sqref="I101">
    <cfRule type="cellIs" dxfId="177" priority="19" operator="greaterThan">
      <formula>$I$100</formula>
    </cfRule>
  </conditionalFormatting>
  <conditionalFormatting sqref="J101">
    <cfRule type="cellIs" dxfId="176" priority="18" operator="greaterThan">
      <formula>$J$100</formula>
    </cfRule>
  </conditionalFormatting>
  <conditionalFormatting sqref="K101">
    <cfRule type="cellIs" dxfId="175" priority="17" operator="greaterThan">
      <formula>$K$100</formula>
    </cfRule>
  </conditionalFormatting>
  <conditionalFormatting sqref="L101">
    <cfRule type="cellIs" dxfId="174" priority="16" operator="greaterThan">
      <formula>$L$100</formula>
    </cfRule>
  </conditionalFormatting>
  <conditionalFormatting sqref="C61:G61">
    <cfRule type="cellIs" dxfId="162" priority="3" operator="greaterThan">
      <formula>$C$60</formula>
    </cfRule>
  </conditionalFormatting>
  <conditionalFormatting sqref="C69:G69">
    <cfRule type="cellIs" dxfId="161"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 workbookViewId="0">
      <selection activeCell="I39" sqref="I39"/>
    </sheetView>
  </sheetViews>
  <sheetFormatPr defaultRowHeight="14.5" x14ac:dyDescent="0.35"/>
  <sheetData>
    <row r="1" spans="7:24" ht="36" x14ac:dyDescent="0.8">
      <c r="G1" s="47" t="s">
        <v>39</v>
      </c>
      <c r="P1" s="47" t="s">
        <v>40</v>
      </c>
      <c r="X1" s="47" t="s">
        <v>210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topLeftCell="A12" zoomScale="150" zoomScaleNormal="150" workbookViewId="0">
      <selection activeCell="A58" sqref="A5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c r="C5" s="165" t="s">
        <v>152</v>
      </c>
      <c r="D5" s="158"/>
      <c r="E5" s="158"/>
      <c r="F5" s="158"/>
      <c r="G5" s="158"/>
      <c r="M5" t="s">
        <v>322</v>
      </c>
    </row>
    <row r="6" spans="1:13" x14ac:dyDescent="0.35">
      <c r="A6" s="157" t="s">
        <v>40</v>
      </c>
      <c r="B6" s="157"/>
      <c r="C6" s="165" t="s">
        <v>152</v>
      </c>
      <c r="D6" s="158"/>
      <c r="E6" s="158"/>
      <c r="F6" s="158"/>
      <c r="G6" s="158"/>
      <c r="M6" t="s">
        <v>327</v>
      </c>
    </row>
    <row r="7" spans="1:13" x14ac:dyDescent="0.35">
      <c r="A7" s="157" t="s">
        <v>41</v>
      </c>
      <c r="B7" s="157"/>
      <c r="C7" s="165" t="s">
        <v>152</v>
      </c>
      <c r="D7" s="158"/>
      <c r="E7" s="158"/>
      <c r="F7" s="158"/>
      <c r="G7" s="158"/>
      <c r="M7" t="s">
        <v>328</v>
      </c>
    </row>
    <row r="8" spans="1:13" x14ac:dyDescent="0.35">
      <c r="A8" s="117" t="s">
        <v>157</v>
      </c>
      <c r="B8" s="117"/>
      <c r="C8" s="132" t="s">
        <v>332</v>
      </c>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v>12.4</v>
      </c>
      <c r="D26" s="170">
        <v>12.4</v>
      </c>
      <c r="E26" s="170">
        <v>12.4</v>
      </c>
      <c r="F26" s="170">
        <v>12.4</v>
      </c>
      <c r="G26" s="170">
        <v>12.4</v>
      </c>
      <c r="H26" s="170">
        <v>12.4</v>
      </c>
      <c r="I26" s="170">
        <v>14.4</v>
      </c>
      <c r="J26" s="170">
        <v>14.4</v>
      </c>
      <c r="K26" s="170">
        <v>14.4</v>
      </c>
      <c r="L26" s="170">
        <v>14.4</v>
      </c>
    </row>
    <row r="27" spans="1:14" x14ac:dyDescent="0.35">
      <c r="A27" s="1" t="s">
        <v>121</v>
      </c>
      <c r="B27" s="1"/>
      <c r="C27" s="169">
        <f>IF(C$26&lt;&gt;"",0.8,"")</f>
        <v>0.8</v>
      </c>
      <c r="D27" s="169">
        <f t="shared" ref="D27:L27" si="0">IF(D$26&lt;&gt;"",0.8,"")</f>
        <v>0.8</v>
      </c>
      <c r="E27" s="169">
        <f t="shared" si="0"/>
        <v>0.8</v>
      </c>
      <c r="F27" s="169">
        <f t="shared" si="0"/>
        <v>0.8</v>
      </c>
      <c r="G27" s="169">
        <f t="shared" si="0"/>
        <v>0.8</v>
      </c>
      <c r="H27" s="169">
        <f t="shared" si="0"/>
        <v>0.8</v>
      </c>
      <c r="I27" s="169">
        <f t="shared" si="0"/>
        <v>0.8</v>
      </c>
      <c r="J27" s="169">
        <f t="shared" si="0"/>
        <v>0.8</v>
      </c>
      <c r="K27" s="169">
        <f t="shared" si="0"/>
        <v>0.8</v>
      </c>
      <c r="L27" s="169">
        <f t="shared" si="0"/>
        <v>0.8</v>
      </c>
    </row>
    <row r="28" spans="1:14" x14ac:dyDescent="0.35">
      <c r="A28" s="1" t="s">
        <v>305</v>
      </c>
      <c r="B28" s="1"/>
      <c r="C28" s="169">
        <f>IF(C$26&lt;&gt;"",0.6,"")</f>
        <v>0.6</v>
      </c>
      <c r="D28" s="169">
        <f t="shared" ref="D28:L28" si="1">IF(D$26&lt;&gt;"",0.6,"")</f>
        <v>0.6</v>
      </c>
      <c r="E28" s="169">
        <f t="shared" si="1"/>
        <v>0.6</v>
      </c>
      <c r="F28" s="169">
        <f t="shared" si="1"/>
        <v>0.6</v>
      </c>
      <c r="G28" s="169">
        <f t="shared" si="1"/>
        <v>0.6</v>
      </c>
      <c r="H28" s="169">
        <f t="shared" si="1"/>
        <v>0.6</v>
      </c>
      <c r="I28" s="169">
        <f t="shared" si="1"/>
        <v>0.6</v>
      </c>
      <c r="J28" s="169">
        <f t="shared" si="1"/>
        <v>0.6</v>
      </c>
      <c r="K28" s="169">
        <f t="shared" si="1"/>
        <v>0.6</v>
      </c>
      <c r="L28" s="169">
        <f t="shared" si="1"/>
        <v>0.6</v>
      </c>
    </row>
    <row r="29" spans="1:14" x14ac:dyDescent="0.35">
      <c r="A29" s="1" t="s">
        <v>124</v>
      </c>
      <c r="B29" s="114">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IF(A5="","","    "&amp;A5&amp;" Balance")</f>
        <v xml:space="preserve">    Upper Basin Balance</v>
      </c>
      <c r="B30" s="115">
        <f>B21-B23</f>
        <v>5.0734237499999999</v>
      </c>
      <c r="C30" s="112">
        <f>IF(OR(C$26="",$A30=""),"",B30)</f>
        <v>5.0734237499999999</v>
      </c>
      <c r="D30" s="14">
        <f ca="1">IF(OR(D$26="",$A30=""),"",C121)</f>
        <v>4.8040452368981788</v>
      </c>
      <c r="E30" s="14">
        <f t="shared" ref="E30:L30" ca="1" si="3">IF(OR(E$26="",$A30=""),"",D121)</f>
        <v>4.5419931728564817</v>
      </c>
      <c r="F30" s="14">
        <f t="shared" ca="1" si="3"/>
        <v>4.3056232546493094</v>
      </c>
      <c r="G30" s="14">
        <f t="shared" ca="1" si="3"/>
        <v>4.0774702074598084</v>
      </c>
      <c r="H30" s="14">
        <f t="shared" ca="1" si="3"/>
        <v>3.85719281347522</v>
      </c>
      <c r="I30" s="14">
        <f t="shared" ca="1" si="3"/>
        <v>3.6445551050330494</v>
      </c>
      <c r="J30" s="14">
        <f t="shared" ca="1" si="3"/>
        <v>5.4519284043853409</v>
      </c>
      <c r="K30" s="14">
        <f t="shared" ca="1" si="3"/>
        <v>7.1609068947687797</v>
      </c>
      <c r="L30" s="14">
        <f t="shared" ca="1" si="3"/>
        <v>8.7943918761707423</v>
      </c>
      <c r="N30" t="s">
        <v>177</v>
      </c>
    </row>
    <row r="31" spans="1:14" x14ac:dyDescent="0.35">
      <c r="A31" t="str">
        <f>IF(A6="","","    "&amp;A6&amp;" Balance")</f>
        <v xml:space="preserve">    Lower Basin Balance</v>
      </c>
      <c r="B31" s="115">
        <f>C21-C23-B32</f>
        <v>4.2614069999999993</v>
      </c>
      <c r="C31" s="112">
        <f t="shared" ref="C31:C35" si="4">IF(OR(C$26="",$A31=""),"",B31)</f>
        <v>4.2614069999999993</v>
      </c>
      <c r="D31" s="14">
        <f t="shared" ref="D31:L35" ca="1" si="5">IF(OR(D$26="",$A31=""),"",C122)</f>
        <v>3.2109815232907888</v>
      </c>
      <c r="E31" s="14">
        <f t="shared" ca="1" si="5"/>
        <v>2.1938054130006606</v>
      </c>
      <c r="F31" s="14">
        <f t="shared" ca="1" si="5"/>
        <v>1.5979005802175585</v>
      </c>
      <c r="G31" s="14">
        <f t="shared" ca="1" si="5"/>
        <v>1.0206144277033102</v>
      </c>
      <c r="H31" s="14">
        <f t="shared" ca="1" si="5"/>
        <v>0.46100835996429268</v>
      </c>
      <c r="I31" s="14">
        <f t="shared" ca="1" si="5"/>
        <v>0</v>
      </c>
      <c r="J31" s="14">
        <f t="shared" ca="1" si="5"/>
        <v>0</v>
      </c>
      <c r="K31" s="14">
        <f t="shared" ca="1" si="5"/>
        <v>0</v>
      </c>
      <c r="L31" s="14">
        <f t="shared" ca="1" si="5"/>
        <v>0</v>
      </c>
      <c r="N31" t="s">
        <v>174</v>
      </c>
    </row>
    <row r="32" spans="1:14" x14ac:dyDescent="0.35">
      <c r="A32" t="str">
        <f>IF(A7="","","    "&amp;A7&amp;" Balance")</f>
        <v xml:space="preserve">    Mexico Balance</v>
      </c>
      <c r="B32" s="116">
        <v>0.17399999999999999</v>
      </c>
      <c r="C32" s="113">
        <f t="shared" si="4"/>
        <v>0.17399999999999999</v>
      </c>
      <c r="D32" s="52">
        <f t="shared" ca="1" si="5"/>
        <v>0.16557297647772518</v>
      </c>
      <c r="E32" s="52">
        <f t="shared" ca="1" si="5"/>
        <v>0.15735694647678922</v>
      </c>
      <c r="F32" s="52">
        <f t="shared" ca="1" si="5"/>
        <v>0.14931228563432986</v>
      </c>
      <c r="G32" s="52">
        <f t="shared" ca="1" si="5"/>
        <v>0.14154478800417558</v>
      </c>
      <c r="H32" s="14">
        <f t="shared" ca="1" si="5"/>
        <v>0.13404274739387745</v>
      </c>
      <c r="I32" s="14">
        <f t="shared" ca="1" si="5"/>
        <v>0.1267980923965879</v>
      </c>
      <c r="J32" s="14">
        <f t="shared" ca="1" si="5"/>
        <v>0.11982386668781775</v>
      </c>
      <c r="K32" s="14">
        <f t="shared" ca="1" si="5"/>
        <v>0.1135192981185138</v>
      </c>
      <c r="L32" s="14">
        <f t="shared" ca="1" si="5"/>
        <v>0.10777511917719851</v>
      </c>
      <c r="N32" t="s">
        <v>173</v>
      </c>
    </row>
    <row r="33" spans="1:14" x14ac:dyDescent="0.35">
      <c r="A33" t="str">
        <f>IF(A8="","","    "&amp;A8&amp;" Balance")</f>
        <v xml:space="preserve">    Shared, Reserve Balance</v>
      </c>
      <c r="B33" s="115">
        <f>SUM(B23:C23)</f>
        <v>11.59116925</v>
      </c>
      <c r="C33" s="112">
        <f t="shared" si="4"/>
        <v>11.59116925</v>
      </c>
      <c r="D33" s="14">
        <f t="shared" ca="1" si="5"/>
        <v>11.59116925</v>
      </c>
      <c r="E33" s="14">
        <f t="shared" ca="1" si="5"/>
        <v>11.59116925</v>
      </c>
      <c r="F33" s="14">
        <f t="shared" ca="1" si="5"/>
        <v>11.59116925</v>
      </c>
      <c r="G33" s="14">
        <f t="shared" ca="1" si="5"/>
        <v>11.59116925</v>
      </c>
      <c r="H33" s="14">
        <f t="shared" ca="1" si="5"/>
        <v>11.59116925</v>
      </c>
      <c r="I33" s="14">
        <f t="shared" ca="1" si="5"/>
        <v>11.59116925</v>
      </c>
      <c r="J33" s="14">
        <f t="shared" ca="1" si="5"/>
        <v>11.59116925</v>
      </c>
      <c r="K33" s="14">
        <f t="shared" ca="1" si="5"/>
        <v>11.59116925</v>
      </c>
      <c r="L33" s="14">
        <f t="shared" ca="1" si="5"/>
        <v>11.59116925</v>
      </c>
    </row>
    <row r="34" spans="1:14" x14ac:dyDescent="0.35">
      <c r="A34" t="str">
        <f>IF(A9="","","    "&amp;A9&amp;" Balance")</f>
        <v/>
      </c>
      <c r="B34" s="115"/>
      <c r="C34" s="112"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f>IF(C$26&lt;&gt;"",B21,"")</f>
        <v>11</v>
      </c>
      <c r="D37" s="14">
        <f ca="1">IF(D$26&lt;&gt;"",C129,"")</f>
        <v>9.8858844933333465</v>
      </c>
      <c r="E37" s="14">
        <f t="shared" ref="E37:G38" ca="1" si="6">IF(E$26&lt;&gt;"",D129,"")</f>
        <v>9.2421623911669659</v>
      </c>
      <c r="F37" s="14">
        <f t="shared" ca="1" si="6"/>
        <v>8.8220026852505988</v>
      </c>
      <c r="G37" s="14">
        <f t="shared" ca="1" si="6"/>
        <v>8.415399336583647</v>
      </c>
      <c r="H37" s="14">
        <f t="shared" ref="H37:H38" ca="1" si="7">IF(H$26&lt;&gt;"",G129,"")</f>
        <v>8.0217065854166947</v>
      </c>
      <c r="I37" s="14">
        <f t="shared" ref="I37:I38" ca="1" si="8">IF(I$26&lt;&gt;"",H129,"")</f>
        <v>7.6812612237148183</v>
      </c>
      <c r="J37" s="14">
        <f t="shared" ref="J37:J38" ca="1" si="9">IF(J$26&lt;&gt;"",I129,"")</f>
        <v>8.5814607605365794</v>
      </c>
      <c r="K37" s="14">
        <f t="shared" ref="K37:K38" ca="1" si="10">IF(K$26&lt;&gt;"",J129,"")</f>
        <v>9.4327977214436469</v>
      </c>
      <c r="L37" s="14">
        <f t="shared" ref="L37:L38" ca="1" si="11">IF(L$26&lt;&gt;"",K129,"")</f>
        <v>10.24666812267397</v>
      </c>
    </row>
    <row r="38" spans="1:14" x14ac:dyDescent="0.35">
      <c r="A38" t="s">
        <v>114</v>
      </c>
      <c r="C38" s="14">
        <f>IF(C$26&lt;&gt;"",C21,"")</f>
        <v>10.1</v>
      </c>
      <c r="D38" s="14">
        <f ca="1">IF(D$26&lt;&gt;"",C130,"")</f>
        <v>9.8858844933333465</v>
      </c>
      <c r="E38" s="14">
        <f t="shared" ca="1" si="6"/>
        <v>9.2421623911669659</v>
      </c>
      <c r="F38" s="14">
        <f t="shared" ca="1" si="6"/>
        <v>8.8220026852505988</v>
      </c>
      <c r="G38" s="14">
        <f t="shared" ca="1" si="6"/>
        <v>8.415399336583647</v>
      </c>
      <c r="H38" s="14">
        <f t="shared" ca="1" si="7"/>
        <v>8.0217065854166947</v>
      </c>
      <c r="I38" s="14">
        <f t="shared" ca="1" si="8"/>
        <v>7.6812612237148183</v>
      </c>
      <c r="J38" s="14">
        <f t="shared" ca="1" si="9"/>
        <v>8.5814607605365794</v>
      </c>
      <c r="K38" s="14">
        <f t="shared" ca="1" si="10"/>
        <v>9.4327977214436469</v>
      </c>
      <c r="L38" s="14">
        <f t="shared" ca="1" si="11"/>
        <v>10.24666812267397</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IF(A5="","","    "&amp;A5&amp;" Share")</f>
        <v xml:space="preserve">    Upper Basin Share</v>
      </c>
      <c r="B40" s="1"/>
      <c r="C40" s="14">
        <f t="shared" ref="C40:L45" si="12">IF(OR(C$26="",$A40=""),"",C$39*C30/C$29)</f>
        <v>0.24571184643515467</v>
      </c>
      <c r="D40" s="14">
        <f t="shared" ca="1" si="12"/>
        <v>0.23838539737502931</v>
      </c>
      <c r="E40" s="14">
        <f t="shared" ca="1" si="12"/>
        <v>0.23220325154050594</v>
      </c>
      <c r="F40" s="14">
        <f t="shared" ca="1" si="12"/>
        <v>0.22398638052283681</v>
      </c>
      <c r="G40" s="14">
        <f t="shared" ca="1" si="12"/>
        <v>0.21611072731792424</v>
      </c>
      <c r="H40" s="14">
        <f t="shared" ca="1" si="12"/>
        <v>0.20847104177550577</v>
      </c>
      <c r="I40" s="14">
        <f t="shared" ca="1" si="12"/>
        <v>0.20046003398104176</v>
      </c>
      <c r="J40" s="14">
        <f t="shared" ca="1" si="12"/>
        <v>0.28685484294989555</v>
      </c>
      <c r="K40" s="14">
        <f t="shared" ca="1" si="12"/>
        <v>0.36234835193137271</v>
      </c>
      <c r="L40" s="14">
        <f t="shared" ca="1" si="12"/>
        <v>0.43019831893105437</v>
      </c>
    </row>
    <row r="41" spans="1:14" x14ac:dyDescent="0.35">
      <c r="A41" t="str">
        <f>IF(A6="","","    "&amp;A6&amp;" Share")</f>
        <v xml:space="preserve">    Lower Basin Share</v>
      </c>
      <c r="B41" s="1"/>
      <c r="C41" s="14">
        <f t="shared" si="12"/>
        <v>0.20638492544244763</v>
      </c>
      <c r="D41" s="14">
        <f t="shared" ca="1" si="12"/>
        <v>0.15933469995544408</v>
      </c>
      <c r="E41" s="14">
        <f t="shared" ca="1" si="12"/>
        <v>0.11215533153819036</v>
      </c>
      <c r="F41" s="14">
        <f t="shared" ca="1" si="12"/>
        <v>8.3125704742465487E-2</v>
      </c>
      <c r="G41" s="14">
        <f t="shared" ca="1" si="12"/>
        <v>5.4093767718670333E-2</v>
      </c>
      <c r="H41" s="14">
        <f t="shared" ca="1" si="12"/>
        <v>2.4916279200049612E-2</v>
      </c>
      <c r="I41" s="14">
        <f t="shared" ca="1" si="12"/>
        <v>0</v>
      </c>
      <c r="J41" s="14">
        <f t="shared" ca="1" si="12"/>
        <v>0</v>
      </c>
      <c r="K41" s="14">
        <f t="shared" ca="1" si="12"/>
        <v>0</v>
      </c>
      <c r="L41" s="14">
        <f t="shared" ca="1" si="12"/>
        <v>0</v>
      </c>
    </row>
    <row r="42" spans="1:14" x14ac:dyDescent="0.35">
      <c r="A42" t="str">
        <f>IF(A7="","","    "&amp;A7&amp;" Share")</f>
        <v xml:space="preserve">    Mexico Share</v>
      </c>
      <c r="B42" s="1"/>
      <c r="C42" s="14">
        <f t="shared" si="12"/>
        <v>8.4270235222746598E-3</v>
      </c>
      <c r="D42" s="14">
        <f t="shared" ca="1" si="12"/>
        <v>8.2160300009359519E-3</v>
      </c>
      <c r="E42" s="14">
        <f t="shared" ca="1" si="12"/>
        <v>8.0446608424592572E-3</v>
      </c>
      <c r="F42" s="14">
        <f t="shared" ca="1" si="12"/>
        <v>7.767497630154243E-3</v>
      </c>
      <c r="G42" s="14">
        <f t="shared" ca="1" si="12"/>
        <v>7.5020406102980219E-3</v>
      </c>
      <c r="H42" s="14">
        <f t="shared" ca="1" si="12"/>
        <v>7.244654997289551E-3</v>
      </c>
      <c r="I42" s="14">
        <f t="shared" ca="1" si="12"/>
        <v>6.9742257087702306E-3</v>
      </c>
      <c r="J42" s="14">
        <f t="shared" ca="1" si="12"/>
        <v>6.3045685693039373E-3</v>
      </c>
      <c r="K42" s="14">
        <f t="shared" ca="1" si="12"/>
        <v>5.7441789413152002E-3</v>
      </c>
      <c r="L42" s="14">
        <f t="shared" ca="1" si="12"/>
        <v>5.2720729011694854E-3</v>
      </c>
    </row>
    <row r="43" spans="1:14" x14ac:dyDescent="0.35">
      <c r="A43" t="str">
        <f>IF(A8="","","    "&amp;A8&amp;" Share")</f>
        <v xml:space="preserve">    Shared, Reserve Share</v>
      </c>
      <c r="B43" s="1"/>
      <c r="C43" s="14">
        <f t="shared" si="12"/>
        <v>0.56137388460009618</v>
      </c>
      <c r="D43" s="14">
        <f t="shared" ca="1" si="12"/>
        <v>0.57517474366801757</v>
      </c>
      <c r="E43" s="14">
        <f t="shared" ca="1" si="12"/>
        <v>0.59258283457824434</v>
      </c>
      <c r="F43" s="14">
        <f t="shared" ca="1" si="12"/>
        <v>0.60299378110511659</v>
      </c>
      <c r="G43" s="14">
        <f t="shared" ca="1" si="12"/>
        <v>0.61434563335368053</v>
      </c>
      <c r="H43" s="14">
        <f t="shared" ca="1" si="12"/>
        <v>0.62647195662655508</v>
      </c>
      <c r="I43" s="14">
        <f t="shared" ca="1" si="12"/>
        <v>0.63754453280901513</v>
      </c>
      <c r="J43" s="14">
        <f t="shared" ca="1" si="12"/>
        <v>0.60987283547962756</v>
      </c>
      <c r="K43" s="14">
        <f t="shared" ca="1" si="12"/>
        <v>0.58652362562671212</v>
      </c>
      <c r="L43" s="14">
        <f t="shared" ca="1" si="12"/>
        <v>0.56700924816720311</v>
      </c>
    </row>
    <row r="44" spans="1:14" x14ac:dyDescent="0.35">
      <c r="A44" t="str">
        <f>IF(A9="","","    "&amp;A9&amp;" Share")</f>
        <v/>
      </c>
      <c r="B44" s="1"/>
      <c r="C44" s="14" t="str">
        <f t="shared" si="12"/>
        <v/>
      </c>
      <c r="D44" s="14" t="str">
        <f t="shared" si="12"/>
        <v/>
      </c>
      <c r="E44" s="14" t="str">
        <f t="shared" si="12"/>
        <v/>
      </c>
      <c r="F44" s="14" t="str">
        <f t="shared" si="12"/>
        <v/>
      </c>
      <c r="G44" s="14" t="str">
        <f t="shared" si="12"/>
        <v/>
      </c>
      <c r="H44" s="14" t="str">
        <f t="shared" si="12"/>
        <v/>
      </c>
      <c r="I44" s="14" t="str">
        <f t="shared" si="12"/>
        <v/>
      </c>
      <c r="J44" s="14" t="str">
        <f t="shared" si="12"/>
        <v/>
      </c>
      <c r="K44" s="14" t="str">
        <f t="shared" si="12"/>
        <v/>
      </c>
      <c r="L44" s="14" t="str">
        <f t="shared" si="12"/>
        <v/>
      </c>
    </row>
    <row r="45" spans="1:14" x14ac:dyDescent="0.35">
      <c r="A45" t="str">
        <f>IF(A10="","","    "&amp;A10&amp;" Share")</f>
        <v/>
      </c>
      <c r="B45" s="1"/>
      <c r="C45" s="14" t="str">
        <f t="shared" si="12"/>
        <v/>
      </c>
      <c r="D45" s="14" t="str">
        <f t="shared" si="12"/>
        <v/>
      </c>
      <c r="E45" s="14" t="str">
        <f t="shared" si="12"/>
        <v/>
      </c>
      <c r="F45" s="14" t="str">
        <f t="shared" si="12"/>
        <v/>
      </c>
      <c r="G45" s="14" t="str">
        <f t="shared" si="12"/>
        <v/>
      </c>
      <c r="H45" s="14" t="str">
        <f t="shared" si="12"/>
        <v/>
      </c>
      <c r="I45" s="14" t="str">
        <f t="shared" si="12"/>
        <v/>
      </c>
      <c r="J45" s="14" t="str">
        <f t="shared" si="12"/>
        <v/>
      </c>
      <c r="K45" s="14" t="str">
        <f t="shared" si="12"/>
        <v/>
      </c>
      <c r="L45" s="14" t="str">
        <f t="shared" si="12"/>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306</v>
      </c>
      <c r="B47" s="1"/>
      <c r="C47" s="51">
        <f>IF(C26="","",SUM(C26:C27)-C28)</f>
        <v>12.600000000000001</v>
      </c>
      <c r="D47" s="51">
        <f t="shared" ref="D47:L47" si="13">IF(D26="","",SUM(D26:D27)-D28)</f>
        <v>12.600000000000001</v>
      </c>
      <c r="E47" s="14">
        <f t="shared" si="13"/>
        <v>12.600000000000001</v>
      </c>
      <c r="F47" s="51">
        <f t="shared" si="13"/>
        <v>12.600000000000001</v>
      </c>
      <c r="G47" s="51">
        <f t="shared" si="13"/>
        <v>12.600000000000001</v>
      </c>
      <c r="H47" s="51">
        <f t="shared" si="13"/>
        <v>12.600000000000001</v>
      </c>
      <c r="I47" s="51">
        <f t="shared" si="13"/>
        <v>14.600000000000001</v>
      </c>
      <c r="J47" s="51">
        <f t="shared" si="13"/>
        <v>14.600000000000001</v>
      </c>
      <c r="K47" s="51">
        <f t="shared" si="13"/>
        <v>14.600000000000001</v>
      </c>
      <c r="L47" s="51">
        <f t="shared" si="13"/>
        <v>14.600000000000001</v>
      </c>
      <c r="M47" s="45"/>
      <c r="N47" s="45"/>
    </row>
    <row r="48" spans="1:14" x14ac:dyDescent="0.35">
      <c r="A48" t="str">
        <f>IF(A5="","","    To "&amp;A5)</f>
        <v xml:space="preserve">    To Upper Basin</v>
      </c>
      <c r="B48" s="163" t="s">
        <v>147</v>
      </c>
      <c r="C48" s="112">
        <f>IF(OR(C$26="",$A48=""),"",IF(C$26&gt;SUM(MIN($B49,C26-C50/2)+C50/2),C$26-SUM(MIN($B49,C26-C50/2)+C50/2),0))</f>
        <v>4.1763333333333339</v>
      </c>
      <c r="D48" s="112">
        <f t="shared" ref="D48:L48" ca="1" si="14">IF(OR(D$26="",$A48=""),"",IF(D$26&gt;SUM(MIN($B49,D26-D50/2)+D50/2),D$26-SUM(MIN($B49,D26-D50/2)+D50/2),0))</f>
        <v>4.1763333333333339</v>
      </c>
      <c r="E48" s="112">
        <f t="shared" ca="1" si="14"/>
        <v>4.1958333333333346</v>
      </c>
      <c r="F48" s="112">
        <f t="shared" ca="1" si="14"/>
        <v>4.1958333333333346</v>
      </c>
      <c r="G48" s="112">
        <f t="shared" ca="1" si="14"/>
        <v>4.1958333333333346</v>
      </c>
      <c r="H48" s="112">
        <f t="shared" ca="1" si="14"/>
        <v>4.1958333333333346</v>
      </c>
      <c r="I48" s="112">
        <f t="shared" ca="1" si="14"/>
        <v>6.2078333333333333</v>
      </c>
      <c r="J48" s="112">
        <f t="shared" ca="1" si="14"/>
        <v>6.1958333333333346</v>
      </c>
      <c r="K48" s="112">
        <f t="shared" ca="1" si="14"/>
        <v>6.1958333333333346</v>
      </c>
      <c r="L48" s="112">
        <f t="shared" ca="1" si="14"/>
        <v>6.1763333333333339</v>
      </c>
      <c r="M48" s="29"/>
      <c r="N48" s="29"/>
    </row>
    <row r="49" spans="1:14" x14ac:dyDescent="0.35">
      <c r="A49" t="str">
        <f>IF(A6="","","    To "&amp;A6)</f>
        <v xml:space="preserve">    To Lower Basin</v>
      </c>
      <c r="B49" s="164">
        <f>7.5</f>
        <v>7.5</v>
      </c>
      <c r="C49" s="112">
        <f>IF(OR(C$26="",$A49=""),"",C27-C28-C51-C50/2+MIN($B49,C26-C50/2))</f>
        <v>6.4149594487332369</v>
      </c>
      <c r="D49" s="112">
        <f t="shared" ref="D49:L49" ca="1" si="15">IF(OR(D$26="",$A49=""),"",D27-D28-D51-D50/2+MIN($B49,D26-D50/2))</f>
        <v>6.4011585896653163</v>
      </c>
      <c r="E49" s="112">
        <f t="shared" ca="1" si="15"/>
        <v>6.4032504987550887</v>
      </c>
      <c r="F49" s="112">
        <f t="shared" ca="1" si="15"/>
        <v>6.3928395522282173</v>
      </c>
      <c r="G49" s="112">
        <f t="shared" ca="1" si="15"/>
        <v>6.3814876999796528</v>
      </c>
      <c r="H49" s="112">
        <f t="shared" ca="1" si="15"/>
        <v>6.3693613767067783</v>
      </c>
      <c r="I49" s="112">
        <f t="shared" ca="1" si="15"/>
        <v>6.3702888005243183</v>
      </c>
      <c r="J49" s="112">
        <f t="shared" ca="1" si="15"/>
        <v>6.3859604978537057</v>
      </c>
      <c r="K49" s="112">
        <f t="shared" ca="1" si="15"/>
        <v>6.4093097077066208</v>
      </c>
      <c r="L49" s="112">
        <f t="shared" ca="1" si="15"/>
        <v>6.4093240851661299</v>
      </c>
      <c r="M49" s="29"/>
      <c r="N49" s="29"/>
    </row>
    <row r="50" spans="1:14" x14ac:dyDescent="0.35">
      <c r="A50" t="str">
        <f>IF(A7="","","    To "&amp;A7)</f>
        <v xml:space="preserve">    To Mexico</v>
      </c>
      <c r="B50" s="164" t="s">
        <v>185</v>
      </c>
      <c r="C50" s="112">
        <f>IF(OR(C$26="",$A50=""),"",IF(C$47&gt;SUM(C51:C52,C46),C46,C$47-SUM(C51:C52)))</f>
        <v>1.4473333333333334</v>
      </c>
      <c r="D50" s="112">
        <f t="shared" ref="D50:L50" ca="1" si="16">IF(OR(D$26="",$A50=""),"",IF(D$47&gt;SUM(D51:D52,D46),D46,D$47-SUM(D51:D52)))</f>
        <v>1.4473333333333334</v>
      </c>
      <c r="E50" s="112">
        <f t="shared" ca="1" si="16"/>
        <v>1.4083333333333332</v>
      </c>
      <c r="F50" s="112">
        <f t="shared" ca="1" si="16"/>
        <v>1.4083333333333332</v>
      </c>
      <c r="G50" s="112">
        <f t="shared" ca="1" si="16"/>
        <v>1.4083333333333332</v>
      </c>
      <c r="H50" s="112">
        <f t="shared" ca="1" si="16"/>
        <v>1.4083333333333332</v>
      </c>
      <c r="I50" s="112">
        <f t="shared" ca="1" si="16"/>
        <v>1.3843333333333332</v>
      </c>
      <c r="J50" s="112">
        <f t="shared" ca="1" si="16"/>
        <v>1.4083333333333332</v>
      </c>
      <c r="K50" s="112">
        <f t="shared" ca="1" si="16"/>
        <v>1.4083333333333332</v>
      </c>
      <c r="L50" s="112">
        <f t="shared" ca="1" si="16"/>
        <v>1.4473333333333334</v>
      </c>
      <c r="M50" s="29"/>
      <c r="N50" s="29"/>
    </row>
    <row r="51" spans="1:14" x14ac:dyDescent="0.35">
      <c r="A51" t="str">
        <f>IF(A8="","","    To "&amp;A8)</f>
        <v xml:space="preserve">    To Shared, Reserve</v>
      </c>
      <c r="B51" s="164" t="s">
        <v>184</v>
      </c>
      <c r="C51" s="112">
        <f>IF(OR(C$26="",$A51=""),"",IF(C$47&gt;C43,C43,C47))</f>
        <v>0.56137388460009618</v>
      </c>
      <c r="D51" s="112">
        <f t="shared" ref="D51:L51" ca="1" si="17">IF(OR(D$26="",$A51=""),"",IF(D$47&gt;D43,D43,D47))</f>
        <v>0.57517474366801757</v>
      </c>
      <c r="E51" s="112">
        <f t="shared" ca="1" si="17"/>
        <v>0.59258283457824434</v>
      </c>
      <c r="F51" s="112">
        <f t="shared" ca="1" si="17"/>
        <v>0.60299378110511659</v>
      </c>
      <c r="G51" s="112">
        <f t="shared" ca="1" si="17"/>
        <v>0.61434563335368053</v>
      </c>
      <c r="H51" s="112">
        <f t="shared" ca="1" si="17"/>
        <v>0.62647195662655508</v>
      </c>
      <c r="I51" s="112">
        <f t="shared" ca="1" si="17"/>
        <v>0.63754453280901513</v>
      </c>
      <c r="J51" s="112">
        <f t="shared" ca="1" si="17"/>
        <v>0.60987283547962756</v>
      </c>
      <c r="K51" s="112">
        <f t="shared" ca="1" si="17"/>
        <v>0.58652362562671212</v>
      </c>
      <c r="L51" s="112">
        <f t="shared" ca="1" si="17"/>
        <v>0.56700924816720311</v>
      </c>
      <c r="M51" s="29"/>
      <c r="N51" s="29"/>
    </row>
    <row r="52" spans="1:14" x14ac:dyDescent="0.35">
      <c r="A52" t="str">
        <f>IF(A9="","","    To "&amp;A9)</f>
        <v/>
      </c>
      <c r="B52" s="164"/>
      <c r="C52" s="112"/>
      <c r="D52" s="112"/>
      <c r="E52" s="112"/>
      <c r="F52" s="112"/>
      <c r="G52" s="112"/>
      <c r="H52" s="112"/>
      <c r="I52" s="112"/>
      <c r="J52" s="112"/>
      <c r="K52" s="112"/>
      <c r="L52" s="112"/>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c r="J57" s="159"/>
      <c r="K57" s="159"/>
      <c r="L57" s="159"/>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c r="J58" s="160"/>
      <c r="K58" s="160"/>
      <c r="L58" s="160"/>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8.5056232546493096</v>
      </c>
      <c r="F60" s="14">
        <f t="shared" ca="1" si="19"/>
        <v>8.2774702074598085</v>
      </c>
      <c r="G60" s="14">
        <f t="shared" ca="1" si="19"/>
        <v>8.0571928134752202</v>
      </c>
      <c r="H60" s="14">
        <f t="shared" ca="1" si="19"/>
        <v>7.8445551050330495</v>
      </c>
      <c r="I60" s="14">
        <f t="shared" ca="1" si="19"/>
        <v>9.6519284043853411</v>
      </c>
      <c r="J60" s="14">
        <f t="shared" ca="1" si="19"/>
        <v>11.36090689476878</v>
      </c>
      <c r="K60" s="14">
        <f t="shared" ca="1" si="19"/>
        <v>12.994391876170743</v>
      </c>
      <c r="L60" s="14">
        <f t="shared" ca="1" si="19"/>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f>IF(C60&gt;4.2,4.2,MAX(C60,0))</f>
        <v>4.2</v>
      </c>
      <c r="D61" s="161">
        <f t="shared" ref="D61:L61" ca="1" si="20">IF(D60&gt;4.2,4.2,MAX(D60,0))</f>
        <v>4.2</v>
      </c>
      <c r="E61" s="161">
        <f t="shared" ca="1" si="20"/>
        <v>4.2</v>
      </c>
      <c r="F61" s="161">
        <f t="shared" ca="1" si="20"/>
        <v>4.2</v>
      </c>
      <c r="G61" s="161">
        <f t="shared" ca="1" si="20"/>
        <v>4.2</v>
      </c>
      <c r="H61" s="161">
        <f t="shared" ca="1" si="20"/>
        <v>4.2</v>
      </c>
      <c r="I61" s="161">
        <f t="shared" ca="1" si="20"/>
        <v>4.2</v>
      </c>
      <c r="J61" s="161">
        <f t="shared" ca="1" si="20"/>
        <v>4.2</v>
      </c>
      <c r="K61" s="161">
        <f t="shared" ca="1" si="20"/>
        <v>4.2</v>
      </c>
      <c r="L61" s="161">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4.3056232546493094</v>
      </c>
      <c r="F62" s="66">
        <f t="shared" ca="1" si="21"/>
        <v>4.0774702074598084</v>
      </c>
      <c r="G62" s="66">
        <f t="shared" ca="1" si="21"/>
        <v>3.85719281347522</v>
      </c>
      <c r="H62" s="66">
        <f t="shared" ca="1" si="21"/>
        <v>3.6445551050330494</v>
      </c>
      <c r="I62" s="66">
        <f t="shared" ca="1" si="21"/>
        <v>5.4519284043853409</v>
      </c>
      <c r="J62" s="66">
        <f t="shared" ca="1" si="21"/>
        <v>7.1609068947687797</v>
      </c>
      <c r="K62" s="66">
        <f t="shared" ca="1" si="21"/>
        <v>8.7943918761707423</v>
      </c>
      <c r="L62" s="66">
        <f t="shared" ca="1" si="21"/>
        <v>10.34052689057302</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c r="J65" s="159"/>
      <c r="K65" s="159"/>
      <c r="L65" s="159"/>
      <c r="M65" s="67">
        <f>SUM(C65:L65)</f>
        <v>0</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60"/>
      <c r="J66" s="160"/>
      <c r="K66" s="160"/>
      <c r="L66" s="160"/>
      <c r="M66" s="65">
        <f>SUM(C66:L66)</f>
        <v>0</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10.469981523290789</v>
      </c>
      <c r="D68" s="14">
        <f t="shared" ca="1" si="24"/>
        <v>9.4528054130006609</v>
      </c>
      <c r="E68" s="14">
        <f t="shared" ca="1" si="24"/>
        <v>8.484900580217559</v>
      </c>
      <c r="F68" s="14">
        <f t="shared" ca="1" si="24"/>
        <v>7.9076144277033107</v>
      </c>
      <c r="G68" s="14">
        <f t="shared" ca="1" si="24"/>
        <v>7.3480083599642931</v>
      </c>
      <c r="H68" s="14">
        <f t="shared" ca="1" si="24"/>
        <v>6.805453457471021</v>
      </c>
      <c r="I68" s="14">
        <f t="shared" ca="1" si="24"/>
        <v>6.3702888005243183</v>
      </c>
      <c r="J68" s="14">
        <f t="shared" ca="1" si="24"/>
        <v>6.3859604978537057</v>
      </c>
      <c r="K68" s="14">
        <f t="shared" ca="1" si="24"/>
        <v>6.4093097077066208</v>
      </c>
      <c r="L68" s="14">
        <f t="shared" ca="1" si="24"/>
        <v>6.4093240851661299</v>
      </c>
      <c r="N68" t="str">
        <f t="shared" si="22"/>
        <v>Available water = Account Balance + Available Inflow - Evaporation + Sales - Purchases</v>
      </c>
    </row>
    <row r="69" spans="1:14" x14ac:dyDescent="0.35">
      <c r="A69" s="1" t="str">
        <f>IF(A68="","","   Account Withdraw [maf]")</f>
        <v xml:space="preserve">   Account Withdraw [maf]</v>
      </c>
      <c r="C69" s="161">
        <f>IF(C27&lt;&gt;"",MIN(7.5-VLOOKUP(C38,LowerBasinCuts!$C$5:$P$13,14),C68),"")</f>
        <v>7.2590000000000003</v>
      </c>
      <c r="D69" s="161">
        <f ca="1">IF(D27&lt;&gt;"",MIN(7.5-VLOOKUP(D38,LowerBasinCuts!$C$5:$P$13,14),D68),"")</f>
        <v>7.2590000000000003</v>
      </c>
      <c r="E69" s="161">
        <f ca="1">IF(E27&lt;&gt;"",MIN(7.5-VLOOKUP(E38,LowerBasinCuts!$C$5:$P$13,14),E68),"")</f>
        <v>6.8870000000000005</v>
      </c>
      <c r="F69" s="161">
        <f ca="1">IF(F27&lt;&gt;"",MIN(7.5-VLOOKUP(F38,LowerBasinCuts!$C$5:$P$13,14),F68),"")</f>
        <v>6.8870000000000005</v>
      </c>
      <c r="G69" s="161">
        <f ca="1">IF(G27&lt;&gt;"",MIN(7.5-VLOOKUP(G38,LowerBasinCuts!$C$5:$P$13,14),G68),"")</f>
        <v>6.8870000000000005</v>
      </c>
      <c r="H69" s="161">
        <f ca="1">IF(H27&lt;&gt;"",MIN(7.5-VLOOKUP(H38,LowerBasinCuts!$C$5:$P$13,14),H68),"")</f>
        <v>6.805453457471021</v>
      </c>
      <c r="I69" s="161">
        <f ca="1">IF(I27&lt;&gt;"",MIN(7.5-VLOOKUP(I38,LowerBasinCuts!$C$5:$P$13,14),I68),"")</f>
        <v>6.3702888005243183</v>
      </c>
      <c r="J69" s="161">
        <f ca="1">IF(J27&lt;&gt;"",MIN(7.5-VLOOKUP(J38,LowerBasinCuts!$C$5:$P$13,14),J68),"")</f>
        <v>6.3859604978537057</v>
      </c>
      <c r="K69" s="161">
        <f ca="1">IF(K27&lt;&gt;"",MIN(7.5-VLOOKUP(K38,LowerBasinCuts!$C$5:$P$13,14),K68),"")</f>
        <v>6.4093097077066208</v>
      </c>
      <c r="L69" s="161">
        <f ca="1">IF(L27&lt;&gt;"",MIN(7.5-VLOOKUP(L38,LowerBasinCuts!$C$5:$P$13,14),L68),"")</f>
        <v>6.4093240851661299</v>
      </c>
      <c r="N69" t="str">
        <f t="shared" si="22"/>
        <v>Must be less than Available water</v>
      </c>
    </row>
    <row r="70" spans="1:14" x14ac:dyDescent="0.35">
      <c r="A70" s="32" t="str">
        <f>IF(A69="","","   End of Year Balance [maf]")</f>
        <v xml:space="preserve">   End of Year Balance [maf]</v>
      </c>
      <c r="C70" s="66">
        <f>IF(OR(C$26="",$A70=""),"",C68-C69)</f>
        <v>3.2109815232907888</v>
      </c>
      <c r="D70" s="66">
        <f t="shared" ref="D70:L70" ca="1" si="25">IF(OR(D$26="",$A70=""),"",D68-D69)</f>
        <v>2.1938054130006606</v>
      </c>
      <c r="E70" s="66">
        <f t="shared" ca="1" si="25"/>
        <v>1.5979005802175585</v>
      </c>
      <c r="F70" s="66">
        <f t="shared" ca="1" si="25"/>
        <v>1.0206144277033102</v>
      </c>
      <c r="G70" s="66">
        <f t="shared" ca="1" si="25"/>
        <v>0.46100835996429268</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c r="F73" s="159"/>
      <c r="G73" s="159"/>
      <c r="H73" s="159"/>
      <c r="I73" s="159"/>
      <c r="J73" s="159"/>
      <c r="K73" s="159"/>
      <c r="L73" s="159"/>
      <c r="M73" s="67">
        <f>SUM(C73:L73)</f>
        <v>0</v>
      </c>
      <c r="N73" t="str">
        <f>IF(A73="","",N65)</f>
        <v>Add if multiple transactions, e.g.: 0.5 + 0.25</v>
      </c>
    </row>
    <row r="74" spans="1:14" x14ac:dyDescent="0.35">
      <c r="A74" s="32" t="str">
        <f>IF(A73="","","   Cash Intake(+) and Payments(-) [$ Mill]")</f>
        <v xml:space="preserve">   Cash Intake(+) and Payments(-) [$ Mill]</v>
      </c>
      <c r="C74" s="160"/>
      <c r="D74" s="160"/>
      <c r="E74" s="160"/>
      <c r="F74" s="160"/>
      <c r="G74" s="160"/>
      <c r="H74" s="160"/>
      <c r="I74" s="160"/>
      <c r="J74" s="160"/>
      <c r="K74" s="160"/>
      <c r="L74" s="160"/>
      <c r="M74" s="65">
        <f>SUM(C74:L74)</f>
        <v>0</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1.5576456189676631</v>
      </c>
      <c r="F76" s="14">
        <f ca="1">IF(OR(F$26="",$A76=""),"",F32+F50-F42-F73)</f>
        <v>1.5498781213375088</v>
      </c>
      <c r="G76" s="14">
        <f t="shared" ca="1" si="28"/>
        <v>1.5423760807272107</v>
      </c>
      <c r="H76" s="14">
        <f t="shared" ca="1" si="28"/>
        <v>1.5351314257299211</v>
      </c>
      <c r="I76" s="14">
        <f t="shared" ca="1" si="28"/>
        <v>1.5041572000211509</v>
      </c>
      <c r="J76" s="14">
        <f t="shared" ca="1" si="28"/>
        <v>1.521852631451847</v>
      </c>
      <c r="K76" s="14">
        <f t="shared" ca="1" si="28"/>
        <v>1.5161084525105317</v>
      </c>
      <c r="L76" s="14">
        <f t="shared" ca="1" si="28"/>
        <v>1.5498363796093624</v>
      </c>
      <c r="N76" t="str">
        <f t="shared" si="26"/>
        <v>Available water = Account Balance + Available Inflow - Evaporation + Sales - Purchases</v>
      </c>
    </row>
    <row r="77" spans="1:14" x14ac:dyDescent="0.35">
      <c r="A77" s="1" t="str">
        <f>IF(A76="","","   Account Withdraw [maf]")</f>
        <v xml:space="preserve">   Account Withdraw [maf]</v>
      </c>
      <c r="C77" s="161">
        <f>MIN(C46,C76)</f>
        <v>1.4473333333333334</v>
      </c>
      <c r="D77" s="161">
        <f t="shared" ref="D77:L77" ca="1" si="29">MIN(D46,D76)</f>
        <v>1.4473333333333334</v>
      </c>
      <c r="E77" s="161">
        <f t="shared" ca="1" si="29"/>
        <v>1.4083333333333332</v>
      </c>
      <c r="F77" s="161">
        <f t="shared" ca="1" si="29"/>
        <v>1.4083333333333332</v>
      </c>
      <c r="G77" s="161">
        <f t="shared" ca="1" si="29"/>
        <v>1.4083333333333332</v>
      </c>
      <c r="H77" s="161">
        <f t="shared" ca="1" si="29"/>
        <v>1.4083333333333332</v>
      </c>
      <c r="I77" s="161">
        <f t="shared" ca="1" si="29"/>
        <v>1.3843333333333332</v>
      </c>
      <c r="J77" s="161">
        <f t="shared" ca="1" si="29"/>
        <v>1.4083333333333332</v>
      </c>
      <c r="K77" s="161">
        <f t="shared" ca="1" si="29"/>
        <v>1.4083333333333332</v>
      </c>
      <c r="L77" s="161">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0.14931228563432986</v>
      </c>
      <c r="F78" s="66">
        <f t="shared" ca="1" si="30"/>
        <v>0.14154478800417558</v>
      </c>
      <c r="G78" s="66">
        <f t="shared" ca="1" si="30"/>
        <v>0.13404274739387745</v>
      </c>
      <c r="H78" s="66">
        <f t="shared" ca="1" si="30"/>
        <v>0.1267980923965879</v>
      </c>
      <c r="I78" s="66">
        <f t="shared" ca="1" si="30"/>
        <v>0.11982386668781775</v>
      </c>
      <c r="J78" s="66">
        <f t="shared" ca="1" si="30"/>
        <v>0.1135192981185138</v>
      </c>
      <c r="K78" s="66">
        <f t="shared" ca="1" si="30"/>
        <v>0.10777511917719851</v>
      </c>
      <c r="L78" s="66">
        <f t="shared" ca="1" si="30"/>
        <v>0.10250304627602902</v>
      </c>
      <c r="N78" t="str">
        <f t="shared" si="26"/>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35">IF(A90="","",N82)</f>
        <v/>
      </c>
    </row>
    <row r="91" spans="1:14" x14ac:dyDescent="0.35">
      <c r="A91" s="32" t="str">
        <f>IF(A90="","","   Volume all players (should be zero)")</f>
        <v/>
      </c>
      <c r="C91" s="67" t="str">
        <f t="shared" ref="C91:M91" si="36">IF(OR(C$26="",$A91=""),"",C$112)</f>
        <v/>
      </c>
      <c r="D91" s="67" t="str">
        <f t="shared" si="36"/>
        <v/>
      </c>
      <c r="E91" s="67" t="str">
        <f t="shared" si="36"/>
        <v/>
      </c>
      <c r="F91" s="67" t="str">
        <f t="shared" si="36"/>
        <v/>
      </c>
      <c r="G91" s="67" t="str">
        <f t="shared" si="36"/>
        <v/>
      </c>
      <c r="H91" s="67" t="str">
        <f t="shared" si="36"/>
        <v/>
      </c>
      <c r="I91" s="67" t="str">
        <f t="shared" si="36"/>
        <v/>
      </c>
      <c r="J91" s="67" t="str">
        <f t="shared" si="36"/>
        <v/>
      </c>
      <c r="K91" s="67" t="str">
        <f t="shared" si="36"/>
        <v/>
      </c>
      <c r="L91" s="67" t="str">
        <f t="shared" si="36"/>
        <v/>
      </c>
      <c r="M91" t="str">
        <f t="shared" si="36"/>
        <v/>
      </c>
      <c r="N91" t="str">
        <f t="shared" si="35"/>
        <v/>
      </c>
    </row>
    <row r="92" spans="1:14" x14ac:dyDescent="0.35">
      <c r="A92" s="1" t="str">
        <f>IF(A90="","","   Available Water [maf]")</f>
        <v/>
      </c>
      <c r="C92" s="14" t="str">
        <f t="shared" ref="C92:L92" si="37">IF(OR(C$26="",$A92=""),"",C34+C52-C44-C89)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
      </c>
    </row>
    <row r="93" spans="1:14" x14ac:dyDescent="0.35">
      <c r="A93" s="1" t="str">
        <f>IF(A92="","","   Account Withdraw [maf]")</f>
        <v/>
      </c>
      <c r="C93" s="161"/>
      <c r="D93" s="161"/>
      <c r="E93" s="161"/>
      <c r="F93" s="161"/>
      <c r="G93" s="161"/>
      <c r="H93" s="161"/>
      <c r="I93" s="161"/>
      <c r="J93" s="161"/>
      <c r="K93" s="161"/>
      <c r="L93" s="161"/>
      <c r="N93" t="str">
        <f t="shared" si="35"/>
        <v/>
      </c>
    </row>
    <row r="94" spans="1:14" x14ac:dyDescent="0.35">
      <c r="A94" s="32" t="str">
        <f>IF(A93="","","   End of Year Balance [maf]")</f>
        <v/>
      </c>
      <c r="C94" s="66" t="str">
        <f>IF(OR(C$26="",$A94=""),"",C92-C93)</f>
        <v/>
      </c>
      <c r="D94" s="66" t="str">
        <f t="shared" ref="D94:L94" si="38">IF(OR(D$26="",$A94=""),"",D92-D93)</f>
        <v/>
      </c>
      <c r="E94" s="66" t="str">
        <f t="shared" si="38"/>
        <v/>
      </c>
      <c r="F94" s="66" t="str">
        <f t="shared" si="38"/>
        <v/>
      </c>
      <c r="G94" s="66" t="str">
        <f t="shared" si="38"/>
        <v/>
      </c>
      <c r="H94" s="66" t="str">
        <f t="shared" si="38"/>
        <v/>
      </c>
      <c r="I94" s="66" t="str">
        <f t="shared" si="38"/>
        <v/>
      </c>
      <c r="J94" s="66" t="str">
        <f t="shared" si="38"/>
        <v/>
      </c>
      <c r="K94" s="66" t="str">
        <f t="shared" si="38"/>
        <v/>
      </c>
      <c r="L94" s="66" t="str">
        <f t="shared" si="38"/>
        <v/>
      </c>
      <c r="N94" t="str">
        <f t="shared" si="35"/>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61"/>
      <c r="D101" s="161"/>
      <c r="E101" s="161"/>
      <c r="F101" s="161"/>
      <c r="G101" s="161"/>
      <c r="H101" s="161"/>
      <c r="I101" s="161"/>
      <c r="J101" s="161"/>
      <c r="K101" s="161"/>
      <c r="L101" s="161"/>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f t="shared" ref="C106:L111" ca="1" si="43">IF(OR(C$26="",$A106=""),"",OFFSET(C$57,8*(ROW(B106)-ROW(B$106)),0))</f>
        <v>0</v>
      </c>
      <c r="D106" s="67">
        <f t="shared" ca="1" si="43"/>
        <v>0</v>
      </c>
      <c r="E106" s="67">
        <f t="shared" ca="1" si="43"/>
        <v>0</v>
      </c>
      <c r="F106" s="67">
        <f t="shared" ca="1" si="43"/>
        <v>0</v>
      </c>
      <c r="G106" s="67">
        <f t="shared" ca="1" si="43"/>
        <v>0</v>
      </c>
      <c r="H106" s="67">
        <f t="shared" ca="1" si="43"/>
        <v>0</v>
      </c>
      <c r="I106" s="67">
        <f t="shared" ca="1" si="43"/>
        <v>0</v>
      </c>
      <c r="J106" s="67">
        <f t="shared" ca="1" si="43"/>
        <v>0</v>
      </c>
      <c r="K106" s="67">
        <f t="shared" ca="1" si="43"/>
        <v>0</v>
      </c>
      <c r="L106" s="67">
        <f t="shared" ca="1" si="43"/>
        <v>0</v>
      </c>
      <c r="M106" s="67">
        <f ca="1">IF(OR($A106=""),"",SUM(C106:L106))</f>
        <v>0</v>
      </c>
      <c r="N106" s="65">
        <f>IF(OR($A106=""),"",M58)</f>
        <v>0</v>
      </c>
    </row>
    <row r="107" spans="1:14" x14ac:dyDescent="0.35">
      <c r="A107" t="str">
        <f>IF(A6="","","    "&amp;A6)</f>
        <v xml:space="preserve">    Lower Basin</v>
      </c>
      <c r="B107" s="1"/>
      <c r="C107" s="67">
        <f t="shared" ca="1" si="43"/>
        <v>0</v>
      </c>
      <c r="D107" s="67">
        <f t="shared" ca="1" si="43"/>
        <v>0</v>
      </c>
      <c r="E107" s="67">
        <f t="shared" ca="1" si="43"/>
        <v>0</v>
      </c>
      <c r="F107" s="67">
        <f t="shared" ca="1" si="43"/>
        <v>0</v>
      </c>
      <c r="G107" s="67">
        <f t="shared" ca="1" si="43"/>
        <v>0</v>
      </c>
      <c r="H107" s="67">
        <f t="shared" ca="1" si="43"/>
        <v>0</v>
      </c>
      <c r="I107" s="67">
        <f t="shared" ca="1" si="43"/>
        <v>0</v>
      </c>
      <c r="J107" s="67">
        <f t="shared" ca="1" si="43"/>
        <v>0</v>
      </c>
      <c r="K107" s="67">
        <f t="shared" ca="1" si="43"/>
        <v>0</v>
      </c>
      <c r="L107" s="67">
        <f t="shared" ca="1" si="43"/>
        <v>0</v>
      </c>
      <c r="M107" s="67">
        <f t="shared" ref="M107:M111" ca="1" si="44">IF(OR($A107=""),"",SUM(C107:L107))</f>
        <v>0</v>
      </c>
      <c r="N107" s="65">
        <f>IF(OR($A107=""),"",M66)</f>
        <v>0</v>
      </c>
    </row>
    <row r="108" spans="1:14" x14ac:dyDescent="0.35">
      <c r="A108" t="str">
        <f>IF(A7="","","    "&amp;A7)</f>
        <v xml:space="preserve">    Mexico</v>
      </c>
      <c r="B108" s="1"/>
      <c r="C108" s="67">
        <f t="shared" ca="1" si="43"/>
        <v>0</v>
      </c>
      <c r="D108" s="67">
        <f t="shared" ca="1" si="43"/>
        <v>0</v>
      </c>
      <c r="E108" s="67">
        <f t="shared" ca="1" si="43"/>
        <v>0</v>
      </c>
      <c r="F108" s="67">
        <f t="shared" ca="1" si="43"/>
        <v>0</v>
      </c>
      <c r="G108" s="67">
        <f t="shared" ca="1" si="43"/>
        <v>0</v>
      </c>
      <c r="H108" s="67">
        <f t="shared" ca="1" si="43"/>
        <v>0</v>
      </c>
      <c r="I108" s="67">
        <f t="shared" ca="1" si="43"/>
        <v>0</v>
      </c>
      <c r="J108" s="67">
        <f t="shared" ca="1" si="43"/>
        <v>0</v>
      </c>
      <c r="K108" s="67">
        <f t="shared" ca="1" si="43"/>
        <v>0</v>
      </c>
      <c r="L108" s="67">
        <f t="shared" ca="1" si="43"/>
        <v>0</v>
      </c>
      <c r="M108" s="67">
        <f t="shared" ca="1" si="44"/>
        <v>0</v>
      </c>
      <c r="N108" s="65">
        <f>IF(OR($A108=""),"",M74)</f>
        <v>0</v>
      </c>
    </row>
    <row r="109" spans="1:14" x14ac:dyDescent="0.35">
      <c r="A109" t="str">
        <f>IF(A8="","","    "&amp;A8)</f>
        <v xml:space="preserve">    Shared, Reserve</v>
      </c>
      <c r="B109" s="1"/>
      <c r="C109" s="67">
        <f t="shared" ca="1" si="43"/>
        <v>0</v>
      </c>
      <c r="D109" s="67">
        <f t="shared" ca="1" si="43"/>
        <v>0</v>
      </c>
      <c r="E109" s="67">
        <f t="shared" ca="1" si="43"/>
        <v>0</v>
      </c>
      <c r="F109" s="67">
        <f t="shared" ca="1" si="43"/>
        <v>0</v>
      </c>
      <c r="G109" s="67">
        <f t="shared" ca="1" si="43"/>
        <v>0</v>
      </c>
      <c r="H109" s="67">
        <f t="shared" ca="1" si="43"/>
        <v>0</v>
      </c>
      <c r="I109" s="67">
        <f t="shared" ca="1" si="43"/>
        <v>0</v>
      </c>
      <c r="J109" s="67">
        <f t="shared" ca="1" si="43"/>
        <v>0</v>
      </c>
      <c r="K109" s="67">
        <f t="shared" ca="1" si="43"/>
        <v>0</v>
      </c>
      <c r="L109" s="67">
        <f t="shared" ca="1" si="43"/>
        <v>0</v>
      </c>
      <c r="M109" s="67">
        <f t="shared" ca="1" si="44"/>
        <v>0</v>
      </c>
      <c r="N109" s="65">
        <f>IF(OR($A109=""),"",M82)</f>
        <v>0</v>
      </c>
    </row>
    <row r="110" spans="1:14" x14ac:dyDescent="0.35">
      <c r="A110" t="str">
        <f>IF(A9="","","    "&amp;A9)</f>
        <v/>
      </c>
      <c r="B110" s="1"/>
      <c r="C110" s="67" t="str">
        <f t="shared" ca="1" si="43"/>
        <v/>
      </c>
      <c r="D110" s="67" t="str">
        <f t="shared" ca="1" si="43"/>
        <v/>
      </c>
      <c r="E110" s="67" t="str">
        <f t="shared" ca="1" si="43"/>
        <v/>
      </c>
      <c r="F110" s="67" t="str">
        <f t="shared" ca="1" si="43"/>
        <v/>
      </c>
      <c r="G110" s="67" t="str">
        <f t="shared" ca="1" si="43"/>
        <v/>
      </c>
      <c r="H110" s="67" t="str">
        <f t="shared" ca="1" si="43"/>
        <v/>
      </c>
      <c r="I110" s="67" t="str">
        <f t="shared" ca="1" si="43"/>
        <v/>
      </c>
      <c r="J110" s="67" t="str">
        <f t="shared" ca="1" si="43"/>
        <v/>
      </c>
      <c r="K110" s="67" t="str">
        <f t="shared" ca="1" si="43"/>
        <v/>
      </c>
      <c r="L110" s="67" t="str">
        <f t="shared" ca="1" si="43"/>
        <v/>
      </c>
      <c r="M110" s="67" t="str">
        <f t="shared" si="44"/>
        <v/>
      </c>
      <c r="N110" s="65" t="str">
        <f>IF(OR($A110=""),"",M90)</f>
        <v/>
      </c>
    </row>
    <row r="111" spans="1:14" x14ac:dyDescent="0.35">
      <c r="A111" t="str">
        <f>IF(A10="","","    "&amp;A10)</f>
        <v/>
      </c>
      <c r="B111" s="1"/>
      <c r="C111" s="67" t="str">
        <f t="shared" ca="1" si="43"/>
        <v/>
      </c>
      <c r="D111" s="67" t="str">
        <f t="shared" ca="1" si="43"/>
        <v/>
      </c>
      <c r="E111" s="67" t="str">
        <f t="shared" ca="1" si="43"/>
        <v/>
      </c>
      <c r="F111" s="67" t="str">
        <f t="shared" ca="1" si="43"/>
        <v/>
      </c>
      <c r="G111" s="67" t="str">
        <f t="shared" ca="1" si="43"/>
        <v/>
      </c>
      <c r="H111" s="67" t="str">
        <f t="shared" ca="1" si="43"/>
        <v/>
      </c>
      <c r="I111" s="67" t="str">
        <f t="shared" ca="1" si="43"/>
        <v/>
      </c>
      <c r="J111" s="67" t="str">
        <f t="shared" ca="1" si="43"/>
        <v/>
      </c>
      <c r="K111" s="67" t="str">
        <f t="shared" ca="1" si="43"/>
        <v/>
      </c>
      <c r="L111" s="67" t="str">
        <f t="shared" ca="1" si="43"/>
        <v/>
      </c>
      <c r="M111" s="67" t="str">
        <f t="shared" si="44"/>
        <v/>
      </c>
      <c r="N111" s="65" t="str">
        <f>IF(OR($A111=""),"",M98)</f>
        <v/>
      </c>
    </row>
    <row r="112" spans="1:14" x14ac:dyDescent="0.35">
      <c r="A112" t="s">
        <v>146</v>
      </c>
      <c r="B112" s="1"/>
      <c r="C112" s="51">
        <f ca="1">IF(C$26&lt;&gt;"",SUM(C106:C111),"")</f>
        <v>0</v>
      </c>
      <c r="D112" s="51">
        <f t="shared" ref="D112:L112" ca="1" si="45">IF(D$26&lt;&gt;"",SUM(D106:D111),"")</f>
        <v>0</v>
      </c>
      <c r="E112" s="119">
        <f t="shared" ca="1" si="45"/>
        <v>0</v>
      </c>
      <c r="F112" s="51">
        <f t="shared" ca="1" si="45"/>
        <v>0</v>
      </c>
      <c r="G112" s="51">
        <f t="shared" ca="1" si="45"/>
        <v>0</v>
      </c>
      <c r="H112" s="51">
        <f t="shared" ca="1" si="45"/>
        <v>0</v>
      </c>
      <c r="I112" s="51">
        <f t="shared" ca="1" si="45"/>
        <v>0</v>
      </c>
      <c r="J112" s="51">
        <f t="shared" ca="1" si="45"/>
        <v>0</v>
      </c>
      <c r="K112" s="51">
        <f t="shared" ca="1" si="45"/>
        <v>0</v>
      </c>
      <c r="L112" s="51">
        <f t="shared" ca="1" si="45"/>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6">IF(OR(C$26="",$A114=""),"",OFFSET(C$61,8*(ROW(B114)-ROW(B$114)),0))</f>
        <v>4.2</v>
      </c>
      <c r="D114" s="67">
        <f t="shared" ca="1" si="46"/>
        <v>4.2</v>
      </c>
      <c r="E114" s="67">
        <f t="shared" ca="1" si="46"/>
        <v>4.2</v>
      </c>
      <c r="F114" s="67">
        <f t="shared" ca="1" si="46"/>
        <v>4.2</v>
      </c>
      <c r="G114" s="67">
        <f t="shared" ca="1" si="46"/>
        <v>4.2</v>
      </c>
      <c r="H114" s="67">
        <f t="shared" ca="1" si="46"/>
        <v>4.2</v>
      </c>
      <c r="I114" s="67">
        <f t="shared" ca="1" si="46"/>
        <v>4.2</v>
      </c>
      <c r="J114" s="67">
        <f t="shared" ca="1" si="46"/>
        <v>4.2</v>
      </c>
      <c r="K114" s="67">
        <f t="shared" ca="1" si="46"/>
        <v>4.2</v>
      </c>
      <c r="L114" s="67">
        <f t="shared" ca="1" si="46"/>
        <v>4.2</v>
      </c>
    </row>
    <row r="115" spans="1:12" x14ac:dyDescent="0.35">
      <c r="A115" t="str">
        <f>IF(A6="","","    "&amp;A6&amp;" - Release from Mead")</f>
        <v xml:space="preserve">    Lower Basin - Release from Mead</v>
      </c>
      <c r="C115" s="67">
        <f t="shared" ca="1" si="46"/>
        <v>7.2590000000000003</v>
      </c>
      <c r="D115" s="67">
        <f t="shared" ca="1" si="46"/>
        <v>7.2590000000000003</v>
      </c>
      <c r="E115" s="67">
        <f t="shared" ca="1" si="46"/>
        <v>6.8870000000000005</v>
      </c>
      <c r="F115" s="67">
        <f t="shared" ca="1" si="46"/>
        <v>6.8870000000000005</v>
      </c>
      <c r="G115" s="67">
        <f t="shared" ca="1" si="46"/>
        <v>6.8870000000000005</v>
      </c>
      <c r="H115" s="67">
        <f t="shared" ca="1" si="46"/>
        <v>6.805453457471021</v>
      </c>
      <c r="I115" s="67">
        <f t="shared" ca="1" si="46"/>
        <v>6.3702888005243183</v>
      </c>
      <c r="J115" s="67">
        <f t="shared" ca="1" si="46"/>
        <v>6.3859604978537057</v>
      </c>
      <c r="K115" s="67">
        <f t="shared" ca="1" si="46"/>
        <v>6.4093097077066208</v>
      </c>
      <c r="L115" s="67">
        <f t="shared" ca="1" si="46"/>
        <v>6.4093240851661299</v>
      </c>
    </row>
    <row r="116" spans="1:12" x14ac:dyDescent="0.35">
      <c r="A116" t="str">
        <f>IF(A7="","","    "&amp;A7&amp;" - Release from Mead")</f>
        <v xml:space="preserve">    Mexico - Release from Mead</v>
      </c>
      <c r="C116" s="67">
        <f t="shared" ca="1" si="46"/>
        <v>1.4473333333333334</v>
      </c>
      <c r="D116" s="67">
        <f t="shared" ca="1" si="46"/>
        <v>1.4473333333333334</v>
      </c>
      <c r="E116" s="67">
        <f t="shared" ca="1" si="46"/>
        <v>1.4083333333333332</v>
      </c>
      <c r="F116" s="67">
        <f t="shared" ca="1" si="46"/>
        <v>1.4083333333333332</v>
      </c>
      <c r="G116" s="67">
        <f t="shared" ca="1" si="46"/>
        <v>1.4083333333333332</v>
      </c>
      <c r="H116" s="67">
        <f t="shared" ca="1" si="46"/>
        <v>1.4083333333333332</v>
      </c>
      <c r="I116" s="67">
        <f t="shared" ca="1" si="46"/>
        <v>1.3843333333333332</v>
      </c>
      <c r="J116" s="67">
        <f t="shared" ca="1" si="46"/>
        <v>1.4083333333333332</v>
      </c>
      <c r="K116" s="67">
        <f t="shared" ca="1" si="46"/>
        <v>1.4083333333333332</v>
      </c>
      <c r="L116" s="67">
        <f t="shared" ca="1" si="46"/>
        <v>1.4473333333333334</v>
      </c>
    </row>
    <row r="117" spans="1:12" x14ac:dyDescent="0.35">
      <c r="A117" t="str">
        <f>IF(A8="","","    "&amp;A8&amp;" - Release from Mead")</f>
        <v xml:space="preserve">    Shared, Reserve - Release from Mead</v>
      </c>
      <c r="C117" s="67">
        <f t="shared" ca="1" si="46"/>
        <v>0</v>
      </c>
      <c r="D117" s="67">
        <f t="shared" ca="1" si="46"/>
        <v>0</v>
      </c>
      <c r="E117" s="67">
        <f t="shared" ca="1" si="46"/>
        <v>0</v>
      </c>
      <c r="F117" s="67">
        <f t="shared" ca="1" si="46"/>
        <v>0</v>
      </c>
      <c r="G117" s="67">
        <f t="shared" ca="1" si="46"/>
        <v>0</v>
      </c>
      <c r="H117" s="67">
        <f t="shared" ca="1" si="46"/>
        <v>0</v>
      </c>
      <c r="I117" s="67">
        <f t="shared" ca="1" si="46"/>
        <v>0</v>
      </c>
      <c r="J117" s="67">
        <f t="shared" ca="1" si="46"/>
        <v>0</v>
      </c>
      <c r="K117" s="67">
        <f t="shared" ca="1" si="46"/>
        <v>0</v>
      </c>
      <c r="L117" s="67">
        <f t="shared" ca="1" si="46"/>
        <v>0</v>
      </c>
    </row>
    <row r="118" spans="1:12" x14ac:dyDescent="0.35">
      <c r="A118" t="str">
        <f>IF(A9="","","    "&amp;A9&amp;" - Release from Mead")</f>
        <v/>
      </c>
      <c r="C118" s="67" t="str">
        <f t="shared" ca="1" si="46"/>
        <v/>
      </c>
      <c r="D118" s="67" t="str">
        <f t="shared" ca="1" si="46"/>
        <v/>
      </c>
      <c r="E118" s="67" t="str">
        <f t="shared" ca="1" si="46"/>
        <v/>
      </c>
      <c r="F118" s="67" t="str">
        <f t="shared" ca="1" si="46"/>
        <v/>
      </c>
      <c r="G118" s="67" t="str">
        <f t="shared" ca="1" si="46"/>
        <v/>
      </c>
      <c r="H118" s="67" t="str">
        <f t="shared" ca="1" si="46"/>
        <v/>
      </c>
      <c r="I118" s="67" t="str">
        <f t="shared" ca="1" si="46"/>
        <v/>
      </c>
      <c r="J118" s="67" t="str">
        <f t="shared" ca="1" si="46"/>
        <v/>
      </c>
      <c r="K118" s="67" t="str">
        <f t="shared" ca="1" si="46"/>
        <v/>
      </c>
      <c r="L118" s="67" t="str">
        <f t="shared" ca="1" si="46"/>
        <v/>
      </c>
    </row>
    <row r="119" spans="1:12" x14ac:dyDescent="0.35">
      <c r="A119" t="str">
        <f>IF(A10="","","    "&amp;A10&amp;" - Release from Mead")</f>
        <v/>
      </c>
      <c r="C119" s="67" t="str">
        <f t="shared" ca="1" si="46"/>
        <v/>
      </c>
      <c r="D119" s="67" t="str">
        <f t="shared" ca="1" si="46"/>
        <v/>
      </c>
      <c r="E119" s="67" t="str">
        <f t="shared" ca="1" si="46"/>
        <v/>
      </c>
      <c r="F119" s="67" t="str">
        <f t="shared" ca="1" si="46"/>
        <v/>
      </c>
      <c r="G119" s="67" t="str">
        <f t="shared" ca="1" si="46"/>
        <v/>
      </c>
      <c r="H119" s="67" t="str">
        <f t="shared" ca="1" si="46"/>
        <v/>
      </c>
      <c r="I119" s="67" t="str">
        <f t="shared" ca="1" si="46"/>
        <v/>
      </c>
      <c r="J119" s="67" t="str">
        <f t="shared" ca="1" si="46"/>
        <v/>
      </c>
      <c r="K119" s="67" t="str">
        <f t="shared" ca="1" si="46"/>
        <v/>
      </c>
      <c r="L119" s="67" t="str">
        <f t="shared" ca="1" si="46"/>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f t="shared" ref="C121:L126" ca="1" si="47">IF(OR(C$26="",$A121=""),"",OFFSET(C$62,8*(ROW(B121)-ROW(B$121)),0))</f>
        <v>4.8040452368981788</v>
      </c>
      <c r="D121" s="67">
        <f t="shared" ca="1" si="47"/>
        <v>4.5419931728564817</v>
      </c>
      <c r="E121" s="67">
        <f t="shared" ca="1" si="47"/>
        <v>4.3056232546493094</v>
      </c>
      <c r="F121" s="67">
        <f t="shared" ca="1" si="47"/>
        <v>4.0774702074598084</v>
      </c>
      <c r="G121" s="67">
        <f t="shared" ca="1" si="47"/>
        <v>3.85719281347522</v>
      </c>
      <c r="H121" s="67">
        <f t="shared" ca="1" si="47"/>
        <v>3.6445551050330494</v>
      </c>
      <c r="I121" s="67">
        <f t="shared" ca="1" si="47"/>
        <v>5.4519284043853409</v>
      </c>
      <c r="J121" s="67">
        <f t="shared" ca="1" si="47"/>
        <v>7.1609068947687797</v>
      </c>
      <c r="K121" s="67">
        <f t="shared" ca="1" si="47"/>
        <v>8.7943918761707423</v>
      </c>
      <c r="L121" s="67">
        <f t="shared" ca="1" si="47"/>
        <v>10.34052689057302</v>
      </c>
    </row>
    <row r="122" spans="1:12" x14ac:dyDescent="0.35">
      <c r="A122" t="str">
        <f>IF(A6="","","    "&amp;A6)</f>
        <v xml:space="preserve">    Lower Basin</v>
      </c>
      <c r="C122" s="67">
        <f t="shared" ca="1" si="47"/>
        <v>3.2109815232907888</v>
      </c>
      <c r="D122" s="67">
        <f t="shared" ca="1" si="47"/>
        <v>2.1938054130006606</v>
      </c>
      <c r="E122" s="67">
        <f t="shared" ca="1" si="47"/>
        <v>1.5979005802175585</v>
      </c>
      <c r="F122" s="67">
        <f t="shared" ca="1" si="47"/>
        <v>1.0206144277033102</v>
      </c>
      <c r="G122" s="67">
        <f t="shared" ca="1" si="47"/>
        <v>0.46100835996429268</v>
      </c>
      <c r="H122" s="67">
        <f t="shared" ca="1" si="47"/>
        <v>0</v>
      </c>
      <c r="I122" s="67">
        <f t="shared" ca="1" si="47"/>
        <v>0</v>
      </c>
      <c r="J122" s="67">
        <f t="shared" ca="1" si="47"/>
        <v>0</v>
      </c>
      <c r="K122" s="67">
        <f t="shared" ca="1" si="47"/>
        <v>0</v>
      </c>
      <c r="L122" s="67">
        <f t="shared" ca="1" si="47"/>
        <v>0</v>
      </c>
    </row>
    <row r="123" spans="1:12" x14ac:dyDescent="0.35">
      <c r="A123" t="str">
        <f>IF(A7="","","    "&amp;A7)</f>
        <v xml:space="preserve">    Mexico</v>
      </c>
      <c r="C123" s="67">
        <f t="shared" ca="1" si="47"/>
        <v>0.16557297647772518</v>
      </c>
      <c r="D123" s="67">
        <f t="shared" ca="1" si="47"/>
        <v>0.15735694647678922</v>
      </c>
      <c r="E123" s="67">
        <f t="shared" ca="1" si="47"/>
        <v>0.14931228563432986</v>
      </c>
      <c r="F123" s="67">
        <f t="shared" ca="1" si="47"/>
        <v>0.14154478800417558</v>
      </c>
      <c r="G123" s="67">
        <f t="shared" ca="1" si="47"/>
        <v>0.13404274739387745</v>
      </c>
      <c r="H123" s="67">
        <f t="shared" ca="1" si="47"/>
        <v>0.1267980923965879</v>
      </c>
      <c r="I123" s="67">
        <f t="shared" ca="1" si="47"/>
        <v>0.11982386668781775</v>
      </c>
      <c r="J123" s="67">
        <f t="shared" ca="1" si="47"/>
        <v>0.1135192981185138</v>
      </c>
      <c r="K123" s="67">
        <f t="shared" ca="1" si="47"/>
        <v>0.10777511917719851</v>
      </c>
      <c r="L123" s="67">
        <f t="shared" ca="1" si="47"/>
        <v>0.10250304627602902</v>
      </c>
    </row>
    <row r="124" spans="1:12" x14ac:dyDescent="0.35">
      <c r="A124" t="str">
        <f>IF(A8="","","    "&amp;A8)</f>
        <v xml:space="preserve">    Shared, Reserve</v>
      </c>
      <c r="C124" s="67">
        <f t="shared" ca="1" si="47"/>
        <v>11.59116925</v>
      </c>
      <c r="D124" s="67">
        <f t="shared" ca="1" si="47"/>
        <v>11.59116925</v>
      </c>
      <c r="E124" s="67">
        <f t="shared" ca="1" si="47"/>
        <v>11.59116925</v>
      </c>
      <c r="F124" s="67">
        <f t="shared" ca="1" si="47"/>
        <v>11.59116925</v>
      </c>
      <c r="G124" s="67">
        <f t="shared" ca="1" si="47"/>
        <v>11.59116925</v>
      </c>
      <c r="H124" s="67">
        <f t="shared" ca="1" si="47"/>
        <v>11.59116925</v>
      </c>
      <c r="I124" s="67">
        <f t="shared" ca="1" si="47"/>
        <v>11.59116925</v>
      </c>
      <c r="J124" s="67">
        <f t="shared" ca="1" si="47"/>
        <v>11.59116925</v>
      </c>
      <c r="K124" s="67">
        <f t="shared" ca="1" si="47"/>
        <v>11.59116925</v>
      </c>
      <c r="L124" s="67">
        <f t="shared" ca="1" si="47"/>
        <v>11.59116925</v>
      </c>
    </row>
    <row r="125" spans="1:12" x14ac:dyDescent="0.35">
      <c r="A125" t="str">
        <f>IF(A9="","","    "&amp;A9)</f>
        <v/>
      </c>
      <c r="C125" s="67" t="str">
        <f t="shared" ca="1" si="47"/>
        <v/>
      </c>
      <c r="D125" s="67" t="str">
        <f t="shared" ca="1" si="47"/>
        <v/>
      </c>
      <c r="E125" s="67" t="str">
        <f t="shared" ca="1" si="47"/>
        <v/>
      </c>
      <c r="F125" s="67" t="str">
        <f t="shared" ca="1" si="47"/>
        <v/>
      </c>
      <c r="G125" s="67" t="str">
        <f t="shared" ca="1" si="47"/>
        <v/>
      </c>
      <c r="H125" s="67" t="str">
        <f t="shared" ca="1" si="47"/>
        <v/>
      </c>
      <c r="I125" s="67" t="str">
        <f t="shared" ca="1" si="47"/>
        <v/>
      </c>
      <c r="J125" s="67" t="str">
        <f t="shared" ca="1" si="47"/>
        <v/>
      </c>
      <c r="K125" s="67" t="str">
        <f t="shared" ca="1" si="47"/>
        <v/>
      </c>
      <c r="L125" s="67" t="str">
        <f t="shared" ca="1" si="47"/>
        <v/>
      </c>
    </row>
    <row r="126" spans="1:12" x14ac:dyDescent="0.35">
      <c r="A126" t="str">
        <f>IF(A10="","","    "&amp;A10)</f>
        <v/>
      </c>
      <c r="C126" s="67" t="str">
        <f t="shared" ca="1" si="47"/>
        <v/>
      </c>
      <c r="D126" s="67" t="str">
        <f t="shared" ca="1" si="47"/>
        <v/>
      </c>
      <c r="E126" s="67" t="str">
        <f t="shared" ca="1" si="47"/>
        <v/>
      </c>
      <c r="F126" s="67" t="str">
        <f t="shared" ca="1" si="47"/>
        <v/>
      </c>
      <c r="G126" s="67" t="str">
        <f t="shared" ca="1" si="47"/>
        <v/>
      </c>
      <c r="H126" s="67" t="str">
        <f t="shared" ca="1" si="47"/>
        <v/>
      </c>
      <c r="I126" s="67" t="str">
        <f t="shared" ca="1" si="47"/>
        <v/>
      </c>
      <c r="J126" s="67" t="str">
        <f t="shared" ca="1" si="47"/>
        <v/>
      </c>
      <c r="K126" s="67" t="str">
        <f t="shared" ca="1" si="47"/>
        <v/>
      </c>
      <c r="L126" s="67" t="str">
        <f t="shared" ca="1" si="47"/>
        <v/>
      </c>
    </row>
    <row r="127" spans="1:12" x14ac:dyDescent="0.35">
      <c r="A127" s="1" t="s">
        <v>123</v>
      </c>
      <c r="B127" s="1"/>
      <c r="C127" s="14">
        <f ca="1">IF(C$26&lt;&gt;"",SUM(C121:C126),"")</f>
        <v>19.771768986666693</v>
      </c>
      <c r="D127" s="14">
        <f t="shared" ref="D127:L127" ca="1" si="48">IF(D$26&lt;&gt;"",SUM(D121:D126),"")</f>
        <v>18.484324782333932</v>
      </c>
      <c r="E127" s="14">
        <f t="shared" ca="1" si="48"/>
        <v>17.644005370501198</v>
      </c>
      <c r="F127" s="14">
        <f t="shared" ca="1" si="48"/>
        <v>16.830798673167294</v>
      </c>
      <c r="G127" s="14">
        <f t="shared" ca="1" si="48"/>
        <v>16.043413170833389</v>
      </c>
      <c r="H127" s="14">
        <f t="shared" ca="1" si="48"/>
        <v>15.362522447429637</v>
      </c>
      <c r="I127" s="14">
        <f t="shared" ca="1" si="48"/>
        <v>17.162921521073159</v>
      </c>
      <c r="J127" s="14">
        <f t="shared" ca="1" si="48"/>
        <v>18.865595442887294</v>
      </c>
      <c r="K127" s="14">
        <f t="shared" ca="1" si="48"/>
        <v>20.49333624534794</v>
      </c>
      <c r="L127" s="14">
        <f t="shared" ca="1" si="48"/>
        <v>22.034199186849051</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9.8858844933333465</v>
      </c>
      <c r="D129" s="14">
        <f t="shared" ref="D129:L129" ca="1" si="49">IF(D26="","",D$128*D$127)</f>
        <v>9.2421623911669659</v>
      </c>
      <c r="E129" s="14">
        <f t="shared" ca="1" si="49"/>
        <v>8.8220026852505988</v>
      </c>
      <c r="F129" s="14">
        <f t="shared" ca="1" si="49"/>
        <v>8.415399336583647</v>
      </c>
      <c r="G129" s="14">
        <f t="shared" ca="1" si="49"/>
        <v>8.0217065854166947</v>
      </c>
      <c r="H129" s="14">
        <f t="shared" ca="1" si="49"/>
        <v>7.6812612237148183</v>
      </c>
      <c r="I129" s="14">
        <f t="shared" ca="1" si="49"/>
        <v>8.5814607605365794</v>
      </c>
      <c r="J129" s="14">
        <f t="shared" ca="1" si="49"/>
        <v>9.4327977214436469</v>
      </c>
      <c r="K129" s="14">
        <f t="shared" ca="1" si="49"/>
        <v>10.24666812267397</v>
      </c>
      <c r="L129" s="14">
        <f t="shared" ca="1" si="49"/>
        <v>11.017099593424525</v>
      </c>
    </row>
    <row r="130" spans="1:14" x14ac:dyDescent="0.35">
      <c r="A130" s="1" t="s">
        <v>194</v>
      </c>
      <c r="B130" s="1"/>
      <c r="C130" s="14">
        <f ca="1">IF(C27="","",(1-C$128)*C$127)</f>
        <v>9.8858844933333465</v>
      </c>
      <c r="D130" s="14">
        <f t="shared" ref="D130:L130" ca="1" si="50">IF(D27="","",(1-D$128)*D$127)</f>
        <v>9.2421623911669659</v>
      </c>
      <c r="E130" s="14">
        <f t="shared" ca="1" si="50"/>
        <v>8.8220026852505988</v>
      </c>
      <c r="F130" s="14">
        <f t="shared" ca="1" si="50"/>
        <v>8.415399336583647</v>
      </c>
      <c r="G130" s="14">
        <f t="shared" ca="1" si="50"/>
        <v>8.0217065854166947</v>
      </c>
      <c r="H130" s="14">
        <f t="shared" ca="1" si="50"/>
        <v>7.6812612237148183</v>
      </c>
      <c r="I130" s="14">
        <f t="shared" ca="1" si="50"/>
        <v>8.5814607605365794</v>
      </c>
      <c r="J130" s="14">
        <f t="shared" ca="1" si="50"/>
        <v>9.4327977214436469</v>
      </c>
      <c r="K130" s="14">
        <f t="shared" ca="1" si="50"/>
        <v>10.24666812267397</v>
      </c>
      <c r="L130" s="14">
        <f t="shared" ca="1" si="50"/>
        <v>11.017099593424525</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3563</v>
      </c>
      <c r="J131" s="87">
        <f ca="1">IF(J$26&lt;&gt;"",VLOOKUP(J129*1000000,'Powell-Elevation-Area'!$B$5:$H$689,7),"")</f>
        <v>3573.5</v>
      </c>
      <c r="K131" s="87">
        <f ca="1">IF(K$26&lt;&gt;"",VLOOKUP(K129*1000000,'Powell-Elevation-Area'!$B$5:$H$689,7),"")</f>
        <v>3583.5</v>
      </c>
      <c r="L131" s="87">
        <f ca="1">IF(L$26&lt;&gt;"",VLOOKUP(L129*1000000,'Powell-Elevation-Area'!$B$5:$H$689,7),"")</f>
        <v>3592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1062</v>
      </c>
      <c r="J132" s="87">
        <f ca="1">IF(J$26&lt;&gt;"",VLOOKUP(J130*1000000,'Mead-Elevation-Area'!$B$5:$H$689,7),"")</f>
        <v>1072.5</v>
      </c>
      <c r="K132" s="87">
        <f ca="1">IF(K$26&lt;&gt;"",VLOOKUP(K130*1000000,'Mead-Elevation-Area'!$B$5:$H$689,7),"")</f>
        <v>1082.5</v>
      </c>
      <c r="L132" s="87">
        <f ca="1">IF(L$26&lt;&gt;"",VLOOKUP(L130*1000000,'Mead-Elevation-Area'!$B$5:$H$689,7),"")</f>
        <v>1091.5</v>
      </c>
    </row>
    <row r="133" spans="1:14" x14ac:dyDescent="0.35">
      <c r="A133" s="1" t="s">
        <v>295</v>
      </c>
      <c r="B133" s="1"/>
    </row>
    <row r="134" spans="1:14" x14ac:dyDescent="0.35">
      <c r="A134" s="32" t="s">
        <v>296</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43" t="s">
        <v>311</v>
      </c>
      <c r="B136" s="88"/>
      <c r="C136" s="142" t="str">
        <f ca="1">IF(C$26&lt;&gt;"",VLOOKUP(C$131,PowellReleaseTemperature!$A$5:$E$11,5),"")</f>
        <v>May benefit or face invasion</v>
      </c>
      <c r="D136" s="142" t="str">
        <f ca="1">IF(D$26&lt;&gt;"",VLOOKUP(D$131,PowellReleaseTemperature!$A$5:$E$11,5),"")</f>
        <v>May benefit or face invasion</v>
      </c>
      <c r="E136" s="142" t="str">
        <f ca="1">IF(E$26&lt;&gt;"",VLOOKUP(E$131,PowellReleaseTemperature!$A$5:$E$11,5),"")</f>
        <v>May benefit or face invasion</v>
      </c>
      <c r="F136" s="142" t="str">
        <f ca="1">IF(F$26&lt;&gt;"",VLOOKUP(F$131,PowellReleaseTemperature!$A$5:$E$11,5),"")</f>
        <v>May benefit or face invasion</v>
      </c>
      <c r="G136" s="142" t="str">
        <f ca="1">IF(G$26&lt;&gt;"",VLOOKUP(G$131,PowellReleaseTemperature!$A$5:$E$11,5),"")</f>
        <v>May benefit or face invasion</v>
      </c>
      <c r="H136" s="142" t="str">
        <f ca="1">IF(H$26&lt;&gt;"",VLOOKUP(H$131,PowellReleaseTemperature!$A$5:$E$11,5),"")</f>
        <v>May benefit or face invasion</v>
      </c>
      <c r="I136" s="142" t="str">
        <f ca="1">IF(I$26&lt;&gt;"",VLOOKUP(I$131,PowellReleaseTemperature!$A$5:$E$11,5),"")</f>
        <v>May benefit or face invasion</v>
      </c>
      <c r="J136" s="142" t="str">
        <f ca="1">IF(J$26&lt;&gt;"",VLOOKUP(J$131,PowellReleaseTemperature!$A$5:$E$11,5),"")</f>
        <v>May benefit or face invasion</v>
      </c>
      <c r="K136" s="142" t="str">
        <f ca="1">IF(K$26&lt;&gt;"",VLOOKUP(K$131,PowellReleaseTemperature!$A$5:$E$11,5),"")</f>
        <v>May benefit or face invasion</v>
      </c>
      <c r="L136" s="142" t="str">
        <f ca="1">IF(L$26&lt;&gt;"",VLOOKUP(L$131,PowellReleaseTemperature!$A$5:$E$11,5),"")</f>
        <v>May benefit or face invasion</v>
      </c>
    </row>
    <row r="137" spans="1:14" s="89" customFormat="1" ht="32" customHeight="1" x14ac:dyDescent="0.35">
      <c r="A137" s="143" t="s">
        <v>317</v>
      </c>
      <c r="B137" s="88"/>
      <c r="C137" s="142" t="str">
        <f ca="1">IF(C$26&lt;&gt;"",VLOOKUP(C$131,PowellReleaseTemperature!$A$5:$F$11,6),"")</f>
        <v>Help grow + incubate</v>
      </c>
      <c r="D137" s="142" t="str">
        <f ca="1">IF(D$26&lt;&gt;"",VLOOKUP(D$131,PowellReleaseTemperature!$A$5:$F$11,6),"")</f>
        <v>Help grow + incubate</v>
      </c>
      <c r="E137" s="142" t="str">
        <f ca="1">IF(E$26&lt;&gt;"",VLOOKUP(E$131,PowellReleaseTemperature!$A$5:$F$11,6),"")</f>
        <v>Help grow + incubate</v>
      </c>
      <c r="F137" s="142" t="str">
        <f ca="1">IF(F$26&lt;&gt;"",VLOOKUP(F$131,PowellReleaseTemperature!$A$5:$F$11,6),"")</f>
        <v>Help grow + incubate</v>
      </c>
      <c r="G137" s="142" t="str">
        <f ca="1">IF(G$26&lt;&gt;"",VLOOKUP(G$131,PowellReleaseTemperature!$A$5:$F$11,6),"")</f>
        <v>Help grow + incubate</v>
      </c>
      <c r="H137" s="142" t="str">
        <f ca="1">IF(H$26&lt;&gt;"",VLOOKUP(H$131,PowellReleaseTemperature!$A$5:$F$11,6),"")</f>
        <v>Help grow + incubate</v>
      </c>
      <c r="I137" s="142" t="str">
        <f ca="1">IF(I$26&lt;&gt;"",VLOOKUP(I$131,PowellReleaseTemperature!$A$5:$F$11,6),"")</f>
        <v>Help grow + incubate</v>
      </c>
      <c r="J137" s="142" t="str">
        <f ca="1">IF(J$26&lt;&gt;"",VLOOKUP(J$131,PowellReleaseTemperature!$A$5:$F$11,6),"")</f>
        <v>Help grow + incubate</v>
      </c>
      <c r="K137" s="142" t="str">
        <f ca="1">IF(K$26&lt;&gt;"",VLOOKUP(K$131,PowellReleaseTemperature!$A$5:$F$11,6),"")</f>
        <v>Help grow + incubate</v>
      </c>
      <c r="L137" s="142" t="str">
        <f ca="1">IF(L$26&lt;&gt;"",VLOOKUP(L$131,PowellReleaseTemperature!$A$5:$F$11,6),"")</f>
        <v>Help grow + incubate</v>
      </c>
    </row>
    <row r="138" spans="1:14" x14ac:dyDescent="0.35">
      <c r="C138" s="29"/>
    </row>
    <row r="139" spans="1:14" x14ac:dyDescent="0.35">
      <c r="A139" s="1" t="s">
        <v>125</v>
      </c>
      <c r="C139" s="169">
        <f>IF(C$26&lt;&gt;"",0.2,"")</f>
        <v>0.2</v>
      </c>
      <c r="D139" s="169">
        <f t="shared" ref="D139:L139" si="51">IF(D$26&lt;&gt;"",0.2,"")</f>
        <v>0.2</v>
      </c>
      <c r="E139" s="169">
        <f t="shared" si="51"/>
        <v>0.2</v>
      </c>
      <c r="F139" s="169">
        <f t="shared" si="51"/>
        <v>0.2</v>
      </c>
      <c r="G139" s="169">
        <f t="shared" si="51"/>
        <v>0.2</v>
      </c>
      <c r="H139" s="169">
        <f t="shared" si="51"/>
        <v>0.2</v>
      </c>
      <c r="I139" s="169">
        <f t="shared" si="51"/>
        <v>0.2</v>
      </c>
      <c r="J139" s="169">
        <f t="shared" si="51"/>
        <v>0.2</v>
      </c>
      <c r="K139" s="169">
        <f t="shared" si="51"/>
        <v>0.2</v>
      </c>
      <c r="L139" s="169">
        <f t="shared" si="51"/>
        <v>0.2</v>
      </c>
    </row>
    <row r="140" spans="1:14" x14ac:dyDescent="0.35">
      <c r="A140" t="s">
        <v>126</v>
      </c>
      <c r="C140" s="14">
        <f t="shared" ref="C140:L140" ca="1" si="52">IF(C$26&lt;&gt;"",C115+C139,"")</f>
        <v>7.4590000000000005</v>
      </c>
      <c r="D140" s="14">
        <f t="shared" ca="1" si="52"/>
        <v>7.4590000000000005</v>
      </c>
      <c r="E140" s="14">
        <f t="shared" ca="1" si="52"/>
        <v>7.0870000000000006</v>
      </c>
      <c r="F140" s="14">
        <f t="shared" ca="1" si="52"/>
        <v>7.0870000000000006</v>
      </c>
      <c r="G140" s="14">
        <f t="shared" ca="1" si="52"/>
        <v>7.0870000000000006</v>
      </c>
      <c r="H140" s="14">
        <f t="shared" ca="1" si="52"/>
        <v>7.0054534574710212</v>
      </c>
      <c r="I140" s="14">
        <f t="shared" ca="1" si="52"/>
        <v>6.5702888005243185</v>
      </c>
      <c r="J140" s="14">
        <f t="shared" ca="1" si="52"/>
        <v>6.5859604978537059</v>
      </c>
      <c r="K140" s="14">
        <f t="shared" ca="1" si="52"/>
        <v>6.609309707706621</v>
      </c>
      <c r="L140" s="14">
        <f t="shared" ca="1" si="52"/>
        <v>6.6093240851661301</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C77:L77">
    <cfRule type="cellIs" dxfId="140"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98" priority="3" operator="greaterThan">
      <formula>$C$60</formula>
    </cfRule>
  </conditionalFormatting>
  <conditionalFormatting sqref="C69:L69">
    <cfRule type="cellIs" dxfId="97"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topLeftCell="A114" zoomScale="150" zoomScaleNormal="150" workbookViewId="0">
      <selection activeCell="C48" sqref="C48:L5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33" t="s">
        <v>151</v>
      </c>
      <c r="B3" s="133"/>
      <c r="C3" s="133"/>
      <c r="D3" s="133"/>
      <c r="E3" s="133"/>
      <c r="F3" s="133"/>
      <c r="G3" s="133"/>
      <c r="H3" s="118"/>
      <c r="I3" s="118"/>
      <c r="J3" s="118"/>
      <c r="K3" s="118"/>
    </row>
    <row r="4" spans="1:13" x14ac:dyDescent="0.35">
      <c r="A4" s="53" t="s">
        <v>38</v>
      </c>
      <c r="B4" s="53" t="s">
        <v>42</v>
      </c>
      <c r="C4" s="134" t="s">
        <v>43</v>
      </c>
      <c r="D4" s="135"/>
      <c r="E4" s="135"/>
      <c r="F4" s="135"/>
      <c r="G4" s="136"/>
      <c r="M4" s="1" t="s">
        <v>321</v>
      </c>
    </row>
    <row r="5" spans="1:13" x14ac:dyDescent="0.35">
      <c r="A5" s="157" t="s">
        <v>39</v>
      </c>
      <c r="B5" s="157"/>
      <c r="C5" s="165" t="s">
        <v>217</v>
      </c>
      <c r="D5" s="158"/>
      <c r="E5" s="158"/>
      <c r="F5" s="158"/>
      <c r="G5" s="158"/>
      <c r="M5" t="s">
        <v>322</v>
      </c>
    </row>
    <row r="6" spans="1:13" x14ac:dyDescent="0.35">
      <c r="A6" s="157" t="s">
        <v>40</v>
      </c>
      <c r="B6" s="157"/>
      <c r="C6" s="165" t="s">
        <v>218</v>
      </c>
      <c r="D6" s="158"/>
      <c r="E6" s="158"/>
      <c r="F6" s="158"/>
      <c r="G6" s="158"/>
      <c r="M6" t="s">
        <v>327</v>
      </c>
    </row>
    <row r="7" spans="1:13" x14ac:dyDescent="0.35">
      <c r="A7" s="157" t="s">
        <v>41</v>
      </c>
      <c r="B7" s="157"/>
      <c r="C7" s="165" t="s">
        <v>152</v>
      </c>
      <c r="D7" s="158"/>
      <c r="E7" s="158"/>
      <c r="F7" s="158"/>
      <c r="G7" s="158"/>
      <c r="M7" t="s">
        <v>328</v>
      </c>
    </row>
    <row r="8" spans="1:13" x14ac:dyDescent="0.35">
      <c r="A8" s="117" t="s">
        <v>157</v>
      </c>
      <c r="B8" s="117"/>
      <c r="C8" s="132" t="s">
        <v>332</v>
      </c>
      <c r="D8" s="132"/>
      <c r="E8" s="132"/>
      <c r="F8" s="132"/>
      <c r="G8" s="132"/>
    </row>
    <row r="9" spans="1:13" x14ac:dyDescent="0.35">
      <c r="A9" s="157"/>
      <c r="B9" s="157"/>
      <c r="C9" s="156"/>
      <c r="D9" s="156"/>
      <c r="E9" s="156"/>
      <c r="F9" s="156"/>
      <c r="G9" s="156"/>
    </row>
    <row r="10" spans="1:13" x14ac:dyDescent="0.35">
      <c r="A10" s="157"/>
      <c r="B10" s="157"/>
      <c r="C10" s="156"/>
      <c r="D10" s="156"/>
      <c r="E10" s="156"/>
      <c r="F10" s="156"/>
      <c r="G10" s="156"/>
    </row>
    <row r="11" spans="1:13" x14ac:dyDescent="0.35">
      <c r="A11" s="16"/>
      <c r="B11" s="2"/>
      <c r="C11"/>
    </row>
    <row r="12" spans="1:13" x14ac:dyDescent="0.35">
      <c r="A12" s="19" t="s">
        <v>45</v>
      </c>
      <c r="B12" s="168" t="s">
        <v>198</v>
      </c>
      <c r="C12" s="168"/>
      <c r="D12" s="168"/>
      <c r="E12" s="168"/>
      <c r="F12" s="168"/>
    </row>
    <row r="13" spans="1:13" x14ac:dyDescent="0.35">
      <c r="B13" s="166" t="s">
        <v>329</v>
      </c>
      <c r="C13" s="155"/>
      <c r="D13" s="155"/>
      <c r="E13" s="155"/>
      <c r="F13" s="155"/>
    </row>
    <row r="14" spans="1:13" x14ac:dyDescent="0.35">
      <c r="B14" s="167" t="s">
        <v>330</v>
      </c>
      <c r="C14" s="137"/>
      <c r="D14" s="137"/>
      <c r="E14" s="137"/>
      <c r="F14" s="137"/>
    </row>
    <row r="15" spans="1:13" x14ac:dyDescent="0.35">
      <c r="B15" s="138" t="s">
        <v>46</v>
      </c>
      <c r="C15" s="138"/>
      <c r="D15" s="138"/>
      <c r="E15" s="138"/>
      <c r="F15" s="138"/>
    </row>
    <row r="17" spans="1:14" x14ac:dyDescent="0.35">
      <c r="A17" s="1" t="s">
        <v>53</v>
      </c>
      <c r="D17" s="168" t="s">
        <v>154</v>
      </c>
      <c r="E17" s="168"/>
      <c r="F17" s="168"/>
      <c r="G17" s="168"/>
    </row>
    <row r="19" spans="1:14" x14ac:dyDescent="0.35">
      <c r="A19" s="1" t="s">
        <v>32</v>
      </c>
      <c r="B19" s="1" t="s">
        <v>110</v>
      </c>
      <c r="C19" s="13" t="s">
        <v>111</v>
      </c>
    </row>
    <row r="20" spans="1:14" x14ac:dyDescent="0.35">
      <c r="A20" t="s">
        <v>109</v>
      </c>
      <c r="B20" s="169">
        <v>5.73</v>
      </c>
      <c r="C20" s="169">
        <v>6</v>
      </c>
      <c r="D20" s="23" t="s">
        <v>112</v>
      </c>
    </row>
    <row r="21" spans="1:14" x14ac:dyDescent="0.35">
      <c r="A21" t="s">
        <v>141</v>
      </c>
      <c r="B21" s="169">
        <v>11</v>
      </c>
      <c r="C21" s="169">
        <v>10.1</v>
      </c>
      <c r="D21" s="11" t="s">
        <v>34</v>
      </c>
    </row>
    <row r="22" spans="1:14" x14ac:dyDescent="0.35">
      <c r="A22" t="s">
        <v>189</v>
      </c>
      <c r="B22" s="62">
        <v>3525</v>
      </c>
      <c r="C22" s="62">
        <v>1020</v>
      </c>
      <c r="D22" s="11"/>
    </row>
    <row r="23" spans="1:14" x14ac:dyDescent="0.35">
      <c r="A23" t="s">
        <v>175</v>
      </c>
      <c r="B23" s="169">
        <f>VLOOKUP(B22,'Powell-Elevation-Area'!$A$5:$B$689,2)/1000000</f>
        <v>5.9265762500000001</v>
      </c>
      <c r="C23" s="169">
        <f>VLOOKUP(C22,'Mead-Elevation-Area'!$A$5:$B$689,2)/1000000</f>
        <v>5.664593</v>
      </c>
      <c r="D23" s="11"/>
      <c r="E23" s="45"/>
    </row>
    <row r="25" spans="1:14" s="1" customFormat="1" x14ac:dyDescent="0.35">
      <c r="A25" s="175" t="s">
        <v>35</v>
      </c>
      <c r="B25" s="176" t="s">
        <v>48</v>
      </c>
      <c r="C25" s="176" t="s">
        <v>5</v>
      </c>
      <c r="D25" s="176" t="s">
        <v>6</v>
      </c>
      <c r="E25" s="176" t="s">
        <v>7</v>
      </c>
      <c r="F25" s="176" t="s">
        <v>8</v>
      </c>
      <c r="G25" s="176" t="s">
        <v>9</v>
      </c>
      <c r="H25" s="176" t="s">
        <v>10</v>
      </c>
      <c r="I25" s="176" t="s">
        <v>11</v>
      </c>
      <c r="J25" s="176" t="s">
        <v>12</v>
      </c>
      <c r="K25" s="176" t="s">
        <v>36</v>
      </c>
      <c r="L25" s="176" t="s">
        <v>37</v>
      </c>
      <c r="M25" s="176" t="s">
        <v>107</v>
      </c>
      <c r="N25" s="176" t="s">
        <v>172</v>
      </c>
    </row>
    <row r="26" spans="1:14" x14ac:dyDescent="0.35">
      <c r="A26" s="1" t="s">
        <v>44</v>
      </c>
      <c r="B26" s="1"/>
      <c r="C26" s="170">
        <v>12.4</v>
      </c>
      <c r="D26" s="170">
        <v>12.4</v>
      </c>
      <c r="E26" s="170">
        <v>12.4</v>
      </c>
      <c r="F26" s="170">
        <v>12.4</v>
      </c>
      <c r="G26" s="170">
        <v>12.4</v>
      </c>
      <c r="H26" s="170">
        <v>12.4</v>
      </c>
      <c r="I26" s="170">
        <v>14.4</v>
      </c>
      <c r="J26" s="170">
        <v>14.4</v>
      </c>
      <c r="K26" s="170">
        <v>14.4</v>
      </c>
      <c r="L26" s="170">
        <v>14.4</v>
      </c>
    </row>
    <row r="27" spans="1:14" x14ac:dyDescent="0.35">
      <c r="A27" s="1" t="s">
        <v>121</v>
      </c>
      <c r="B27" s="1"/>
      <c r="C27" s="169">
        <f>IF(C$26&lt;&gt;"",0.8,"")</f>
        <v>0.8</v>
      </c>
      <c r="D27" s="169">
        <f t="shared" ref="D27:L27" si="0">IF(D$26&lt;&gt;"",0.8,"")</f>
        <v>0.8</v>
      </c>
      <c r="E27" s="169">
        <f t="shared" si="0"/>
        <v>0.8</v>
      </c>
      <c r="F27" s="169">
        <f t="shared" si="0"/>
        <v>0.8</v>
      </c>
      <c r="G27" s="169">
        <f t="shared" si="0"/>
        <v>0.8</v>
      </c>
      <c r="H27" s="169">
        <f t="shared" si="0"/>
        <v>0.8</v>
      </c>
      <c r="I27" s="169">
        <f t="shared" si="0"/>
        <v>0.8</v>
      </c>
      <c r="J27" s="169">
        <f t="shared" si="0"/>
        <v>0.8</v>
      </c>
      <c r="K27" s="169">
        <f t="shared" si="0"/>
        <v>0.8</v>
      </c>
      <c r="L27" s="169">
        <f t="shared" si="0"/>
        <v>0.8</v>
      </c>
    </row>
    <row r="28" spans="1:14" x14ac:dyDescent="0.35">
      <c r="A28" s="1" t="s">
        <v>305</v>
      </c>
      <c r="B28" s="1"/>
      <c r="C28" s="169">
        <f>IF(C$26&lt;&gt;"",0.6,"")</f>
        <v>0.6</v>
      </c>
      <c r="D28" s="169">
        <f t="shared" ref="D28:L28" si="1">IF(D$26&lt;&gt;"",0.6,"")</f>
        <v>0.6</v>
      </c>
      <c r="E28" s="169">
        <f t="shared" si="1"/>
        <v>0.6</v>
      </c>
      <c r="F28" s="169">
        <f t="shared" si="1"/>
        <v>0.6</v>
      </c>
      <c r="G28" s="169">
        <f t="shared" si="1"/>
        <v>0.6</v>
      </c>
      <c r="H28" s="169">
        <f t="shared" si="1"/>
        <v>0.6</v>
      </c>
      <c r="I28" s="169">
        <f t="shared" si="1"/>
        <v>0.6</v>
      </c>
      <c r="J28" s="169">
        <f t="shared" si="1"/>
        <v>0.6</v>
      </c>
      <c r="K28" s="169">
        <f t="shared" si="1"/>
        <v>0.6</v>
      </c>
      <c r="L28" s="169">
        <f t="shared" si="1"/>
        <v>0.6</v>
      </c>
    </row>
    <row r="29" spans="1:14" x14ac:dyDescent="0.35">
      <c r="A29" s="1" t="s">
        <v>124</v>
      </c>
      <c r="B29" s="114">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IF(A5="","","    "&amp;A5&amp;" Balance")</f>
        <v xml:space="preserve">    Upper Basin Balance</v>
      </c>
      <c r="B30" s="115">
        <f>B21-B23</f>
        <v>5.0734237499999999</v>
      </c>
      <c r="C30" s="112">
        <f>IF(OR(C$26="",$A30=""),"",B30)</f>
        <v>5.0734237499999999</v>
      </c>
      <c r="D30" s="14">
        <f ca="1">IF(OR(D$26="",$A30=""),"",C121)</f>
        <v>4.8040452368981788</v>
      </c>
      <c r="E30" s="14">
        <f t="shared" ref="E30:L30" ca="1" si="3">IF(OR(E$26="",$A30=""),"",D121)</f>
        <v>4.5419931728564817</v>
      </c>
      <c r="F30" s="14">
        <f t="shared" ca="1" si="3"/>
        <v>4.3056232546493094</v>
      </c>
      <c r="G30" s="14">
        <f t="shared" ca="1" si="3"/>
        <v>4.0774702074598084</v>
      </c>
      <c r="H30" s="14">
        <f t="shared" ca="1" si="3"/>
        <v>3.85719281347522</v>
      </c>
      <c r="I30" s="14">
        <f t="shared" ca="1" si="3"/>
        <v>3.6445551050330494</v>
      </c>
      <c r="J30" s="14">
        <f t="shared" ca="1" si="3"/>
        <v>4.9519284043853409</v>
      </c>
      <c r="K30" s="14">
        <f t="shared" ca="1" si="3"/>
        <v>6.1848350048055627</v>
      </c>
      <c r="L30" s="14">
        <f t="shared" ca="1" si="3"/>
        <v>7.3613409808086034</v>
      </c>
      <c r="N30" t="s">
        <v>177</v>
      </c>
    </row>
    <row r="31" spans="1:14" x14ac:dyDescent="0.35">
      <c r="A31" t="str">
        <f>IF(A6="","","    "&amp;A6&amp;" Balance")</f>
        <v xml:space="preserve">    Lower Basin Balance</v>
      </c>
      <c r="B31" s="115">
        <f>C21-C23-B32</f>
        <v>4.2614069999999993</v>
      </c>
      <c r="C31" s="112">
        <f t="shared" ref="C31:C35" si="4">IF(OR(C$26="",$A31=""),"",B31)</f>
        <v>4.2614069999999993</v>
      </c>
      <c r="D31" s="14">
        <f t="shared" ref="D31:L35" ca="1" si="5">IF(OR(D$26="",$A31=""),"",C122)</f>
        <v>3.2109815232907888</v>
      </c>
      <c r="E31" s="14">
        <f t="shared" ca="1" si="5"/>
        <v>2.1938054130006606</v>
      </c>
      <c r="F31" s="14">
        <f t="shared" ca="1" si="5"/>
        <v>1.5979005802175585</v>
      </c>
      <c r="G31" s="14">
        <f t="shared" ca="1" si="5"/>
        <v>1.0206144277033102</v>
      </c>
      <c r="H31" s="14">
        <f t="shared" ca="1" si="5"/>
        <v>0.46100835996429268</v>
      </c>
      <c r="I31" s="14">
        <f t="shared" ca="1" si="5"/>
        <v>0</v>
      </c>
      <c r="J31" s="14">
        <f t="shared" ca="1" si="5"/>
        <v>9.1288800524318425E-2</v>
      </c>
      <c r="K31" s="14">
        <f t="shared" ca="1" si="5"/>
        <v>7.9832364543001688E-2</v>
      </c>
      <c r="L31" s="14">
        <f t="shared" ca="1" si="5"/>
        <v>8.6083721142300007E-2</v>
      </c>
      <c r="N31" t="s">
        <v>174</v>
      </c>
    </row>
    <row r="32" spans="1:14" x14ac:dyDescent="0.35">
      <c r="A32" t="str">
        <f>IF(A7="","","    "&amp;A7&amp;" Balance")</f>
        <v xml:space="preserve">    Mexico Balance</v>
      </c>
      <c r="B32" s="116">
        <v>0.17399999999999999</v>
      </c>
      <c r="C32" s="113">
        <f t="shared" si="4"/>
        <v>0.17399999999999999</v>
      </c>
      <c r="D32" s="52">
        <f t="shared" ca="1" si="5"/>
        <v>0.16557297647772518</v>
      </c>
      <c r="E32" s="52">
        <f t="shared" ca="1" si="5"/>
        <v>0.15735694647678922</v>
      </c>
      <c r="F32" s="52">
        <f t="shared" ca="1" si="5"/>
        <v>0.14931228563432986</v>
      </c>
      <c r="G32" s="52">
        <f t="shared" ca="1" si="5"/>
        <v>0.14154478800417558</v>
      </c>
      <c r="H32" s="14">
        <f t="shared" ca="1" si="5"/>
        <v>0.13404274739387745</v>
      </c>
      <c r="I32" s="14">
        <f t="shared" ca="1" si="5"/>
        <v>0.1267980923965879</v>
      </c>
      <c r="J32" s="14">
        <f t="shared" ca="1" si="5"/>
        <v>0.11982386668781775</v>
      </c>
      <c r="K32" s="14">
        <f t="shared" ca="1" si="5"/>
        <v>0.11346171941498073</v>
      </c>
      <c r="L32" s="14">
        <f t="shared" ca="1" si="5"/>
        <v>0.10760361147988062</v>
      </c>
      <c r="N32" t="s">
        <v>173</v>
      </c>
    </row>
    <row r="33" spans="1:14" x14ac:dyDescent="0.35">
      <c r="A33" t="str">
        <f>IF(A8="","","    "&amp;A8&amp;" Balance")</f>
        <v xml:space="preserve">    Shared, Reserve Balance</v>
      </c>
      <c r="B33" s="115">
        <f>SUM(B23:C23)</f>
        <v>11.59116925</v>
      </c>
      <c r="C33" s="112">
        <f t="shared" si="4"/>
        <v>11.59116925</v>
      </c>
      <c r="D33" s="14">
        <f t="shared" ca="1" si="5"/>
        <v>11.59116925</v>
      </c>
      <c r="E33" s="14">
        <f t="shared" ca="1" si="5"/>
        <v>11.59116925</v>
      </c>
      <c r="F33" s="14">
        <f t="shared" ca="1" si="5"/>
        <v>11.59116925</v>
      </c>
      <c r="G33" s="14">
        <f t="shared" ca="1" si="5"/>
        <v>11.59116925</v>
      </c>
      <c r="H33" s="14">
        <f t="shared" ca="1" si="5"/>
        <v>11.59116925</v>
      </c>
      <c r="I33" s="14">
        <f t="shared" ca="1" si="5"/>
        <v>11.59116925</v>
      </c>
      <c r="J33" s="14">
        <f t="shared" ca="1" si="5"/>
        <v>11.59116925</v>
      </c>
      <c r="K33" s="14">
        <f t="shared" ca="1" si="5"/>
        <v>11.59116925</v>
      </c>
      <c r="L33" s="14">
        <f t="shared" ca="1" si="5"/>
        <v>11.59116925</v>
      </c>
    </row>
    <row r="34" spans="1:14" x14ac:dyDescent="0.35">
      <c r="A34" t="str">
        <f>IF(A9="","","    "&amp;A9&amp;" Balance")</f>
        <v/>
      </c>
      <c r="B34" s="115"/>
      <c r="C34" s="112"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176</v>
      </c>
    </row>
    <row r="35" spans="1:14" x14ac:dyDescent="0.35">
      <c r="A35" t="str">
        <f>IF(A10="","","    "&amp;A10&amp;" Balance")</f>
        <v/>
      </c>
      <c r="B35" s="117"/>
      <c r="C35" s="112"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196</v>
      </c>
      <c r="C36"/>
    </row>
    <row r="37" spans="1:14" x14ac:dyDescent="0.35">
      <c r="A37" t="s">
        <v>113</v>
      </c>
      <c r="C37" s="14">
        <f>IF(C$26&lt;&gt;"",B21,"")</f>
        <v>11</v>
      </c>
      <c r="D37" s="14">
        <f ca="1">IF(D$26&lt;&gt;"",C129,"")</f>
        <v>9.8858844933333465</v>
      </c>
      <c r="E37" s="14">
        <f t="shared" ref="E37:L38" ca="1" si="6">IF(E$26&lt;&gt;"",D129,"")</f>
        <v>9.2421623911669659</v>
      </c>
      <c r="F37" s="14">
        <f t="shared" ca="1" si="6"/>
        <v>8.8220026852505988</v>
      </c>
      <c r="G37" s="14">
        <f t="shared" ca="1" si="6"/>
        <v>8.415399336583647</v>
      </c>
      <c r="H37" s="14">
        <f t="shared" ca="1" si="6"/>
        <v>8.0217065854166947</v>
      </c>
      <c r="I37" s="14">
        <f t="shared" ca="1" si="6"/>
        <v>7.6812612237148183</v>
      </c>
      <c r="J37" s="14">
        <f t="shared" ca="1" si="6"/>
        <v>8.3771051607987381</v>
      </c>
      <c r="K37" s="14">
        <f t="shared" ca="1" si="6"/>
        <v>8.9846491693817718</v>
      </c>
      <c r="L37" s="14">
        <f t="shared" ca="1" si="6"/>
        <v>9.573098781715391</v>
      </c>
    </row>
    <row r="38" spans="1:14" x14ac:dyDescent="0.35">
      <c r="A38" t="s">
        <v>114</v>
      </c>
      <c r="C38" s="14">
        <f>IF(C$26&lt;&gt;"",C21,"")</f>
        <v>10.1</v>
      </c>
      <c r="D38" s="14">
        <f ca="1">IF(D$26&lt;&gt;"",C130,"")</f>
        <v>9.8858844933333465</v>
      </c>
      <c r="E38" s="14">
        <f t="shared" ca="1" si="6"/>
        <v>9.2421623911669659</v>
      </c>
      <c r="F38" s="14">
        <f t="shared" ca="1" si="6"/>
        <v>8.8220026852505988</v>
      </c>
      <c r="G38" s="14">
        <f t="shared" ca="1" si="6"/>
        <v>8.415399336583647</v>
      </c>
      <c r="H38" s="14">
        <f t="shared" ca="1" si="6"/>
        <v>8.0217065854166947</v>
      </c>
      <c r="I38" s="14">
        <f t="shared" ca="1" si="6"/>
        <v>7.6812612237148183</v>
      </c>
      <c r="J38" s="14">
        <f t="shared" ca="1" si="6"/>
        <v>8.3771051607987381</v>
      </c>
      <c r="K38" s="14">
        <f t="shared" ca="1" si="6"/>
        <v>8.9846491693817718</v>
      </c>
      <c r="L38" s="14">
        <f t="shared" ca="1" si="6"/>
        <v>9.573098781715391</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IF(A5="","","    "&amp;A5&amp;" Share")</f>
        <v xml:space="preserve">    Upper Basin Share</v>
      </c>
      <c r="B40" s="1"/>
      <c r="C40" s="14">
        <f t="shared" ref="C40:L45" si="7">IF(OR(C$26="",$A40=""),"",C$39*C30/C$29)</f>
        <v>0.24571184643515467</v>
      </c>
      <c r="D40" s="14">
        <f t="shared" ca="1" si="7"/>
        <v>0.23838539737502931</v>
      </c>
      <c r="E40" s="14">
        <f t="shared" ca="1" si="7"/>
        <v>0.23220325154050594</v>
      </c>
      <c r="F40" s="14">
        <f t="shared" ca="1" si="7"/>
        <v>0.22398638052283681</v>
      </c>
      <c r="G40" s="14">
        <f t="shared" ca="1" si="7"/>
        <v>0.21611072731792424</v>
      </c>
      <c r="H40" s="14">
        <f t="shared" ca="1" si="7"/>
        <v>0.20847104177550577</v>
      </c>
      <c r="I40" s="14">
        <f t="shared" ca="1" si="7"/>
        <v>0.20046003398104176</v>
      </c>
      <c r="J40" s="14">
        <f t="shared" ca="1" si="7"/>
        <v>0.26292673291311247</v>
      </c>
      <c r="K40" s="14">
        <f t="shared" ca="1" si="7"/>
        <v>0.31932735733029216</v>
      </c>
      <c r="L40" s="14">
        <f t="shared" ca="1" si="7"/>
        <v>0.37073625016921746</v>
      </c>
    </row>
    <row r="41" spans="1:14" x14ac:dyDescent="0.35">
      <c r="A41" t="str">
        <f>IF(A6="","","    "&amp;A6&amp;" Share")</f>
        <v xml:space="preserve">    Lower Basin Share</v>
      </c>
      <c r="B41" s="1"/>
      <c r="C41" s="14">
        <f t="shared" si="7"/>
        <v>0.20638492544244763</v>
      </c>
      <c r="D41" s="14">
        <f t="shared" ca="1" si="7"/>
        <v>0.15933469995544408</v>
      </c>
      <c r="E41" s="14">
        <f t="shared" ca="1" si="7"/>
        <v>0.11215533153819036</v>
      </c>
      <c r="F41" s="14">
        <f t="shared" ca="1" si="7"/>
        <v>8.3125704742465487E-2</v>
      </c>
      <c r="G41" s="14">
        <f t="shared" ca="1" si="7"/>
        <v>5.4093767718670333E-2</v>
      </c>
      <c r="H41" s="14">
        <f t="shared" ca="1" si="7"/>
        <v>2.4916279200049612E-2</v>
      </c>
      <c r="I41" s="14">
        <f t="shared" ca="1" si="7"/>
        <v>0</v>
      </c>
      <c r="J41" s="14">
        <f t="shared" ca="1" si="7"/>
        <v>4.8470543419327078E-3</v>
      </c>
      <c r="K41" s="14">
        <f t="shared" ca="1" si="7"/>
        <v>4.1218008207393846E-3</v>
      </c>
      <c r="L41" s="14">
        <f t="shared" ca="1" si="7"/>
        <v>4.3353997675302999E-3</v>
      </c>
    </row>
    <row r="42" spans="1:14" x14ac:dyDescent="0.35">
      <c r="A42" t="str">
        <f>IF(A7="","","    "&amp;A7&amp;" Share")</f>
        <v xml:space="preserve">    Mexico Share</v>
      </c>
      <c r="B42" s="1"/>
      <c r="C42" s="14">
        <f t="shared" si="7"/>
        <v>8.4270235222746598E-3</v>
      </c>
      <c r="D42" s="14">
        <f t="shared" ca="1" si="7"/>
        <v>8.2160300009359519E-3</v>
      </c>
      <c r="E42" s="14">
        <f t="shared" ca="1" si="7"/>
        <v>8.0446608424592572E-3</v>
      </c>
      <c r="F42" s="14">
        <f t="shared" ca="1" si="7"/>
        <v>7.767497630154243E-3</v>
      </c>
      <c r="G42" s="14">
        <f t="shared" ca="1" si="7"/>
        <v>7.5020406102980219E-3</v>
      </c>
      <c r="H42" s="14">
        <f t="shared" ca="1" si="7"/>
        <v>7.244654997289551E-3</v>
      </c>
      <c r="I42" s="14">
        <f t="shared" ca="1" si="7"/>
        <v>6.9742257087702306E-3</v>
      </c>
      <c r="J42" s="14">
        <f t="shared" ca="1" si="7"/>
        <v>6.3621472728369963E-3</v>
      </c>
      <c r="K42" s="14">
        <f t="shared" ca="1" si="7"/>
        <v>5.8581079351001921E-3</v>
      </c>
      <c r="L42" s="14">
        <f t="shared" ca="1" si="7"/>
        <v>5.419197334930995E-3</v>
      </c>
    </row>
    <row r="43" spans="1:14" x14ac:dyDescent="0.35">
      <c r="A43" t="str">
        <f>IF(A8="","","    "&amp;A8&amp;" Share")</f>
        <v xml:space="preserve">    Shared, Reserve Share</v>
      </c>
      <c r="B43" s="1"/>
      <c r="C43" s="14">
        <f t="shared" si="7"/>
        <v>0.56137388460009618</v>
      </c>
      <c r="D43" s="14">
        <f t="shared" ca="1" si="7"/>
        <v>0.57517474366801757</v>
      </c>
      <c r="E43" s="14">
        <f t="shared" ca="1" si="7"/>
        <v>0.59258283457824434</v>
      </c>
      <c r="F43" s="14">
        <f t="shared" ca="1" si="7"/>
        <v>0.60299378110511659</v>
      </c>
      <c r="G43" s="14">
        <f t="shared" ca="1" si="7"/>
        <v>0.61434563335368053</v>
      </c>
      <c r="H43" s="14">
        <f t="shared" ca="1" si="7"/>
        <v>0.62647195662655508</v>
      </c>
      <c r="I43" s="14">
        <f t="shared" ca="1" si="7"/>
        <v>0.63754453280901513</v>
      </c>
      <c r="J43" s="14">
        <f t="shared" ca="1" si="7"/>
        <v>0.61544271497271774</v>
      </c>
      <c r="K43" s="14">
        <f t="shared" ca="1" si="7"/>
        <v>0.59846017591329537</v>
      </c>
      <c r="L43" s="14">
        <f t="shared" ca="1" si="7"/>
        <v>0.58376138722889448</v>
      </c>
    </row>
    <row r="44" spans="1:14" x14ac:dyDescent="0.35">
      <c r="A44" t="str">
        <f>IF(A9="","","    "&amp;A9&amp;" Share")</f>
        <v/>
      </c>
      <c r="B44" s="1"/>
      <c r="C44" s="14" t="str">
        <f t="shared" si="7"/>
        <v/>
      </c>
      <c r="D44" s="14" t="str">
        <f t="shared" si="7"/>
        <v/>
      </c>
      <c r="E44" s="14" t="str">
        <f t="shared" si="7"/>
        <v/>
      </c>
      <c r="F44" s="14" t="str">
        <f t="shared" si="7"/>
        <v/>
      </c>
      <c r="G44" s="14" t="str">
        <f t="shared" si="7"/>
        <v/>
      </c>
      <c r="H44" s="14" t="str">
        <f t="shared" si="7"/>
        <v/>
      </c>
      <c r="I44" s="14" t="str">
        <f t="shared" si="7"/>
        <v/>
      </c>
      <c r="J44" s="14" t="str">
        <f t="shared" si="7"/>
        <v/>
      </c>
      <c r="K44" s="14" t="str">
        <f t="shared" si="7"/>
        <v/>
      </c>
      <c r="L44" s="14" t="str">
        <f t="shared" si="7"/>
        <v/>
      </c>
    </row>
    <row r="45" spans="1:14" x14ac:dyDescent="0.35">
      <c r="A45" t="str">
        <f>IF(A10="","","    "&amp;A10&amp;" Share")</f>
        <v/>
      </c>
      <c r="B45" s="1"/>
      <c r="C45" s="14" t="str">
        <f t="shared" si="7"/>
        <v/>
      </c>
      <c r="D45" s="14" t="str">
        <f t="shared" si="7"/>
        <v/>
      </c>
      <c r="E45" s="14" t="str">
        <f t="shared" si="7"/>
        <v/>
      </c>
      <c r="F45" s="14" t="str">
        <f t="shared" si="7"/>
        <v/>
      </c>
      <c r="G45" s="14" t="str">
        <f t="shared" si="7"/>
        <v/>
      </c>
      <c r="H45" s="14" t="str">
        <f t="shared" si="7"/>
        <v/>
      </c>
      <c r="I45" s="14" t="str">
        <f t="shared" si="7"/>
        <v/>
      </c>
      <c r="J45" s="14" t="str">
        <f t="shared" si="7"/>
        <v/>
      </c>
      <c r="K45" s="14" t="str">
        <f t="shared" si="7"/>
        <v/>
      </c>
      <c r="L45" s="14" t="str">
        <f t="shared" si="7"/>
        <v/>
      </c>
    </row>
    <row r="46" spans="1:14" x14ac:dyDescent="0.35">
      <c r="A46" s="1" t="s">
        <v>259</v>
      </c>
      <c r="B46" s="75"/>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306</v>
      </c>
      <c r="B47" s="1"/>
      <c r="C47" s="51">
        <f>IF(C26="","",SUM(C26:C27)-C28)</f>
        <v>12.600000000000001</v>
      </c>
      <c r="D47" s="51">
        <f t="shared" ref="D47:L47" si="8">IF(D26="","",SUM(D26:D27)-D28)</f>
        <v>12.600000000000001</v>
      </c>
      <c r="E47" s="14">
        <f t="shared" si="8"/>
        <v>12.600000000000001</v>
      </c>
      <c r="F47" s="51">
        <f t="shared" si="8"/>
        <v>12.600000000000001</v>
      </c>
      <c r="G47" s="51">
        <f t="shared" si="8"/>
        <v>12.600000000000001</v>
      </c>
      <c r="H47" s="51">
        <f t="shared" si="8"/>
        <v>12.600000000000001</v>
      </c>
      <c r="I47" s="51">
        <f t="shared" si="8"/>
        <v>14.600000000000001</v>
      </c>
      <c r="J47" s="51">
        <f t="shared" si="8"/>
        <v>14.600000000000001</v>
      </c>
      <c r="K47" s="51">
        <f t="shared" si="8"/>
        <v>14.600000000000001</v>
      </c>
      <c r="L47" s="51">
        <f t="shared" si="8"/>
        <v>14.600000000000001</v>
      </c>
      <c r="M47" s="45"/>
      <c r="N47" s="45"/>
    </row>
    <row r="48" spans="1:14" x14ac:dyDescent="0.35">
      <c r="A48" t="str">
        <f>IF(A5="","","    To "&amp;A5)</f>
        <v xml:space="preserve">    To Upper Basin</v>
      </c>
      <c r="B48" s="163" t="s">
        <v>147</v>
      </c>
      <c r="C48" s="112">
        <f>IF(OR(C$26="",$A48=""),"",IF(C$26&gt;SUM(MIN($B49,C26-C50/2)+C50/2),C$26-SUM(MIN($B49,C26-C50/2)+C50/2),0))</f>
        <v>4.1763333333333339</v>
      </c>
      <c r="D48" s="112">
        <f t="shared" ref="D48:L48" ca="1" si="9">IF(OR(D$26="",$A48=""),"",IF(D$26&gt;SUM(MIN($B49,D26-D50/2)+D50/2),D$26-SUM(MIN($B49,D26-D50/2)+D50/2),0))</f>
        <v>4.1763333333333339</v>
      </c>
      <c r="E48" s="112">
        <f t="shared" ca="1" si="9"/>
        <v>4.1958333333333346</v>
      </c>
      <c r="F48" s="112">
        <f t="shared" ca="1" si="9"/>
        <v>4.1958333333333346</v>
      </c>
      <c r="G48" s="112">
        <f t="shared" ca="1" si="9"/>
        <v>4.1958333333333346</v>
      </c>
      <c r="H48" s="112">
        <f t="shared" ca="1" si="9"/>
        <v>4.1958333333333346</v>
      </c>
      <c r="I48" s="112">
        <f t="shared" ca="1" si="9"/>
        <v>6.2078333333333333</v>
      </c>
      <c r="J48" s="112">
        <f t="shared" ca="1" si="9"/>
        <v>6.1958333333333346</v>
      </c>
      <c r="K48" s="112">
        <f t="shared" ca="1" si="9"/>
        <v>6.1958333333333346</v>
      </c>
      <c r="L48" s="112">
        <f t="shared" ca="1" si="9"/>
        <v>6.1958333333333346</v>
      </c>
      <c r="M48" s="29"/>
      <c r="N48" s="29"/>
    </row>
    <row r="49" spans="1:14" x14ac:dyDescent="0.35">
      <c r="A49" t="str">
        <f>IF(A6="","","    To "&amp;A6)</f>
        <v xml:space="preserve">    To Lower Basin</v>
      </c>
      <c r="B49" s="164">
        <f>7.5</f>
        <v>7.5</v>
      </c>
      <c r="C49" s="112">
        <f>IF(OR(C$26="",$A49=""),"",C27-C28-C51-C50/2+MIN($B49,C26-C50/2))</f>
        <v>6.4149594487332369</v>
      </c>
      <c r="D49" s="112">
        <f t="shared" ref="D49:L49" ca="1" si="10">IF(OR(D$26="",$A49=""),"",D27-D28-D51-D50/2+MIN($B49,D26-D50/2))</f>
        <v>6.4011585896653163</v>
      </c>
      <c r="E49" s="112">
        <f t="shared" ca="1" si="10"/>
        <v>6.4032504987550887</v>
      </c>
      <c r="F49" s="112">
        <f t="shared" ca="1" si="10"/>
        <v>6.3928395522282173</v>
      </c>
      <c r="G49" s="112">
        <f t="shared" ca="1" si="10"/>
        <v>6.3814876999796528</v>
      </c>
      <c r="H49" s="112">
        <f t="shared" ca="1" si="10"/>
        <v>6.3693613767067783</v>
      </c>
      <c r="I49" s="112">
        <f t="shared" ca="1" si="10"/>
        <v>6.3702888005243183</v>
      </c>
      <c r="J49" s="112">
        <f t="shared" ca="1" si="10"/>
        <v>6.3803906183606163</v>
      </c>
      <c r="K49" s="112">
        <f t="shared" ca="1" si="10"/>
        <v>6.3973731574200379</v>
      </c>
      <c r="L49" s="112">
        <f t="shared" ca="1" si="10"/>
        <v>6.4120719461044384</v>
      </c>
      <c r="M49" s="29"/>
      <c r="N49" s="29"/>
    </row>
    <row r="50" spans="1:14" x14ac:dyDescent="0.35">
      <c r="A50" t="str">
        <f>IF(A7="","","    To "&amp;A7)</f>
        <v xml:space="preserve">    To Mexico</v>
      </c>
      <c r="B50" s="164" t="s">
        <v>185</v>
      </c>
      <c r="C50" s="112">
        <f>IF(OR(C$26="",$A50=""),"",IF(C$47&gt;SUM(C51:C52,C46),C46,C$47-SUM(C51:C52)))</f>
        <v>1.4473333333333334</v>
      </c>
      <c r="D50" s="112">
        <f t="shared" ref="D50:L50" ca="1" si="11">IF(OR(D$26="",$A50=""),"",IF(D$47&gt;SUM(D51:D52,D46),D46,D$47-SUM(D51:D52)))</f>
        <v>1.4473333333333334</v>
      </c>
      <c r="E50" s="112">
        <f t="shared" ca="1" si="11"/>
        <v>1.4083333333333332</v>
      </c>
      <c r="F50" s="112">
        <f t="shared" ca="1" si="11"/>
        <v>1.4083333333333332</v>
      </c>
      <c r="G50" s="112">
        <f t="shared" ca="1" si="11"/>
        <v>1.4083333333333332</v>
      </c>
      <c r="H50" s="112">
        <f t="shared" ca="1" si="11"/>
        <v>1.4083333333333332</v>
      </c>
      <c r="I50" s="112">
        <f t="shared" ca="1" si="11"/>
        <v>1.3843333333333332</v>
      </c>
      <c r="J50" s="112">
        <f t="shared" ca="1" si="11"/>
        <v>1.4083333333333332</v>
      </c>
      <c r="K50" s="112">
        <f t="shared" ca="1" si="11"/>
        <v>1.4083333333333332</v>
      </c>
      <c r="L50" s="112">
        <f t="shared" ca="1" si="11"/>
        <v>1.4083333333333332</v>
      </c>
      <c r="M50" s="29"/>
      <c r="N50" s="29"/>
    </row>
    <row r="51" spans="1:14" x14ac:dyDescent="0.35">
      <c r="A51" t="str">
        <f>IF(A8="","","    To "&amp;A8)</f>
        <v xml:space="preserve">    To Shared, Reserve</v>
      </c>
      <c r="B51" s="164" t="s">
        <v>184</v>
      </c>
      <c r="C51" s="112">
        <f>IF(OR(C$26="",$A51=""),"",IF(C$47&gt;C43,C43,C47))</f>
        <v>0.56137388460009618</v>
      </c>
      <c r="D51" s="112">
        <f t="shared" ref="D51:L51" ca="1" si="12">IF(OR(D$26="",$A51=""),"",IF(D$47&gt;D43,D43,D47))</f>
        <v>0.57517474366801757</v>
      </c>
      <c r="E51" s="112">
        <f t="shared" ca="1" si="12"/>
        <v>0.59258283457824434</v>
      </c>
      <c r="F51" s="112">
        <f t="shared" ca="1" si="12"/>
        <v>0.60299378110511659</v>
      </c>
      <c r="G51" s="112">
        <f t="shared" ca="1" si="12"/>
        <v>0.61434563335368053</v>
      </c>
      <c r="H51" s="112">
        <f t="shared" ca="1" si="12"/>
        <v>0.62647195662655508</v>
      </c>
      <c r="I51" s="112">
        <f t="shared" ca="1" si="12"/>
        <v>0.63754453280901513</v>
      </c>
      <c r="J51" s="112">
        <f t="shared" ca="1" si="12"/>
        <v>0.61544271497271774</v>
      </c>
      <c r="K51" s="112">
        <f t="shared" ca="1" si="12"/>
        <v>0.59846017591329537</v>
      </c>
      <c r="L51" s="112">
        <f t="shared" ca="1" si="12"/>
        <v>0.58376138722889448</v>
      </c>
      <c r="M51" s="29"/>
      <c r="N51" s="29"/>
    </row>
    <row r="52" spans="1:14" x14ac:dyDescent="0.35">
      <c r="A52" t="str">
        <f>IF(A9="","","    To "&amp;A9)</f>
        <v/>
      </c>
      <c r="B52" s="164"/>
      <c r="C52" s="112"/>
      <c r="D52" s="112"/>
      <c r="E52" s="112"/>
      <c r="F52" s="112"/>
      <c r="G52" s="112"/>
      <c r="H52" s="112"/>
      <c r="I52" s="112"/>
      <c r="J52" s="112"/>
      <c r="K52" s="112"/>
      <c r="L52" s="112"/>
      <c r="M52" s="29"/>
      <c r="N52" s="29"/>
    </row>
    <row r="53" spans="1:14" x14ac:dyDescent="0.35">
      <c r="A53" t="str">
        <f>IF(A10="","","    To "&amp;A10)</f>
        <v/>
      </c>
      <c r="B53" s="164"/>
      <c r="C53" s="113"/>
      <c r="D53" s="113"/>
      <c r="E53" s="113"/>
      <c r="F53" s="113"/>
      <c r="G53" s="113"/>
      <c r="H53" s="113"/>
      <c r="I53" s="113"/>
      <c r="J53" s="113"/>
      <c r="K53" s="113"/>
      <c r="L53" s="113"/>
      <c r="M53" s="29"/>
      <c r="N53" s="29"/>
    </row>
    <row r="54" spans="1:14" x14ac:dyDescent="0.35">
      <c r="C54" s="45"/>
      <c r="D54" s="45"/>
      <c r="E54" s="45"/>
      <c r="F54" s="45"/>
      <c r="G54" s="45"/>
    </row>
    <row r="55" spans="1:14" x14ac:dyDescent="0.35">
      <c r="A55" s="171" t="s">
        <v>181</v>
      </c>
      <c r="B55" s="171"/>
      <c r="C55" s="171"/>
      <c r="D55" s="171"/>
      <c r="E55" s="171"/>
      <c r="F55" s="171"/>
      <c r="G55" s="171"/>
      <c r="H55" s="171"/>
      <c r="I55" s="171"/>
      <c r="J55" s="171"/>
      <c r="K55" s="171"/>
      <c r="L55" s="171"/>
      <c r="M55" s="171"/>
      <c r="N55" s="171"/>
    </row>
    <row r="56" spans="1:14" x14ac:dyDescent="0.35">
      <c r="A56" s="172" t="str">
        <f>IF(A$5="[Unused]","",A5)</f>
        <v>Upper Basin</v>
      </c>
      <c r="B56" s="172"/>
      <c r="C56" s="172"/>
      <c r="D56" s="172"/>
      <c r="E56" s="172"/>
      <c r="F56" s="172"/>
      <c r="G56" s="172"/>
      <c r="H56" s="172"/>
      <c r="I56" s="172"/>
      <c r="J56" s="172"/>
      <c r="K56" s="172"/>
      <c r="L56" s="172"/>
      <c r="M56" s="173" t="s">
        <v>107</v>
      </c>
      <c r="N56" s="172" t="s">
        <v>172</v>
      </c>
    </row>
    <row r="57" spans="1:14" x14ac:dyDescent="0.35">
      <c r="A57" s="32" t="str">
        <f>IF(A56="[Unused]","","   Volume of Sales(+) and Purchases(-) [maf]")</f>
        <v xml:space="preserve">   Volume of Sales(+) and Purchases(-) [maf]</v>
      </c>
      <c r="C57" s="159"/>
      <c r="D57" s="159"/>
      <c r="E57" s="159"/>
      <c r="F57" s="159"/>
      <c r="G57" s="159"/>
      <c r="H57" s="159"/>
      <c r="I57" s="159">
        <v>0.5</v>
      </c>
      <c r="J57" s="159">
        <v>0.5</v>
      </c>
      <c r="K57" s="159">
        <v>0.5</v>
      </c>
      <c r="L57" s="159">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60"/>
      <c r="D58" s="160"/>
      <c r="E58" s="160"/>
      <c r="F58" s="159"/>
      <c r="G58" s="160"/>
      <c r="H58" s="160"/>
      <c r="I58" s="160">
        <f>350*I57</f>
        <v>175</v>
      </c>
      <c r="J58" s="160">
        <f t="shared" ref="J58:L58" si="13">350*J57</f>
        <v>175</v>
      </c>
      <c r="K58" s="160">
        <f t="shared" si="13"/>
        <v>175</v>
      </c>
      <c r="L58" s="160">
        <f t="shared" si="13"/>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4">IF(OR(C$26="",$A59=""),"",C$112)</f>
        <v>0</v>
      </c>
      <c r="D59" s="67">
        <f t="shared" ca="1" si="14"/>
        <v>0</v>
      </c>
      <c r="E59" s="67">
        <f t="shared" ca="1" si="14"/>
        <v>0</v>
      </c>
      <c r="F59" s="67">
        <f t="shared" ca="1" si="14"/>
        <v>0</v>
      </c>
      <c r="G59" s="67">
        <f t="shared" ca="1" si="14"/>
        <v>0</v>
      </c>
      <c r="H59" s="67">
        <f t="shared" ca="1" si="14"/>
        <v>0</v>
      </c>
      <c r="I59" s="67">
        <f t="shared" ca="1" si="14"/>
        <v>0</v>
      </c>
      <c r="J59" s="67">
        <f t="shared" ca="1" si="14"/>
        <v>0</v>
      </c>
      <c r="K59" s="67">
        <f t="shared" ca="1" si="14"/>
        <v>0</v>
      </c>
      <c r="L59" s="67">
        <f t="shared" ca="1" si="14"/>
        <v>0</v>
      </c>
      <c r="M59" t="str">
        <f t="shared" si="14"/>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5">IF(OR(D$26="",$A60=""),"",D30+D48-D40-D57)</f>
        <v>8.7419931728564819</v>
      </c>
      <c r="E60" s="14">
        <f t="shared" ca="1" si="15"/>
        <v>8.5056232546493096</v>
      </c>
      <c r="F60" s="14">
        <f t="shared" ca="1" si="15"/>
        <v>8.2774702074598085</v>
      </c>
      <c r="G60" s="14">
        <f t="shared" ca="1" si="15"/>
        <v>8.0571928134752202</v>
      </c>
      <c r="H60" s="14">
        <f t="shared" ca="1" si="15"/>
        <v>7.8445551050330495</v>
      </c>
      <c r="I60" s="14">
        <f t="shared" ca="1" si="15"/>
        <v>9.1519284043853411</v>
      </c>
      <c r="J60" s="14">
        <f t="shared" ca="1" si="15"/>
        <v>10.384835004805563</v>
      </c>
      <c r="K60" s="14">
        <f t="shared" ca="1" si="15"/>
        <v>11.561340980808604</v>
      </c>
      <c r="L60" s="14">
        <f t="shared" ca="1" si="15"/>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61">
        <f>IF(C60&gt;4.2,4.2,MAX(C60,0))</f>
        <v>4.2</v>
      </c>
      <c r="D61" s="161">
        <f t="shared" ref="D61:L61" ca="1" si="16">IF(D60&gt;4.2,4.2,MAX(D60,0))</f>
        <v>4.2</v>
      </c>
      <c r="E61" s="161">
        <f t="shared" ca="1" si="16"/>
        <v>4.2</v>
      </c>
      <c r="F61" s="161">
        <f t="shared" ca="1" si="16"/>
        <v>4.2</v>
      </c>
      <c r="G61" s="161">
        <f t="shared" ca="1" si="16"/>
        <v>4.2</v>
      </c>
      <c r="H61" s="161">
        <f t="shared" ca="1" si="16"/>
        <v>4.2</v>
      </c>
      <c r="I61" s="161">
        <f t="shared" ca="1" si="16"/>
        <v>4.2</v>
      </c>
      <c r="J61" s="161">
        <f t="shared" ca="1" si="16"/>
        <v>4.2</v>
      </c>
      <c r="K61" s="161">
        <f t="shared" ca="1" si="16"/>
        <v>4.2</v>
      </c>
      <c r="L61" s="161">
        <f t="shared" ca="1" si="16"/>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17">IF(OR(D$26="",$A62=""),"",D60-D61)</f>
        <v>4.5419931728564817</v>
      </c>
      <c r="E62" s="66">
        <f t="shared" ca="1" si="17"/>
        <v>4.3056232546493094</v>
      </c>
      <c r="F62" s="66">
        <f t="shared" ca="1" si="17"/>
        <v>4.0774702074598084</v>
      </c>
      <c r="G62" s="66">
        <f t="shared" ca="1" si="17"/>
        <v>3.85719281347522</v>
      </c>
      <c r="H62" s="66">
        <f t="shared" ca="1" si="17"/>
        <v>3.6445551050330494</v>
      </c>
      <c r="I62" s="66">
        <f t="shared" ca="1" si="17"/>
        <v>4.9519284043853409</v>
      </c>
      <c r="J62" s="66">
        <f t="shared" ca="1" si="17"/>
        <v>6.1848350048055627</v>
      </c>
      <c r="K62" s="66">
        <f t="shared" ca="1" si="17"/>
        <v>7.3613409808086034</v>
      </c>
      <c r="L62" s="66">
        <f t="shared" ca="1" si="17"/>
        <v>8.4864380639727202</v>
      </c>
      <c r="N62" t="str">
        <f>IF(A62="","","Available water - Account Withdraw")</f>
        <v>Available water - Account Withdraw</v>
      </c>
    </row>
    <row r="63" spans="1:14" x14ac:dyDescent="0.35">
      <c r="C63"/>
    </row>
    <row r="64" spans="1:14" x14ac:dyDescent="0.35">
      <c r="A64" s="172" t="str">
        <f>IF(A$6="","[Unused]",A6)</f>
        <v>Lower Basin</v>
      </c>
      <c r="B64" s="172"/>
      <c r="C64" s="172"/>
      <c r="D64" s="172"/>
      <c r="E64" s="172"/>
      <c r="F64" s="172"/>
      <c r="G64" s="172"/>
      <c r="H64" s="172"/>
      <c r="I64" s="172"/>
      <c r="J64" s="172"/>
      <c r="K64" s="172"/>
      <c r="L64" s="172"/>
      <c r="M64" s="173" t="s">
        <v>107</v>
      </c>
      <c r="N64" s="172" t="s">
        <v>172</v>
      </c>
    </row>
    <row r="65" spans="1:14" x14ac:dyDescent="0.35">
      <c r="A65" s="32" t="str">
        <f>IF(A64="[Unused]","","   Volume of Sales(+) and Purchases(-) [maf]")</f>
        <v xml:space="preserve">   Volume of Sales(+) and Purchases(-) [maf]</v>
      </c>
      <c r="C65" s="159"/>
      <c r="D65" s="159"/>
      <c r="E65" s="159"/>
      <c r="F65" s="159"/>
      <c r="G65" s="159"/>
      <c r="H65" s="159"/>
      <c r="I65" s="159">
        <f>-I57</f>
        <v>-0.5</v>
      </c>
      <c r="J65" s="159">
        <f t="shared" ref="J65:L65" si="18">-J57</f>
        <v>-0.5</v>
      </c>
      <c r="K65" s="159">
        <f t="shared" si="18"/>
        <v>-0.5</v>
      </c>
      <c r="L65" s="159">
        <f t="shared" si="18"/>
        <v>-0.5</v>
      </c>
      <c r="M65" s="67">
        <f>SUM(C65:L65)</f>
        <v>-2</v>
      </c>
      <c r="N65" t="str">
        <f>IF(A65="","",N57)</f>
        <v>Add if multiple transactions, e.g.: 0.5 + 0.25</v>
      </c>
    </row>
    <row r="66" spans="1:14" x14ac:dyDescent="0.35">
      <c r="A66" s="32" t="str">
        <f>IF(A65="","","   Cash Intake(+) and Payments(-) [$ Mill]")</f>
        <v xml:space="preserve">   Cash Intake(+) and Payments(-) [$ Mill]</v>
      </c>
      <c r="C66" s="160"/>
      <c r="D66" s="160"/>
      <c r="E66" s="160"/>
      <c r="F66" s="160"/>
      <c r="G66" s="160"/>
      <c r="H66" s="160"/>
      <c r="I66" s="159">
        <f>-I58</f>
        <v>-175</v>
      </c>
      <c r="J66" s="159">
        <f t="shared" ref="J66:L66" si="19">-J58</f>
        <v>-175</v>
      </c>
      <c r="K66" s="159">
        <f t="shared" si="19"/>
        <v>-175</v>
      </c>
      <c r="L66" s="159">
        <f t="shared" si="19"/>
        <v>-175</v>
      </c>
      <c r="M66" s="65">
        <f>SUM(C66:L66)</f>
        <v>-700</v>
      </c>
      <c r="N66" t="str">
        <f t="shared" ref="N66:N70" si="20">IF(A66="","",N58)</f>
        <v>Add if multiple transactions, e.g.: $350*0.5 + $450*0.25</v>
      </c>
    </row>
    <row r="67" spans="1:14" x14ac:dyDescent="0.35">
      <c r="A67" s="32" t="str">
        <f>IF(A66="","","   Volume all players (should be zero)")</f>
        <v xml:space="preserve">   Volume all players (should be zero)</v>
      </c>
      <c r="C67" s="67">
        <f t="shared" ref="C67:M67" ca="1" si="21">IF(OR(C$26="",$A67=""),"",C$112)</f>
        <v>0</v>
      </c>
      <c r="D67" s="67">
        <f t="shared" ca="1" si="21"/>
        <v>0</v>
      </c>
      <c r="E67" s="67">
        <f t="shared" ca="1" si="21"/>
        <v>0</v>
      </c>
      <c r="F67" s="67">
        <f t="shared" ca="1" si="21"/>
        <v>0</v>
      </c>
      <c r="G67" s="67">
        <f t="shared" ca="1" si="21"/>
        <v>0</v>
      </c>
      <c r="H67" s="67">
        <f t="shared" ca="1" si="21"/>
        <v>0</v>
      </c>
      <c r="I67" s="67">
        <f t="shared" ca="1" si="21"/>
        <v>0</v>
      </c>
      <c r="J67" s="67">
        <f t="shared" ca="1" si="21"/>
        <v>0</v>
      </c>
      <c r="K67" s="67">
        <f t="shared" ca="1" si="21"/>
        <v>0</v>
      </c>
      <c r="L67" s="67">
        <f t="shared" ca="1" si="21"/>
        <v>0</v>
      </c>
      <c r="M67" t="str">
        <f t="shared" si="21"/>
        <v/>
      </c>
      <c r="N67" t="str">
        <f t="shared" si="20"/>
        <v>If non-zero, players need to change amount(s)</v>
      </c>
    </row>
    <row r="68" spans="1:14" x14ac:dyDescent="0.35">
      <c r="A68" s="1" t="str">
        <f>IF(A66="","","   Available Water [maf]")</f>
        <v xml:space="preserve">   Available Water [maf]</v>
      </c>
      <c r="C68" s="14">
        <f t="shared" ref="C68:L68" si="22">IF(OR(C$26="",$A68=""),"",C31+C49-C41-C65)</f>
        <v>10.469981523290789</v>
      </c>
      <c r="D68" s="14">
        <f t="shared" ca="1" si="22"/>
        <v>9.4528054130006609</v>
      </c>
      <c r="E68" s="14">
        <f t="shared" ca="1" si="22"/>
        <v>8.484900580217559</v>
      </c>
      <c r="F68" s="14">
        <f t="shared" ca="1" si="22"/>
        <v>7.9076144277033107</v>
      </c>
      <c r="G68" s="14">
        <f t="shared" ca="1" si="22"/>
        <v>7.3480083599642931</v>
      </c>
      <c r="H68" s="14">
        <f t="shared" ca="1" si="22"/>
        <v>6.805453457471021</v>
      </c>
      <c r="I68" s="14">
        <f t="shared" ca="1" si="22"/>
        <v>6.8702888005243183</v>
      </c>
      <c r="J68" s="14">
        <f t="shared" ca="1" si="22"/>
        <v>6.9668323645430021</v>
      </c>
      <c r="K68" s="14">
        <f t="shared" ca="1" si="22"/>
        <v>6.9730837211423005</v>
      </c>
      <c r="L68" s="14">
        <f t="shared" ca="1" si="22"/>
        <v>6.993820267479208</v>
      </c>
      <c r="N68" t="str">
        <f t="shared" si="20"/>
        <v>Available water = Account Balance + Available Inflow - Evaporation + Sales - Purchases</v>
      </c>
    </row>
    <row r="69" spans="1:14" x14ac:dyDescent="0.35">
      <c r="A69" s="1" t="str">
        <f>IF(A68="","","   Account Withdraw [maf]")</f>
        <v xml:space="preserve">   Account Withdraw [maf]</v>
      </c>
      <c r="C69" s="161">
        <f>IF(C27&lt;&gt;"",MIN(7.5-VLOOKUP(C38,LowerBasinCuts!$C$5:$P$13,14),C68),"")</f>
        <v>7.2590000000000003</v>
      </c>
      <c r="D69" s="161">
        <f ca="1">IF(D27&lt;&gt;"",MIN(7.5-VLOOKUP(D38,LowerBasinCuts!$C$5:$P$13,14),D68),"")</f>
        <v>7.2590000000000003</v>
      </c>
      <c r="E69" s="161">
        <f ca="1">IF(E27&lt;&gt;"",MIN(7.5-VLOOKUP(E38,LowerBasinCuts!$C$5:$P$13,14),E68),"")</f>
        <v>6.8870000000000005</v>
      </c>
      <c r="F69" s="161">
        <f ca="1">IF(F27&lt;&gt;"",MIN(7.5-VLOOKUP(F38,LowerBasinCuts!$C$5:$P$13,14),F68),"")</f>
        <v>6.8870000000000005</v>
      </c>
      <c r="G69" s="161">
        <f ca="1">IF(G27&lt;&gt;"",MIN(7.5-VLOOKUP(G38,LowerBasinCuts!$C$5:$P$13,14),G68),"")</f>
        <v>6.8870000000000005</v>
      </c>
      <c r="H69" s="161">
        <f ca="1">IF(H27&lt;&gt;"",MIN(7.5-VLOOKUP(H38,LowerBasinCuts!$C$5:$P$13,14),H68),"")</f>
        <v>6.805453457471021</v>
      </c>
      <c r="I69" s="161">
        <f ca="1">IF(I27&lt;&gt;"",MIN(7.5-VLOOKUP(I38,LowerBasinCuts!$C$5:$P$13,14),I68),"")</f>
        <v>6.7789999999999999</v>
      </c>
      <c r="J69" s="161">
        <f ca="1">IF(J27&lt;&gt;"",MIN(7.5-VLOOKUP(J38,LowerBasinCuts!$C$5:$P$13,14),J68),"")</f>
        <v>6.8870000000000005</v>
      </c>
      <c r="K69" s="161">
        <f ca="1">IF(K27&lt;&gt;"",MIN(7.5-VLOOKUP(K38,LowerBasinCuts!$C$5:$P$13,14),K68),"")</f>
        <v>6.8870000000000005</v>
      </c>
      <c r="L69" s="161">
        <f ca="1">IF(L27&lt;&gt;"",MIN(7.5-VLOOKUP(L38,LowerBasinCuts!$C$5:$P$13,14),L68),"")</f>
        <v>6.8870000000000005</v>
      </c>
      <c r="N69" t="str">
        <f t="shared" si="20"/>
        <v>Must be less than Available water</v>
      </c>
    </row>
    <row r="70" spans="1:14" x14ac:dyDescent="0.35">
      <c r="A70" s="32" t="str">
        <f>IF(A69="","","   End of Year Balance [maf]")</f>
        <v xml:space="preserve">   End of Year Balance [maf]</v>
      </c>
      <c r="C70" s="66">
        <f>IF(OR(C$26="",$A70=""),"",C68-C69)</f>
        <v>3.2109815232907888</v>
      </c>
      <c r="D70" s="66">
        <f t="shared" ref="D70:L70" ca="1" si="23">IF(OR(D$26="",$A70=""),"",D68-D69)</f>
        <v>2.1938054130006606</v>
      </c>
      <c r="E70" s="66">
        <f t="shared" ca="1" si="23"/>
        <v>1.5979005802175585</v>
      </c>
      <c r="F70" s="66">
        <f t="shared" ca="1" si="23"/>
        <v>1.0206144277033102</v>
      </c>
      <c r="G70" s="66">
        <f t="shared" ca="1" si="23"/>
        <v>0.46100835996429268</v>
      </c>
      <c r="H70" s="66">
        <f t="shared" ca="1" si="23"/>
        <v>0</v>
      </c>
      <c r="I70" s="66">
        <f t="shared" ca="1" si="23"/>
        <v>9.1288800524318425E-2</v>
      </c>
      <c r="J70" s="66">
        <f t="shared" ca="1" si="23"/>
        <v>7.9832364543001688E-2</v>
      </c>
      <c r="K70" s="66">
        <f t="shared" ca="1" si="23"/>
        <v>8.6083721142300007E-2</v>
      </c>
      <c r="L70" s="66">
        <f t="shared" ca="1" si="23"/>
        <v>0.10682026747920759</v>
      </c>
      <c r="N70" t="str">
        <f t="shared" si="20"/>
        <v>Available water - Account Withdraw</v>
      </c>
    </row>
    <row r="71" spans="1:14" x14ac:dyDescent="0.35">
      <c r="C71"/>
    </row>
    <row r="72" spans="1:14" x14ac:dyDescent="0.35">
      <c r="A72" s="172" t="str">
        <f>IF(A$7="","[Unused]",A7)</f>
        <v>Mexico</v>
      </c>
      <c r="B72" s="172"/>
      <c r="C72" s="172"/>
      <c r="D72" s="172"/>
      <c r="E72" s="172"/>
      <c r="F72" s="172"/>
      <c r="G72" s="172"/>
      <c r="H72" s="172"/>
      <c r="I72" s="172"/>
      <c r="J72" s="172"/>
      <c r="K72" s="172"/>
      <c r="L72" s="172"/>
      <c r="M72" s="173" t="s">
        <v>107</v>
      </c>
      <c r="N72" s="172" t="s">
        <v>172</v>
      </c>
    </row>
    <row r="73" spans="1:14" x14ac:dyDescent="0.35">
      <c r="A73" s="32" t="str">
        <f>IF(A72="[Unused]","","   Volume of Sales(+) and Purchases(-) [maf]")</f>
        <v xml:space="preserve">   Volume of Sales(+) and Purchases(-) [maf]</v>
      </c>
      <c r="C73" s="159"/>
      <c r="D73" s="159"/>
      <c r="E73" s="159"/>
      <c r="F73" s="159"/>
      <c r="G73" s="159"/>
      <c r="H73" s="159"/>
      <c r="I73" s="159"/>
      <c r="J73" s="159"/>
      <c r="K73" s="159"/>
      <c r="L73" s="159"/>
      <c r="M73" s="67">
        <f>SUM(C73:L73)</f>
        <v>0</v>
      </c>
      <c r="N73" t="str">
        <f>IF(A73="","",N65)</f>
        <v>Add if multiple transactions, e.g.: 0.5 + 0.25</v>
      </c>
    </row>
    <row r="74" spans="1:14" x14ac:dyDescent="0.35">
      <c r="A74" s="32" t="str">
        <f>IF(A73="","","   Cash Intake(+) and Payments(-) [$ Mill]")</f>
        <v xml:space="preserve">   Cash Intake(+) and Payments(-) [$ Mill]</v>
      </c>
      <c r="C74" s="160"/>
      <c r="D74" s="160"/>
      <c r="E74" s="160"/>
      <c r="F74" s="160"/>
      <c r="G74" s="160"/>
      <c r="H74" s="160"/>
      <c r="I74" s="160"/>
      <c r="J74" s="160"/>
      <c r="K74" s="160"/>
      <c r="L74" s="160"/>
      <c r="M74" s="65">
        <f>SUM(C74:L74)</f>
        <v>0</v>
      </c>
      <c r="N74" t="str">
        <f t="shared" ref="N74:N78" si="24">IF(A74="","",N66)</f>
        <v>Add if multiple transactions, e.g.: $350*0.5 + $450*0.25</v>
      </c>
    </row>
    <row r="75" spans="1:14" x14ac:dyDescent="0.35">
      <c r="A75" s="32" t="str">
        <f>IF(A74="","","   Volume all players (should be zero)")</f>
        <v xml:space="preserve">   Volume all players (should be zero)</v>
      </c>
      <c r="C75" s="67">
        <f t="shared" ref="C75:M75" ca="1" si="25">IF(OR(C$26="",$A75=""),"",C$112)</f>
        <v>0</v>
      </c>
      <c r="D75" s="67">
        <f t="shared" ca="1" si="25"/>
        <v>0</v>
      </c>
      <c r="E75" s="67">
        <f t="shared" ca="1" si="25"/>
        <v>0</v>
      </c>
      <c r="F75" s="67">
        <f t="shared" ca="1" si="25"/>
        <v>0</v>
      </c>
      <c r="G75" s="67">
        <f t="shared" ca="1" si="25"/>
        <v>0</v>
      </c>
      <c r="H75" s="67">
        <f t="shared" ca="1" si="25"/>
        <v>0</v>
      </c>
      <c r="I75" s="67">
        <f t="shared" ca="1" si="25"/>
        <v>0</v>
      </c>
      <c r="J75" s="67">
        <f t="shared" ca="1" si="25"/>
        <v>0</v>
      </c>
      <c r="K75" s="67">
        <f t="shared" ca="1" si="25"/>
        <v>0</v>
      </c>
      <c r="L75" s="67">
        <f t="shared" ca="1" si="25"/>
        <v>0</v>
      </c>
      <c r="M75" t="str">
        <f t="shared" si="25"/>
        <v/>
      </c>
      <c r="N75" t="str">
        <f t="shared" si="24"/>
        <v>If non-zero, players need to change amount(s)</v>
      </c>
    </row>
    <row r="76" spans="1:14" x14ac:dyDescent="0.35">
      <c r="A76" s="1" t="str">
        <f>IF(A74="","","   Available Water [maf]")</f>
        <v xml:space="preserve">   Available Water [maf]</v>
      </c>
      <c r="C76" s="14">
        <f t="shared" ref="C76:L76" si="26">IF(OR(C$26="",$A76=""),"",C32+C50-C42-C73)</f>
        <v>1.6129063098110585</v>
      </c>
      <c r="D76" s="14">
        <f t="shared" ca="1" si="26"/>
        <v>1.6046902798101226</v>
      </c>
      <c r="E76" s="14">
        <f t="shared" ca="1" si="26"/>
        <v>1.5576456189676631</v>
      </c>
      <c r="F76" s="14">
        <f ca="1">IF(OR(F$26="",$A76=""),"",F32+F50-F42-F73)</f>
        <v>1.5498781213375088</v>
      </c>
      <c r="G76" s="14">
        <f t="shared" ca="1" si="26"/>
        <v>1.5423760807272107</v>
      </c>
      <c r="H76" s="14">
        <f t="shared" ca="1" si="26"/>
        <v>1.5351314257299211</v>
      </c>
      <c r="I76" s="14">
        <f t="shared" ca="1" si="26"/>
        <v>1.5041572000211509</v>
      </c>
      <c r="J76" s="14">
        <f t="shared" ca="1" si="26"/>
        <v>1.5217950527483139</v>
      </c>
      <c r="K76" s="14">
        <f t="shared" ca="1" si="26"/>
        <v>1.5159369448132138</v>
      </c>
      <c r="L76" s="14">
        <f t="shared" ca="1" si="26"/>
        <v>1.5105177474782829</v>
      </c>
      <c r="N76" t="str">
        <f t="shared" si="24"/>
        <v>Available water = Account Balance + Available Inflow - Evaporation + Sales - Purchases</v>
      </c>
    </row>
    <row r="77" spans="1:14" x14ac:dyDescent="0.35">
      <c r="A77" s="1" t="str">
        <f>IF(A76="","","   Account Withdraw [maf]")</f>
        <v xml:space="preserve">   Account Withdraw [maf]</v>
      </c>
      <c r="C77" s="161">
        <f>MIN(C46,C76)</f>
        <v>1.4473333333333334</v>
      </c>
      <c r="D77" s="161">
        <f t="shared" ref="D77:L77" ca="1" si="27">MIN(D46,D76)</f>
        <v>1.4473333333333334</v>
      </c>
      <c r="E77" s="161">
        <f t="shared" ca="1" si="27"/>
        <v>1.4083333333333332</v>
      </c>
      <c r="F77" s="161">
        <f t="shared" ca="1" si="27"/>
        <v>1.4083333333333332</v>
      </c>
      <c r="G77" s="161">
        <f t="shared" ca="1" si="27"/>
        <v>1.4083333333333332</v>
      </c>
      <c r="H77" s="161">
        <f t="shared" ca="1" si="27"/>
        <v>1.4083333333333332</v>
      </c>
      <c r="I77" s="161">
        <f t="shared" ca="1" si="27"/>
        <v>1.3843333333333332</v>
      </c>
      <c r="J77" s="161">
        <f t="shared" ca="1" si="27"/>
        <v>1.4083333333333332</v>
      </c>
      <c r="K77" s="161">
        <f t="shared" ca="1" si="27"/>
        <v>1.4083333333333332</v>
      </c>
      <c r="L77" s="161">
        <f t="shared" ca="1" si="27"/>
        <v>1.4083333333333332</v>
      </c>
      <c r="N77" t="str">
        <f t="shared" si="24"/>
        <v>Must be less than Available water</v>
      </c>
    </row>
    <row r="78" spans="1:14" x14ac:dyDescent="0.35">
      <c r="A78" s="32" t="str">
        <f>IF(A77="","","   End of Year Balance [maf]")</f>
        <v xml:space="preserve">   End of Year Balance [maf]</v>
      </c>
      <c r="C78" s="66">
        <f>IF(OR(C$26="",$A78=""),"",C76-C77)</f>
        <v>0.16557297647772518</v>
      </c>
      <c r="D78" s="66">
        <f t="shared" ref="D78:L78" ca="1" si="28">IF(OR(D$26="",$A78=""),"",D76-D77)</f>
        <v>0.15735694647678922</v>
      </c>
      <c r="E78" s="66">
        <f t="shared" ca="1" si="28"/>
        <v>0.14931228563432986</v>
      </c>
      <c r="F78" s="66">
        <f t="shared" ca="1" si="28"/>
        <v>0.14154478800417558</v>
      </c>
      <c r="G78" s="66">
        <f t="shared" ca="1" si="28"/>
        <v>0.13404274739387745</v>
      </c>
      <c r="H78" s="66">
        <f t="shared" ca="1" si="28"/>
        <v>0.1267980923965879</v>
      </c>
      <c r="I78" s="66">
        <f t="shared" ca="1" si="28"/>
        <v>0.11982386668781775</v>
      </c>
      <c r="J78" s="66">
        <f t="shared" ca="1" si="28"/>
        <v>0.11346171941498073</v>
      </c>
      <c r="K78" s="66">
        <f t="shared" ca="1" si="28"/>
        <v>0.10760361147988062</v>
      </c>
      <c r="L78" s="66">
        <f t="shared" ca="1" si="28"/>
        <v>0.10218441414494972</v>
      </c>
      <c r="N78" t="str">
        <f t="shared" si="24"/>
        <v>Available water - Account Withdraw</v>
      </c>
    </row>
    <row r="79" spans="1:14" x14ac:dyDescent="0.35">
      <c r="C79"/>
    </row>
    <row r="80" spans="1:14" x14ac:dyDescent="0.35">
      <c r="A80" s="172" t="str">
        <f>IF(A$8="","[Unused]",A8)</f>
        <v>Shared, Reserve</v>
      </c>
      <c r="B80" s="172"/>
      <c r="C80" s="172"/>
      <c r="D80" s="172"/>
      <c r="E80" s="172"/>
      <c r="F80" s="172"/>
      <c r="G80" s="172"/>
      <c r="H80" s="172"/>
      <c r="I80" s="172"/>
      <c r="J80" s="172"/>
      <c r="K80" s="172"/>
      <c r="L80" s="172"/>
      <c r="M80" s="173" t="s">
        <v>107</v>
      </c>
      <c r="N80" s="172" t="s">
        <v>172</v>
      </c>
    </row>
    <row r="81" spans="1:14" x14ac:dyDescent="0.35">
      <c r="A81" s="32" t="str">
        <f>IF(A80="[Unused]","","   Volume of Sales(+) and Purchases(-) [maf]")</f>
        <v xml:space="preserve">   Volume of Sales(+) and Purchases(-) [maf]</v>
      </c>
      <c r="C81" s="159"/>
      <c r="D81" s="159"/>
      <c r="E81" s="159"/>
      <c r="F81" s="159"/>
      <c r="G81" s="159"/>
      <c r="H81" s="159"/>
      <c r="I81" s="159"/>
      <c r="J81" s="159"/>
      <c r="K81" s="159"/>
      <c r="L81" s="159"/>
      <c r="M81" s="67">
        <f>SUM(C81:L81)</f>
        <v>0</v>
      </c>
      <c r="N81" t="str">
        <f>IF(A81="","",N73)</f>
        <v>Add if multiple transactions, e.g.: 0.5 + 0.25</v>
      </c>
    </row>
    <row r="82" spans="1:14" x14ac:dyDescent="0.35">
      <c r="A82" s="32" t="str">
        <f>IF(A81="","","   Cash Intake(+) and Payments(-) [$ Mill]")</f>
        <v xml:space="preserve">   Cash Intake(+) and Payments(-) [$ Mill]</v>
      </c>
      <c r="C82" s="160"/>
      <c r="D82" s="160"/>
      <c r="E82" s="160"/>
      <c r="F82" s="160"/>
      <c r="G82" s="160"/>
      <c r="H82" s="160"/>
      <c r="I82" s="160"/>
      <c r="J82" s="160"/>
      <c r="K82" s="160"/>
      <c r="L82" s="160"/>
      <c r="M82" s="65">
        <f>SUM(C82:L82)</f>
        <v>0</v>
      </c>
      <c r="N82" t="str">
        <f t="shared" ref="N82:N86" si="29">IF(A82="","",N74)</f>
        <v>Add if multiple transactions, e.g.: $350*0.5 + $450*0.25</v>
      </c>
    </row>
    <row r="83" spans="1:14" x14ac:dyDescent="0.35">
      <c r="A83" s="32" t="str">
        <f>IF(A82="","","   Volume all players (should be zero)")</f>
        <v xml:space="preserve">   Volume all players (should be zero)</v>
      </c>
      <c r="C83" s="67">
        <f t="shared" ref="C83:M83" ca="1" si="30">IF(OR(C$26="",$A83=""),"",C$112)</f>
        <v>0</v>
      </c>
      <c r="D83" s="67">
        <f t="shared" ca="1" si="30"/>
        <v>0</v>
      </c>
      <c r="E83" s="67">
        <f t="shared" ca="1" si="30"/>
        <v>0</v>
      </c>
      <c r="F83" s="67">
        <f t="shared" ca="1" si="30"/>
        <v>0</v>
      </c>
      <c r="G83" s="67">
        <f t="shared" ca="1" si="30"/>
        <v>0</v>
      </c>
      <c r="H83" s="67">
        <f t="shared" ca="1" si="30"/>
        <v>0</v>
      </c>
      <c r="I83" s="67">
        <f t="shared" ca="1" si="30"/>
        <v>0</v>
      </c>
      <c r="J83" s="67">
        <f t="shared" ca="1" si="30"/>
        <v>0</v>
      </c>
      <c r="K83" s="67">
        <f t="shared" ca="1" si="30"/>
        <v>0</v>
      </c>
      <c r="L83" s="67">
        <f t="shared" ca="1" si="30"/>
        <v>0</v>
      </c>
      <c r="M83" t="str">
        <f t="shared" si="30"/>
        <v/>
      </c>
      <c r="N83" t="str">
        <f t="shared" si="29"/>
        <v>If non-zero, players need to change amount(s)</v>
      </c>
    </row>
    <row r="84" spans="1:14" x14ac:dyDescent="0.35">
      <c r="A84" s="1" t="str">
        <f>IF(A82="","","   Available Water [maf]")</f>
        <v xml:space="preserve">   Available Water [maf]</v>
      </c>
      <c r="C84" s="14">
        <f t="shared" ref="C84:L84" si="31">IF(OR(C$26="",$A84=""),"",C33+C51-C43-C81)</f>
        <v>11.59116925</v>
      </c>
      <c r="D84" s="14">
        <f t="shared" ca="1" si="31"/>
        <v>11.59116925</v>
      </c>
      <c r="E84" s="14">
        <f t="shared" ca="1" si="31"/>
        <v>11.59116925</v>
      </c>
      <c r="F84" s="14">
        <f t="shared" ca="1" si="31"/>
        <v>11.59116925</v>
      </c>
      <c r="G84" s="14">
        <f t="shared" ca="1" si="31"/>
        <v>11.59116925</v>
      </c>
      <c r="H84" s="14">
        <f t="shared" ca="1" si="31"/>
        <v>11.59116925</v>
      </c>
      <c r="I84" s="14">
        <f t="shared" ca="1" si="31"/>
        <v>11.59116925</v>
      </c>
      <c r="J84" s="14">
        <f t="shared" ca="1" si="31"/>
        <v>11.59116925</v>
      </c>
      <c r="K84" s="14">
        <f t="shared" ca="1" si="31"/>
        <v>11.59116925</v>
      </c>
      <c r="L84" s="14">
        <f t="shared" ca="1" si="31"/>
        <v>11.59116925</v>
      </c>
      <c r="N84" t="str">
        <f t="shared" si="29"/>
        <v>Available water = Account Balance + Available Inflow - Evaporation + Sales - Purchases</v>
      </c>
    </row>
    <row r="85" spans="1:14" x14ac:dyDescent="0.35">
      <c r="A85" s="1" t="str">
        <f>IF(A84="","","   Account Withdraw [maf]")</f>
        <v xml:space="preserve">   Account Withdraw [maf]</v>
      </c>
      <c r="C85" s="161"/>
      <c r="D85" s="161"/>
      <c r="E85" s="161"/>
      <c r="F85" s="161"/>
      <c r="G85" s="161"/>
      <c r="H85" s="161"/>
      <c r="I85" s="161"/>
      <c r="J85" s="161"/>
      <c r="K85" s="161"/>
      <c r="L85" s="161"/>
      <c r="N85" t="str">
        <f t="shared" si="29"/>
        <v>Must be less than Available water</v>
      </c>
    </row>
    <row r="86" spans="1:14" x14ac:dyDescent="0.35">
      <c r="A86" s="32" t="str">
        <f>IF(A85="","","   End of Year Balance [maf]")</f>
        <v xml:space="preserve">   End of Year Balance [maf]</v>
      </c>
      <c r="C86" s="66">
        <f>IF(OR(C$26="",$A86=""),"",C84-C85)</f>
        <v>11.59116925</v>
      </c>
      <c r="D86" s="66">
        <f t="shared" ref="D86:L86" ca="1" si="32">IF(OR(D$26="",$A86=""),"",D84-D85)</f>
        <v>11.59116925</v>
      </c>
      <c r="E86" s="66">
        <f t="shared" ca="1" si="32"/>
        <v>11.59116925</v>
      </c>
      <c r="F86" s="66">
        <f t="shared" ca="1" si="32"/>
        <v>11.59116925</v>
      </c>
      <c r="G86" s="66">
        <f t="shared" ca="1" si="32"/>
        <v>11.59116925</v>
      </c>
      <c r="H86" s="66">
        <f t="shared" ca="1" si="32"/>
        <v>11.59116925</v>
      </c>
      <c r="I86" s="66">
        <f t="shared" ca="1" si="32"/>
        <v>11.59116925</v>
      </c>
      <c r="J86" s="66">
        <f t="shared" ca="1" si="32"/>
        <v>11.59116925</v>
      </c>
      <c r="K86" s="66">
        <f t="shared" ca="1" si="32"/>
        <v>11.59116925</v>
      </c>
      <c r="L86" s="66">
        <f t="shared" ca="1" si="32"/>
        <v>11.59116925</v>
      </c>
      <c r="N86" t="str">
        <f t="shared" si="29"/>
        <v>Available water - Account Withdraw</v>
      </c>
    </row>
    <row r="87" spans="1:14" x14ac:dyDescent="0.35">
      <c r="C87"/>
    </row>
    <row r="88" spans="1:14" x14ac:dyDescent="0.35">
      <c r="A88" s="172" t="str">
        <f>IF(A$9="","[Unused]",A9)</f>
        <v>[Unused]</v>
      </c>
      <c r="B88" s="172"/>
      <c r="C88" s="172"/>
      <c r="D88" s="172"/>
      <c r="E88" s="172"/>
      <c r="F88" s="172"/>
      <c r="G88" s="172"/>
      <c r="H88" s="172"/>
      <c r="I88" s="172"/>
      <c r="J88" s="172"/>
      <c r="K88" s="172"/>
      <c r="L88" s="172"/>
      <c r="M88" s="173" t="s">
        <v>107</v>
      </c>
      <c r="N88" s="172" t="s">
        <v>172</v>
      </c>
    </row>
    <row r="89" spans="1:14" x14ac:dyDescent="0.35">
      <c r="A89" s="32" t="str">
        <f>IF(A88="[Unused]","","   Volume of Sales(+) and Purchases(-) [maf]")</f>
        <v/>
      </c>
      <c r="C89" s="159"/>
      <c r="D89" s="159"/>
      <c r="E89" s="159"/>
      <c r="F89" s="159"/>
      <c r="G89" s="159"/>
      <c r="H89" s="159"/>
      <c r="I89" s="159"/>
      <c r="J89" s="159"/>
      <c r="K89" s="159"/>
      <c r="L89" s="159"/>
      <c r="M89" s="67">
        <f>SUM(C89:L89)</f>
        <v>0</v>
      </c>
      <c r="N89" t="str">
        <f>IF(A89="","",N81)</f>
        <v/>
      </c>
    </row>
    <row r="90" spans="1:14" x14ac:dyDescent="0.35">
      <c r="A90" s="32" t="str">
        <f>IF(A89="","","   Cash Intake(+) and Payments(-) [$ Mill]")</f>
        <v/>
      </c>
      <c r="C90" s="160"/>
      <c r="D90" s="160"/>
      <c r="E90" s="160"/>
      <c r="F90" s="160"/>
      <c r="G90" s="160"/>
      <c r="H90" s="160"/>
      <c r="I90" s="160"/>
      <c r="J90" s="160"/>
      <c r="K90" s="160"/>
      <c r="L90" s="160"/>
      <c r="M90" s="65">
        <f>SUM(C90:L90)</f>
        <v>0</v>
      </c>
      <c r="N90" t="str">
        <f t="shared" ref="N90:N94" si="33">IF(A90="","",N82)</f>
        <v/>
      </c>
    </row>
    <row r="91" spans="1:14" x14ac:dyDescent="0.35">
      <c r="A91" s="32" t="str">
        <f>IF(A90="","","   Volume all players (should be zero)")</f>
        <v/>
      </c>
      <c r="C91" s="67" t="str">
        <f t="shared" ref="C91:M91" si="34">IF(OR(C$26="",$A91=""),"",C$112)</f>
        <v/>
      </c>
      <c r="D91" s="67" t="str">
        <f t="shared" si="34"/>
        <v/>
      </c>
      <c r="E91" s="67" t="str">
        <f t="shared" si="34"/>
        <v/>
      </c>
      <c r="F91" s="67" t="str">
        <f t="shared" si="34"/>
        <v/>
      </c>
      <c r="G91" s="67" t="str">
        <f t="shared" si="34"/>
        <v/>
      </c>
      <c r="H91" s="67" t="str">
        <f t="shared" si="34"/>
        <v/>
      </c>
      <c r="I91" s="67" t="str">
        <f t="shared" si="34"/>
        <v/>
      </c>
      <c r="J91" s="67" t="str">
        <f t="shared" si="34"/>
        <v/>
      </c>
      <c r="K91" s="67" t="str">
        <f t="shared" si="34"/>
        <v/>
      </c>
      <c r="L91" s="67" t="str">
        <f t="shared" si="34"/>
        <v/>
      </c>
      <c r="M91" t="str">
        <f t="shared" si="34"/>
        <v/>
      </c>
      <c r="N91" t="str">
        <f t="shared" si="33"/>
        <v/>
      </c>
    </row>
    <row r="92" spans="1:14" x14ac:dyDescent="0.35">
      <c r="A92" s="1" t="str">
        <f>IF(A90="","","   Available Water [maf]")</f>
        <v/>
      </c>
      <c r="C92" s="14" t="str">
        <f t="shared" ref="C92:L92" si="35">IF(OR(C$26="",$A92=""),"",C34+C52-C44-C89)</f>
        <v/>
      </c>
      <c r="D92" s="14" t="str">
        <f t="shared" si="35"/>
        <v/>
      </c>
      <c r="E92" s="14" t="str">
        <f t="shared" si="35"/>
        <v/>
      </c>
      <c r="F92" s="14" t="str">
        <f t="shared" si="35"/>
        <v/>
      </c>
      <c r="G92" s="14" t="str">
        <f t="shared" si="35"/>
        <v/>
      </c>
      <c r="H92" s="14" t="str">
        <f t="shared" si="35"/>
        <v/>
      </c>
      <c r="I92" s="14" t="str">
        <f t="shared" si="35"/>
        <v/>
      </c>
      <c r="J92" s="14" t="str">
        <f t="shared" si="35"/>
        <v/>
      </c>
      <c r="K92" s="14" t="str">
        <f t="shared" si="35"/>
        <v/>
      </c>
      <c r="L92" s="14" t="str">
        <f t="shared" si="35"/>
        <v/>
      </c>
      <c r="N92" t="str">
        <f t="shared" si="33"/>
        <v/>
      </c>
    </row>
    <row r="93" spans="1:14" x14ac:dyDescent="0.35">
      <c r="A93" s="1" t="str">
        <f>IF(A92="","","   Account Withdraw [maf]")</f>
        <v/>
      </c>
      <c r="C93" s="161"/>
      <c r="D93" s="161"/>
      <c r="E93" s="161"/>
      <c r="F93" s="161"/>
      <c r="G93" s="161"/>
      <c r="H93" s="161"/>
      <c r="I93" s="161"/>
      <c r="J93" s="161"/>
      <c r="K93" s="161"/>
      <c r="L93" s="161"/>
      <c r="N93" t="str">
        <f t="shared" si="33"/>
        <v/>
      </c>
    </row>
    <row r="94" spans="1:14" x14ac:dyDescent="0.35">
      <c r="A94" s="32" t="str">
        <f>IF(A93="","","   End of Year Balance [maf]")</f>
        <v/>
      </c>
      <c r="C94" s="66" t="str">
        <f>IF(OR(C$26="",$A94=""),"",C92-C93)</f>
        <v/>
      </c>
      <c r="D94" s="66" t="str">
        <f t="shared" ref="D94:L94" si="36">IF(OR(D$26="",$A94=""),"",D92-D93)</f>
        <v/>
      </c>
      <c r="E94" s="66" t="str">
        <f t="shared" si="36"/>
        <v/>
      </c>
      <c r="F94" s="66" t="str">
        <f t="shared" si="36"/>
        <v/>
      </c>
      <c r="G94" s="66" t="str">
        <f t="shared" si="36"/>
        <v/>
      </c>
      <c r="H94" s="66" t="str">
        <f t="shared" si="36"/>
        <v/>
      </c>
      <c r="I94" s="66" t="str">
        <f t="shared" si="36"/>
        <v/>
      </c>
      <c r="J94" s="66" t="str">
        <f t="shared" si="36"/>
        <v/>
      </c>
      <c r="K94" s="66" t="str">
        <f t="shared" si="36"/>
        <v/>
      </c>
      <c r="L94" s="66" t="str">
        <f t="shared" si="36"/>
        <v/>
      </c>
      <c r="N94" t="str">
        <f t="shared" si="33"/>
        <v/>
      </c>
    </row>
    <row r="95" spans="1:14" x14ac:dyDescent="0.35">
      <c r="C95"/>
    </row>
    <row r="96" spans="1:14" x14ac:dyDescent="0.35">
      <c r="A96" s="172" t="str">
        <f>IF(A$10="","[Unused]",A10)</f>
        <v>[Unused]</v>
      </c>
      <c r="B96" s="172"/>
      <c r="C96" s="172"/>
      <c r="D96" s="172"/>
      <c r="E96" s="172"/>
      <c r="F96" s="172"/>
      <c r="G96" s="172"/>
      <c r="H96" s="172"/>
      <c r="I96" s="172"/>
      <c r="J96" s="172"/>
      <c r="K96" s="172"/>
      <c r="L96" s="172"/>
      <c r="M96" s="173" t="s">
        <v>107</v>
      </c>
      <c r="N96" s="172" t="s">
        <v>172</v>
      </c>
    </row>
    <row r="97" spans="1:14" x14ac:dyDescent="0.35">
      <c r="A97" s="32" t="str">
        <f>IF(A96="[Unused]","","   Volume of Sales(+) and Purchases(-) [maf]")</f>
        <v/>
      </c>
      <c r="C97" s="159"/>
      <c r="D97" s="159"/>
      <c r="E97" s="159"/>
      <c r="F97" s="159"/>
      <c r="G97" s="159"/>
      <c r="H97" s="159"/>
      <c r="I97" s="159"/>
      <c r="J97" s="159"/>
      <c r="K97" s="159"/>
      <c r="L97" s="159"/>
      <c r="M97" s="67">
        <f>SUM(C97:L97)</f>
        <v>0</v>
      </c>
      <c r="N97" t="str">
        <f>IF(A97="","",N89)</f>
        <v/>
      </c>
    </row>
    <row r="98" spans="1:14" x14ac:dyDescent="0.35">
      <c r="A98" s="32" t="str">
        <f>IF(A97="","","   Cash Intake(+) and Payments(-) [$ Mill]")</f>
        <v/>
      </c>
      <c r="C98" s="160"/>
      <c r="D98" s="160"/>
      <c r="E98" s="160"/>
      <c r="F98" s="160"/>
      <c r="G98" s="160"/>
      <c r="H98" s="160"/>
      <c r="I98" s="160"/>
      <c r="J98" s="160"/>
      <c r="K98" s="160"/>
      <c r="L98" s="160"/>
      <c r="M98" s="65">
        <f>SUM(C98:L98)</f>
        <v>0</v>
      </c>
      <c r="N98" t="str">
        <f t="shared" ref="N98:N102" si="37">IF(A98="","",N90)</f>
        <v/>
      </c>
    </row>
    <row r="99" spans="1:14" x14ac:dyDescent="0.35">
      <c r="A99" s="32" t="str">
        <f>IF(A98="","","   Volume all players (should be zero)")</f>
        <v/>
      </c>
      <c r="C99" s="67" t="str">
        <f t="shared" ref="C99:M99" si="38">IF(OR(C$26="",$A99=""),"",C$112)</f>
        <v/>
      </c>
      <c r="D99" s="67" t="str">
        <f t="shared" si="38"/>
        <v/>
      </c>
      <c r="E99" s="67" t="str">
        <f t="shared" si="38"/>
        <v/>
      </c>
      <c r="F99" s="67" t="str">
        <f t="shared" si="38"/>
        <v/>
      </c>
      <c r="G99" s="67" t="str">
        <f t="shared" si="38"/>
        <v/>
      </c>
      <c r="H99" s="67" t="str">
        <f t="shared" si="38"/>
        <v/>
      </c>
      <c r="I99" s="67" t="str">
        <f t="shared" si="38"/>
        <v/>
      </c>
      <c r="J99" s="67" t="str">
        <f t="shared" si="38"/>
        <v/>
      </c>
      <c r="K99" s="67" t="str">
        <f t="shared" si="38"/>
        <v/>
      </c>
      <c r="L99" s="67" t="str">
        <f t="shared" si="38"/>
        <v/>
      </c>
      <c r="M99" t="str">
        <f t="shared" si="38"/>
        <v/>
      </c>
      <c r="N99" t="str">
        <f t="shared" si="37"/>
        <v/>
      </c>
    </row>
    <row r="100" spans="1:14" x14ac:dyDescent="0.35">
      <c r="A100" s="1" t="str">
        <f>IF(A98="","","   Available Water [maf]")</f>
        <v/>
      </c>
      <c r="C100" s="14" t="str">
        <f t="shared" ref="C100:L100" si="39">IF(OR(C$26="",$A100=""),"",C35+C53-C45-C97)</f>
        <v/>
      </c>
      <c r="D100" s="14" t="str">
        <f t="shared" si="39"/>
        <v/>
      </c>
      <c r="E100" s="14" t="str">
        <f t="shared" si="39"/>
        <v/>
      </c>
      <c r="F100" s="14" t="str">
        <f t="shared" si="39"/>
        <v/>
      </c>
      <c r="G100" s="14" t="str">
        <f t="shared" si="39"/>
        <v/>
      </c>
      <c r="H100" s="14" t="str">
        <f t="shared" si="39"/>
        <v/>
      </c>
      <c r="I100" s="14" t="str">
        <f t="shared" si="39"/>
        <v/>
      </c>
      <c r="J100" s="14" t="str">
        <f t="shared" si="39"/>
        <v/>
      </c>
      <c r="K100" s="14" t="str">
        <f t="shared" si="39"/>
        <v/>
      </c>
      <c r="L100" s="14" t="str">
        <f t="shared" si="39"/>
        <v/>
      </c>
      <c r="N100" t="str">
        <f t="shared" si="37"/>
        <v/>
      </c>
    </row>
    <row r="101" spans="1:14" x14ac:dyDescent="0.35">
      <c r="A101" s="1" t="str">
        <f>IF(A100="","","   Account Withdraw [maf]")</f>
        <v/>
      </c>
      <c r="C101" s="161"/>
      <c r="D101" s="161"/>
      <c r="E101" s="161"/>
      <c r="F101" s="161"/>
      <c r="G101" s="161"/>
      <c r="H101" s="161"/>
      <c r="I101" s="161"/>
      <c r="J101" s="161"/>
      <c r="K101" s="161"/>
      <c r="L101" s="161"/>
      <c r="N101" t="str">
        <f t="shared" si="37"/>
        <v/>
      </c>
    </row>
    <row r="102" spans="1:14" x14ac:dyDescent="0.35">
      <c r="A102" s="32" t="str">
        <f>IF(A101="","","   End of Year Balance [maf]")</f>
        <v/>
      </c>
      <c r="C102" s="66" t="str">
        <f>IF(OR(C$26="",$A102=""),"",C100-C101)</f>
        <v/>
      </c>
      <c r="D102" s="66" t="str">
        <f t="shared" ref="D102:L102" si="40">IF(OR(D$26="",$A102=""),"",D100-D101)</f>
        <v/>
      </c>
      <c r="E102" s="66" t="str">
        <f t="shared" si="40"/>
        <v/>
      </c>
      <c r="F102" s="66" t="str">
        <f t="shared" si="40"/>
        <v/>
      </c>
      <c r="G102" s="66" t="str">
        <f t="shared" si="40"/>
        <v/>
      </c>
      <c r="H102" s="66" t="str">
        <f t="shared" si="40"/>
        <v/>
      </c>
      <c r="I102" s="66" t="str">
        <f t="shared" si="40"/>
        <v/>
      </c>
      <c r="J102" s="66" t="str">
        <f t="shared" si="40"/>
        <v/>
      </c>
      <c r="K102" s="66" t="str">
        <f t="shared" si="40"/>
        <v/>
      </c>
      <c r="L102" s="66" t="str">
        <f t="shared" si="40"/>
        <v/>
      </c>
      <c r="N102" t="str">
        <f t="shared" si="37"/>
        <v/>
      </c>
    </row>
    <row r="103" spans="1:14" x14ac:dyDescent="0.35">
      <c r="C103"/>
    </row>
    <row r="104" spans="1:14" x14ac:dyDescent="0.35">
      <c r="A104" s="174" t="s">
        <v>183</v>
      </c>
      <c r="B104" s="174"/>
      <c r="C104" s="174"/>
      <c r="D104" s="174"/>
      <c r="E104" s="174"/>
      <c r="F104" s="174"/>
      <c r="G104" s="174"/>
      <c r="H104" s="174"/>
      <c r="I104" s="174"/>
      <c r="J104" s="174"/>
      <c r="K104" s="174"/>
      <c r="L104" s="174"/>
      <c r="M104" s="174"/>
      <c r="N104" s="174"/>
    </row>
    <row r="105" spans="1:14" x14ac:dyDescent="0.35">
      <c r="A105" s="1" t="s">
        <v>149</v>
      </c>
      <c r="C105"/>
      <c r="M105" t="s">
        <v>182</v>
      </c>
      <c r="N105" t="s">
        <v>150</v>
      </c>
    </row>
    <row r="106" spans="1:14" x14ac:dyDescent="0.35">
      <c r="A106" t="str">
        <f>IF(A5="","","    "&amp;A5)</f>
        <v xml:space="preserve">    Upper Basin</v>
      </c>
      <c r="B106" s="1"/>
      <c r="C106" s="67">
        <f t="shared" ref="C106:L111" ca="1" si="41">IF(OR(C$26="",$A106=""),"",OFFSET(C$57,8*(ROW(B106)-ROW(B$106)),0))</f>
        <v>0</v>
      </c>
      <c r="D106" s="67">
        <f t="shared" ca="1" si="41"/>
        <v>0</v>
      </c>
      <c r="E106" s="67">
        <f t="shared" ca="1" si="41"/>
        <v>0</v>
      </c>
      <c r="F106" s="67">
        <f t="shared" ca="1" si="41"/>
        <v>0</v>
      </c>
      <c r="G106" s="67">
        <f t="shared" ca="1" si="41"/>
        <v>0</v>
      </c>
      <c r="H106" s="67">
        <f t="shared" ca="1" si="41"/>
        <v>0</v>
      </c>
      <c r="I106" s="67">
        <f t="shared" ca="1" si="41"/>
        <v>0.5</v>
      </c>
      <c r="J106" s="67">
        <f t="shared" ca="1" si="41"/>
        <v>0.5</v>
      </c>
      <c r="K106" s="67">
        <f t="shared" ca="1" si="41"/>
        <v>0.5</v>
      </c>
      <c r="L106" s="67">
        <f t="shared" ca="1" si="41"/>
        <v>0.5</v>
      </c>
      <c r="M106" s="67">
        <f ca="1">IF(OR($A106=""),"",SUM(C106:L106))</f>
        <v>2</v>
      </c>
      <c r="N106" s="65">
        <f>IF(OR($A106=""),"",M58)</f>
        <v>700</v>
      </c>
    </row>
    <row r="107" spans="1:14" x14ac:dyDescent="0.35">
      <c r="A107" t="str">
        <f>IF(A6="","","    "&amp;A6)</f>
        <v xml:space="preserve">    Lower Basin</v>
      </c>
      <c r="B107" s="1"/>
      <c r="C107" s="67">
        <f t="shared" ca="1" si="41"/>
        <v>0</v>
      </c>
      <c r="D107" s="67">
        <f t="shared" ca="1" si="41"/>
        <v>0</v>
      </c>
      <c r="E107" s="67">
        <f t="shared" ca="1" si="41"/>
        <v>0</v>
      </c>
      <c r="F107" s="67">
        <f t="shared" ca="1" si="41"/>
        <v>0</v>
      </c>
      <c r="G107" s="67">
        <f t="shared" ca="1" si="41"/>
        <v>0</v>
      </c>
      <c r="H107" s="67">
        <f t="shared" ca="1" si="41"/>
        <v>0</v>
      </c>
      <c r="I107" s="67">
        <f t="shared" ca="1" si="41"/>
        <v>-0.5</v>
      </c>
      <c r="J107" s="67">
        <f t="shared" ca="1" si="41"/>
        <v>-0.5</v>
      </c>
      <c r="K107" s="67">
        <f t="shared" ca="1" si="41"/>
        <v>-0.5</v>
      </c>
      <c r="L107" s="67">
        <f t="shared" ca="1" si="41"/>
        <v>-0.5</v>
      </c>
      <c r="M107" s="67">
        <f t="shared" ref="M107:M111" ca="1" si="42">IF(OR($A107=""),"",SUM(C107:L107))</f>
        <v>-2</v>
      </c>
      <c r="N107" s="65">
        <f>IF(OR($A107=""),"",M66)</f>
        <v>-700</v>
      </c>
    </row>
    <row r="108" spans="1:14" x14ac:dyDescent="0.35">
      <c r="A108" t="str">
        <f>IF(A7="","","    "&amp;A7)</f>
        <v xml:space="preserve">    Mexico</v>
      </c>
      <c r="B108" s="1"/>
      <c r="C108" s="67">
        <f t="shared" ca="1" si="41"/>
        <v>0</v>
      </c>
      <c r="D108" s="67">
        <f t="shared" ca="1" si="41"/>
        <v>0</v>
      </c>
      <c r="E108" s="67">
        <f t="shared" ca="1" si="41"/>
        <v>0</v>
      </c>
      <c r="F108" s="67">
        <f t="shared" ca="1" si="41"/>
        <v>0</v>
      </c>
      <c r="G108" s="67">
        <f t="shared" ca="1" si="41"/>
        <v>0</v>
      </c>
      <c r="H108" s="67">
        <f t="shared" ca="1" si="41"/>
        <v>0</v>
      </c>
      <c r="I108" s="67">
        <f t="shared" ca="1" si="41"/>
        <v>0</v>
      </c>
      <c r="J108" s="67">
        <f t="shared" ca="1" si="41"/>
        <v>0</v>
      </c>
      <c r="K108" s="67">
        <f t="shared" ca="1" si="41"/>
        <v>0</v>
      </c>
      <c r="L108" s="67">
        <f t="shared" ca="1" si="41"/>
        <v>0</v>
      </c>
      <c r="M108" s="67">
        <f t="shared" ca="1" si="42"/>
        <v>0</v>
      </c>
      <c r="N108" s="65">
        <f>IF(OR($A108=""),"",M74)</f>
        <v>0</v>
      </c>
    </row>
    <row r="109" spans="1:14" x14ac:dyDescent="0.35">
      <c r="A109" t="str">
        <f>IF(A8="","","    "&amp;A8)</f>
        <v xml:space="preserve">    Shared, Reserve</v>
      </c>
      <c r="B109" s="1"/>
      <c r="C109" s="67">
        <f t="shared" ca="1" si="41"/>
        <v>0</v>
      </c>
      <c r="D109" s="67">
        <f t="shared" ca="1" si="41"/>
        <v>0</v>
      </c>
      <c r="E109" s="67">
        <f t="shared" ca="1" si="41"/>
        <v>0</v>
      </c>
      <c r="F109" s="67">
        <f t="shared" ca="1" si="41"/>
        <v>0</v>
      </c>
      <c r="G109" s="67">
        <f t="shared" ca="1" si="41"/>
        <v>0</v>
      </c>
      <c r="H109" s="67">
        <f t="shared" ca="1" si="41"/>
        <v>0</v>
      </c>
      <c r="I109" s="67">
        <f t="shared" ca="1" si="41"/>
        <v>0</v>
      </c>
      <c r="J109" s="67">
        <f t="shared" ca="1" si="41"/>
        <v>0</v>
      </c>
      <c r="K109" s="67">
        <f t="shared" ca="1" si="41"/>
        <v>0</v>
      </c>
      <c r="L109" s="67">
        <f t="shared" ca="1" si="41"/>
        <v>0</v>
      </c>
      <c r="M109" s="67">
        <f t="shared" ca="1" si="42"/>
        <v>0</v>
      </c>
      <c r="N109" s="65">
        <f>IF(OR($A109=""),"",M82)</f>
        <v>0</v>
      </c>
    </row>
    <row r="110" spans="1:14" x14ac:dyDescent="0.35">
      <c r="A110" t="str">
        <f>IF(A9="","","    "&amp;A9)</f>
        <v/>
      </c>
      <c r="B110" s="1"/>
      <c r="C110" s="67" t="str">
        <f t="shared" ca="1" si="41"/>
        <v/>
      </c>
      <c r="D110" s="67" t="str">
        <f t="shared" ca="1" si="41"/>
        <v/>
      </c>
      <c r="E110" s="67" t="str">
        <f t="shared" ca="1" si="41"/>
        <v/>
      </c>
      <c r="F110" s="67" t="str">
        <f t="shared" ca="1" si="41"/>
        <v/>
      </c>
      <c r="G110" s="67" t="str">
        <f t="shared" ca="1" si="41"/>
        <v/>
      </c>
      <c r="H110" s="67" t="str">
        <f t="shared" ca="1" si="41"/>
        <v/>
      </c>
      <c r="I110" s="67" t="str">
        <f t="shared" ca="1" si="41"/>
        <v/>
      </c>
      <c r="J110" s="67" t="str">
        <f t="shared" ca="1" si="41"/>
        <v/>
      </c>
      <c r="K110" s="67" t="str">
        <f t="shared" ca="1" si="41"/>
        <v/>
      </c>
      <c r="L110" s="67" t="str">
        <f t="shared" ca="1" si="41"/>
        <v/>
      </c>
      <c r="M110" s="67" t="str">
        <f t="shared" si="42"/>
        <v/>
      </c>
      <c r="N110" s="65" t="str">
        <f>IF(OR($A110=""),"",M90)</f>
        <v/>
      </c>
    </row>
    <row r="111" spans="1:14" x14ac:dyDescent="0.35">
      <c r="A111" t="str">
        <f>IF(A10="","","    "&amp;A10)</f>
        <v/>
      </c>
      <c r="B111" s="1"/>
      <c r="C111" s="67" t="str">
        <f t="shared" ca="1" si="41"/>
        <v/>
      </c>
      <c r="D111" s="67" t="str">
        <f t="shared" ca="1" si="41"/>
        <v/>
      </c>
      <c r="E111" s="67" t="str">
        <f t="shared" ca="1" si="41"/>
        <v/>
      </c>
      <c r="F111" s="67" t="str">
        <f t="shared" ca="1" si="41"/>
        <v/>
      </c>
      <c r="G111" s="67" t="str">
        <f t="shared" ca="1" si="41"/>
        <v/>
      </c>
      <c r="H111" s="67" t="str">
        <f t="shared" ca="1" si="41"/>
        <v/>
      </c>
      <c r="I111" s="67" t="str">
        <f t="shared" ca="1" si="41"/>
        <v/>
      </c>
      <c r="J111" s="67" t="str">
        <f t="shared" ca="1" si="41"/>
        <v/>
      </c>
      <c r="K111" s="67" t="str">
        <f t="shared" ca="1" si="41"/>
        <v/>
      </c>
      <c r="L111" s="67" t="str">
        <f t="shared" ca="1" si="41"/>
        <v/>
      </c>
      <c r="M111" s="67" t="str">
        <f t="shared" si="42"/>
        <v/>
      </c>
      <c r="N111" s="65" t="str">
        <f>IF(OR($A111=""),"",M98)</f>
        <v/>
      </c>
    </row>
    <row r="112" spans="1:14" x14ac:dyDescent="0.35">
      <c r="A112" t="s">
        <v>146</v>
      </c>
      <c r="B112" s="1"/>
      <c r="C112" s="51">
        <f ca="1">IF(C$26&lt;&gt;"",SUM(C106:C111),"")</f>
        <v>0</v>
      </c>
      <c r="D112" s="51">
        <f t="shared" ref="D112:L112" ca="1" si="43">IF(D$26&lt;&gt;"",SUM(D106:D111),"")</f>
        <v>0</v>
      </c>
      <c r="E112" s="119">
        <f t="shared" ca="1" si="43"/>
        <v>0</v>
      </c>
      <c r="F112" s="51">
        <f t="shared" ca="1" si="43"/>
        <v>0</v>
      </c>
      <c r="G112" s="51">
        <f t="shared" ca="1" si="43"/>
        <v>0</v>
      </c>
      <c r="H112" s="51">
        <f t="shared" ca="1" si="43"/>
        <v>0</v>
      </c>
      <c r="I112" s="51">
        <f t="shared" ca="1" si="43"/>
        <v>0</v>
      </c>
      <c r="J112" s="51">
        <f t="shared" ca="1" si="43"/>
        <v>0</v>
      </c>
      <c r="K112" s="51">
        <f t="shared" ca="1" si="43"/>
        <v>0</v>
      </c>
      <c r="L112" s="51">
        <f t="shared" ca="1" si="43"/>
        <v>0</v>
      </c>
      <c r="M112" s="34"/>
    </row>
    <row r="113" spans="1:12" x14ac:dyDescent="0.35">
      <c r="A113" s="1" t="s">
        <v>134</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4">IF(OR(C$26="",$A114=""),"",OFFSET(C$61,8*(ROW(B114)-ROW(B$114)),0))</f>
        <v>4.2</v>
      </c>
      <c r="D114" s="67">
        <f t="shared" ca="1" si="44"/>
        <v>4.2</v>
      </c>
      <c r="E114" s="67">
        <f t="shared" ca="1" si="44"/>
        <v>4.2</v>
      </c>
      <c r="F114" s="67">
        <f t="shared" ca="1" si="44"/>
        <v>4.2</v>
      </c>
      <c r="G114" s="67">
        <f t="shared" ca="1" si="44"/>
        <v>4.2</v>
      </c>
      <c r="H114" s="67">
        <f t="shared" ca="1" si="44"/>
        <v>4.2</v>
      </c>
      <c r="I114" s="67">
        <f t="shared" ca="1" si="44"/>
        <v>4.2</v>
      </c>
      <c r="J114" s="67">
        <f t="shared" ca="1" si="44"/>
        <v>4.2</v>
      </c>
      <c r="K114" s="67">
        <f t="shared" ca="1" si="44"/>
        <v>4.2</v>
      </c>
      <c r="L114" s="67">
        <f t="shared" ca="1" si="44"/>
        <v>4.2</v>
      </c>
    </row>
    <row r="115" spans="1:12" x14ac:dyDescent="0.35">
      <c r="A115" t="str">
        <f>IF(A6="","","    "&amp;A6&amp;" - Release from Mead")</f>
        <v xml:space="preserve">    Lower Basin - Release from Mead</v>
      </c>
      <c r="C115" s="67">
        <f t="shared" ca="1" si="44"/>
        <v>7.2590000000000003</v>
      </c>
      <c r="D115" s="67">
        <f t="shared" ca="1" si="44"/>
        <v>7.2590000000000003</v>
      </c>
      <c r="E115" s="67">
        <f t="shared" ca="1" si="44"/>
        <v>6.8870000000000005</v>
      </c>
      <c r="F115" s="67">
        <f t="shared" ca="1" si="44"/>
        <v>6.8870000000000005</v>
      </c>
      <c r="G115" s="67">
        <f t="shared" ca="1" si="44"/>
        <v>6.8870000000000005</v>
      </c>
      <c r="H115" s="67">
        <f t="shared" ca="1" si="44"/>
        <v>6.805453457471021</v>
      </c>
      <c r="I115" s="67">
        <f t="shared" ca="1" si="44"/>
        <v>6.7789999999999999</v>
      </c>
      <c r="J115" s="67">
        <f t="shared" ca="1" si="44"/>
        <v>6.8870000000000005</v>
      </c>
      <c r="K115" s="67">
        <f t="shared" ca="1" si="44"/>
        <v>6.8870000000000005</v>
      </c>
      <c r="L115" s="67">
        <f t="shared" ca="1" si="44"/>
        <v>6.8870000000000005</v>
      </c>
    </row>
    <row r="116" spans="1:12" x14ac:dyDescent="0.35">
      <c r="A116" t="str">
        <f>IF(A7="","","    "&amp;A7&amp;" - Release from Mead")</f>
        <v xml:space="preserve">    Mexico - Release from Mead</v>
      </c>
      <c r="C116" s="67">
        <f t="shared" ca="1" si="44"/>
        <v>1.4473333333333334</v>
      </c>
      <c r="D116" s="67">
        <f t="shared" ca="1" si="44"/>
        <v>1.4473333333333334</v>
      </c>
      <c r="E116" s="67">
        <f t="shared" ca="1" si="44"/>
        <v>1.4083333333333332</v>
      </c>
      <c r="F116" s="67">
        <f t="shared" ca="1" si="44"/>
        <v>1.4083333333333332</v>
      </c>
      <c r="G116" s="67">
        <f t="shared" ca="1" si="44"/>
        <v>1.4083333333333332</v>
      </c>
      <c r="H116" s="67">
        <f t="shared" ca="1" si="44"/>
        <v>1.4083333333333332</v>
      </c>
      <c r="I116" s="67">
        <f t="shared" ca="1" si="44"/>
        <v>1.3843333333333332</v>
      </c>
      <c r="J116" s="67">
        <f t="shared" ca="1" si="44"/>
        <v>1.4083333333333332</v>
      </c>
      <c r="K116" s="67">
        <f t="shared" ca="1" si="44"/>
        <v>1.4083333333333332</v>
      </c>
      <c r="L116" s="67">
        <f t="shared" ca="1" si="44"/>
        <v>1.4083333333333332</v>
      </c>
    </row>
    <row r="117" spans="1:12" x14ac:dyDescent="0.35">
      <c r="A117" t="str">
        <f>IF(A8="","","    "&amp;A8&amp;" - Release from Mead")</f>
        <v xml:space="preserve">    Shared, Reserve - Release from Mead</v>
      </c>
      <c r="C117" s="67">
        <f t="shared" ca="1" si="44"/>
        <v>0</v>
      </c>
      <c r="D117" s="67">
        <f t="shared" ca="1" si="44"/>
        <v>0</v>
      </c>
      <c r="E117" s="67">
        <f t="shared" ca="1" si="44"/>
        <v>0</v>
      </c>
      <c r="F117" s="67">
        <f t="shared" ca="1" si="44"/>
        <v>0</v>
      </c>
      <c r="G117" s="67">
        <f t="shared" ca="1" si="44"/>
        <v>0</v>
      </c>
      <c r="H117" s="67">
        <f t="shared" ca="1" si="44"/>
        <v>0</v>
      </c>
      <c r="I117" s="67">
        <f t="shared" ca="1" si="44"/>
        <v>0</v>
      </c>
      <c r="J117" s="67">
        <f t="shared" ca="1" si="44"/>
        <v>0</v>
      </c>
      <c r="K117" s="67">
        <f t="shared" ca="1" si="44"/>
        <v>0</v>
      </c>
      <c r="L117" s="67">
        <f t="shared" ca="1" si="44"/>
        <v>0</v>
      </c>
    </row>
    <row r="118" spans="1:12" x14ac:dyDescent="0.35">
      <c r="A118" t="str">
        <f>IF(A9="","","    "&amp;A9&amp;" - Release from Mead")</f>
        <v/>
      </c>
      <c r="C118" s="67" t="str">
        <f t="shared" ca="1" si="44"/>
        <v/>
      </c>
      <c r="D118" s="67" t="str">
        <f t="shared" ca="1" si="44"/>
        <v/>
      </c>
      <c r="E118" s="67" t="str">
        <f t="shared" ca="1" si="44"/>
        <v/>
      </c>
      <c r="F118" s="67" t="str">
        <f t="shared" ca="1" si="44"/>
        <v/>
      </c>
      <c r="G118" s="67" t="str">
        <f t="shared" ca="1" si="44"/>
        <v/>
      </c>
      <c r="H118" s="67" t="str">
        <f t="shared" ca="1" si="44"/>
        <v/>
      </c>
      <c r="I118" s="67" t="str">
        <f t="shared" ca="1" si="44"/>
        <v/>
      </c>
      <c r="J118" s="67" t="str">
        <f t="shared" ca="1" si="44"/>
        <v/>
      </c>
      <c r="K118" s="67" t="str">
        <f t="shared" ca="1" si="44"/>
        <v/>
      </c>
      <c r="L118" s="67" t="str">
        <f t="shared" ca="1" si="44"/>
        <v/>
      </c>
    </row>
    <row r="119" spans="1:12" x14ac:dyDescent="0.35">
      <c r="A119" t="str">
        <f>IF(A10="","","    "&amp;A10&amp;" - Release from Mead")</f>
        <v/>
      </c>
      <c r="C119" s="67" t="str">
        <f t="shared" ca="1" si="44"/>
        <v/>
      </c>
      <c r="D119" s="67" t="str">
        <f t="shared" ca="1" si="44"/>
        <v/>
      </c>
      <c r="E119" s="67" t="str">
        <f t="shared" ca="1" si="44"/>
        <v/>
      </c>
      <c r="F119" s="67" t="str">
        <f t="shared" ca="1" si="44"/>
        <v/>
      </c>
      <c r="G119" s="67" t="str">
        <f t="shared" ca="1" si="44"/>
        <v/>
      </c>
      <c r="H119" s="67" t="str">
        <f t="shared" ca="1" si="44"/>
        <v/>
      </c>
      <c r="I119" s="67" t="str">
        <f t="shared" ca="1" si="44"/>
        <v/>
      </c>
      <c r="J119" s="67" t="str">
        <f t="shared" ca="1" si="44"/>
        <v/>
      </c>
      <c r="K119" s="67" t="str">
        <f t="shared" ca="1" si="44"/>
        <v/>
      </c>
      <c r="L119" s="67" t="str">
        <f t="shared" ca="1" si="44"/>
        <v/>
      </c>
    </row>
    <row r="120" spans="1:12" x14ac:dyDescent="0.35">
      <c r="A120" s="1" t="s">
        <v>139</v>
      </c>
      <c r="B120" s="1"/>
      <c r="D120" s="2"/>
      <c r="E120" s="2"/>
      <c r="F120" s="2"/>
      <c r="G120" s="2"/>
      <c r="H120" s="2"/>
      <c r="I120" s="2"/>
      <c r="J120" s="2"/>
      <c r="K120" s="2"/>
      <c r="L120" s="2"/>
    </row>
    <row r="121" spans="1:12" x14ac:dyDescent="0.35">
      <c r="A121" t="str">
        <f>IF(A5="","","    "&amp;A5)</f>
        <v xml:space="preserve">    Upper Basin</v>
      </c>
      <c r="C121" s="67">
        <f t="shared" ref="C121:L126" ca="1" si="45">IF(OR(C$26="",$A121=""),"",OFFSET(C$62,8*(ROW(B121)-ROW(B$121)),0))</f>
        <v>4.8040452368981788</v>
      </c>
      <c r="D121" s="67">
        <f t="shared" ca="1" si="45"/>
        <v>4.5419931728564817</v>
      </c>
      <c r="E121" s="67">
        <f t="shared" ca="1" si="45"/>
        <v>4.3056232546493094</v>
      </c>
      <c r="F121" s="67">
        <f t="shared" ca="1" si="45"/>
        <v>4.0774702074598084</v>
      </c>
      <c r="G121" s="67">
        <f t="shared" ca="1" si="45"/>
        <v>3.85719281347522</v>
      </c>
      <c r="H121" s="67">
        <f t="shared" ca="1" si="45"/>
        <v>3.6445551050330494</v>
      </c>
      <c r="I121" s="67">
        <f t="shared" ca="1" si="45"/>
        <v>4.9519284043853409</v>
      </c>
      <c r="J121" s="67">
        <f t="shared" ca="1" si="45"/>
        <v>6.1848350048055627</v>
      </c>
      <c r="K121" s="67">
        <f t="shared" ca="1" si="45"/>
        <v>7.3613409808086034</v>
      </c>
      <c r="L121" s="67">
        <f t="shared" ca="1" si="45"/>
        <v>8.4864380639727202</v>
      </c>
    </row>
    <row r="122" spans="1:12" x14ac:dyDescent="0.35">
      <c r="A122" t="str">
        <f>IF(A6="","","    "&amp;A6)</f>
        <v xml:space="preserve">    Lower Basin</v>
      </c>
      <c r="C122" s="67">
        <f t="shared" ca="1" si="45"/>
        <v>3.2109815232907888</v>
      </c>
      <c r="D122" s="67">
        <f t="shared" ca="1" si="45"/>
        <v>2.1938054130006606</v>
      </c>
      <c r="E122" s="67">
        <f t="shared" ca="1" si="45"/>
        <v>1.5979005802175585</v>
      </c>
      <c r="F122" s="67">
        <f t="shared" ca="1" si="45"/>
        <v>1.0206144277033102</v>
      </c>
      <c r="G122" s="67">
        <f t="shared" ca="1" si="45"/>
        <v>0.46100835996429268</v>
      </c>
      <c r="H122" s="67">
        <f t="shared" ca="1" si="45"/>
        <v>0</v>
      </c>
      <c r="I122" s="67">
        <f t="shared" ca="1" si="45"/>
        <v>9.1288800524318425E-2</v>
      </c>
      <c r="J122" s="67">
        <f t="shared" ca="1" si="45"/>
        <v>7.9832364543001688E-2</v>
      </c>
      <c r="K122" s="67">
        <f t="shared" ca="1" si="45"/>
        <v>8.6083721142300007E-2</v>
      </c>
      <c r="L122" s="67">
        <f t="shared" ca="1" si="45"/>
        <v>0.10682026747920759</v>
      </c>
    </row>
    <row r="123" spans="1:12" x14ac:dyDescent="0.35">
      <c r="A123" t="str">
        <f>IF(A7="","","    "&amp;A7)</f>
        <v xml:space="preserve">    Mexico</v>
      </c>
      <c r="C123" s="67">
        <f t="shared" ca="1" si="45"/>
        <v>0.16557297647772518</v>
      </c>
      <c r="D123" s="67">
        <f t="shared" ca="1" si="45"/>
        <v>0.15735694647678922</v>
      </c>
      <c r="E123" s="67">
        <f t="shared" ca="1" si="45"/>
        <v>0.14931228563432986</v>
      </c>
      <c r="F123" s="67">
        <f t="shared" ca="1" si="45"/>
        <v>0.14154478800417558</v>
      </c>
      <c r="G123" s="67">
        <f t="shared" ca="1" si="45"/>
        <v>0.13404274739387745</v>
      </c>
      <c r="H123" s="67">
        <f t="shared" ca="1" si="45"/>
        <v>0.1267980923965879</v>
      </c>
      <c r="I123" s="67">
        <f t="shared" ca="1" si="45"/>
        <v>0.11982386668781775</v>
      </c>
      <c r="J123" s="67">
        <f t="shared" ca="1" si="45"/>
        <v>0.11346171941498073</v>
      </c>
      <c r="K123" s="67">
        <f t="shared" ca="1" si="45"/>
        <v>0.10760361147988062</v>
      </c>
      <c r="L123" s="67">
        <f t="shared" ca="1" si="45"/>
        <v>0.10218441414494972</v>
      </c>
    </row>
    <row r="124" spans="1:12" x14ac:dyDescent="0.35">
      <c r="A124" t="str">
        <f>IF(A8="","","    "&amp;A8)</f>
        <v xml:space="preserve">    Shared, Reserve</v>
      </c>
      <c r="C124" s="67">
        <f t="shared" ca="1" si="45"/>
        <v>11.59116925</v>
      </c>
      <c r="D124" s="67">
        <f t="shared" ca="1" si="45"/>
        <v>11.59116925</v>
      </c>
      <c r="E124" s="67">
        <f t="shared" ca="1" si="45"/>
        <v>11.59116925</v>
      </c>
      <c r="F124" s="67">
        <f t="shared" ca="1" si="45"/>
        <v>11.59116925</v>
      </c>
      <c r="G124" s="67">
        <f t="shared" ca="1" si="45"/>
        <v>11.59116925</v>
      </c>
      <c r="H124" s="67">
        <f t="shared" ca="1" si="45"/>
        <v>11.59116925</v>
      </c>
      <c r="I124" s="67">
        <f t="shared" ca="1" si="45"/>
        <v>11.59116925</v>
      </c>
      <c r="J124" s="67">
        <f t="shared" ca="1" si="45"/>
        <v>11.59116925</v>
      </c>
      <c r="K124" s="67">
        <f t="shared" ca="1" si="45"/>
        <v>11.59116925</v>
      </c>
      <c r="L124" s="67">
        <f t="shared" ca="1" si="45"/>
        <v>11.59116925</v>
      </c>
    </row>
    <row r="125" spans="1:12" x14ac:dyDescent="0.35">
      <c r="A125" t="str">
        <f>IF(A9="","","    "&amp;A9)</f>
        <v/>
      </c>
      <c r="C125" s="67" t="str">
        <f t="shared" ca="1" si="45"/>
        <v/>
      </c>
      <c r="D125" s="67" t="str">
        <f t="shared" ca="1" si="45"/>
        <v/>
      </c>
      <c r="E125" s="67" t="str">
        <f t="shared" ca="1" si="45"/>
        <v/>
      </c>
      <c r="F125" s="67" t="str">
        <f t="shared" ca="1" si="45"/>
        <v/>
      </c>
      <c r="G125" s="67" t="str">
        <f t="shared" ca="1" si="45"/>
        <v/>
      </c>
      <c r="H125" s="67" t="str">
        <f t="shared" ca="1" si="45"/>
        <v/>
      </c>
      <c r="I125" s="67" t="str">
        <f t="shared" ca="1" si="45"/>
        <v/>
      </c>
      <c r="J125" s="67" t="str">
        <f t="shared" ca="1" si="45"/>
        <v/>
      </c>
      <c r="K125" s="67" t="str">
        <f t="shared" ca="1" si="45"/>
        <v/>
      </c>
      <c r="L125" s="67" t="str">
        <f t="shared" ca="1" si="45"/>
        <v/>
      </c>
    </row>
    <row r="126" spans="1:12" x14ac:dyDescent="0.35">
      <c r="A126" t="str">
        <f>IF(A10="","","    "&amp;A10)</f>
        <v/>
      </c>
      <c r="C126" s="67" t="str">
        <f t="shared" ca="1" si="45"/>
        <v/>
      </c>
      <c r="D126" s="67" t="str">
        <f t="shared" ca="1" si="45"/>
        <v/>
      </c>
      <c r="E126" s="67" t="str">
        <f t="shared" ca="1" si="45"/>
        <v/>
      </c>
      <c r="F126" s="67" t="str">
        <f t="shared" ca="1" si="45"/>
        <v/>
      </c>
      <c r="G126" s="67" t="str">
        <f t="shared" ca="1" si="45"/>
        <v/>
      </c>
      <c r="H126" s="67" t="str">
        <f t="shared" ca="1" si="45"/>
        <v/>
      </c>
      <c r="I126" s="67" t="str">
        <f t="shared" ca="1" si="45"/>
        <v/>
      </c>
      <c r="J126" s="67" t="str">
        <f t="shared" ca="1" si="45"/>
        <v/>
      </c>
      <c r="K126" s="67" t="str">
        <f t="shared" ca="1" si="45"/>
        <v/>
      </c>
      <c r="L126" s="67" t="str">
        <f t="shared" ca="1" si="45"/>
        <v/>
      </c>
    </row>
    <row r="127" spans="1:12" x14ac:dyDescent="0.35">
      <c r="A127" s="1" t="s">
        <v>123</v>
      </c>
      <c r="B127" s="1"/>
      <c r="C127" s="14">
        <f ca="1">IF(C$26&lt;&gt;"",SUM(C121:C126),"")</f>
        <v>19.771768986666693</v>
      </c>
      <c r="D127" s="14">
        <f t="shared" ref="D127:L127" ca="1" si="46">IF(D$26&lt;&gt;"",SUM(D121:D126),"")</f>
        <v>18.484324782333932</v>
      </c>
      <c r="E127" s="14">
        <f t="shared" ca="1" si="46"/>
        <v>17.644005370501198</v>
      </c>
      <c r="F127" s="14">
        <f t="shared" ca="1" si="46"/>
        <v>16.830798673167294</v>
      </c>
      <c r="G127" s="14">
        <f t="shared" ca="1" si="46"/>
        <v>16.043413170833389</v>
      </c>
      <c r="H127" s="14">
        <f t="shared" ca="1" si="46"/>
        <v>15.362522447429637</v>
      </c>
      <c r="I127" s="14">
        <f t="shared" ca="1" si="46"/>
        <v>16.754210321597476</v>
      </c>
      <c r="J127" s="14">
        <f t="shared" ca="1" si="46"/>
        <v>17.969298338763544</v>
      </c>
      <c r="K127" s="14">
        <f t="shared" ca="1" si="46"/>
        <v>19.146197563430782</v>
      </c>
      <c r="L127" s="14">
        <f t="shared" ca="1" si="46"/>
        <v>20.286611995596878</v>
      </c>
    </row>
    <row r="128" spans="1:12" x14ac:dyDescent="0.35">
      <c r="A128" s="1" t="s">
        <v>197</v>
      </c>
      <c r="B128" s="1"/>
      <c r="C128" s="68">
        <v>0.5</v>
      </c>
      <c r="D128" s="68">
        <v>0.5</v>
      </c>
      <c r="E128" s="68">
        <v>0.5</v>
      </c>
      <c r="F128" s="68">
        <v>0.5</v>
      </c>
      <c r="G128" s="68">
        <v>0.5</v>
      </c>
      <c r="H128" s="68">
        <v>0.5</v>
      </c>
      <c r="I128" s="68">
        <v>0.5</v>
      </c>
      <c r="J128" s="68">
        <v>0.5</v>
      </c>
      <c r="K128" s="68">
        <v>0.5</v>
      </c>
      <c r="L128" s="68">
        <v>0.5</v>
      </c>
    </row>
    <row r="129" spans="1:14" x14ac:dyDescent="0.35">
      <c r="A129" s="1" t="s">
        <v>193</v>
      </c>
      <c r="B129" s="1"/>
      <c r="C129" s="14">
        <f ca="1">IF(C26="","",C$128*C$127)</f>
        <v>9.8858844933333465</v>
      </c>
      <c r="D129" s="14">
        <f t="shared" ref="D129:L129" ca="1" si="47">IF(D26="","",D$128*D$127)</f>
        <v>9.2421623911669659</v>
      </c>
      <c r="E129" s="14">
        <f t="shared" ca="1" si="47"/>
        <v>8.8220026852505988</v>
      </c>
      <c r="F129" s="14">
        <f t="shared" ca="1" si="47"/>
        <v>8.415399336583647</v>
      </c>
      <c r="G129" s="14">
        <f t="shared" ca="1" si="47"/>
        <v>8.0217065854166947</v>
      </c>
      <c r="H129" s="14">
        <f t="shared" ca="1" si="47"/>
        <v>7.6812612237148183</v>
      </c>
      <c r="I129" s="14">
        <f t="shared" ca="1" si="47"/>
        <v>8.3771051607987381</v>
      </c>
      <c r="J129" s="14">
        <f t="shared" ca="1" si="47"/>
        <v>8.9846491693817718</v>
      </c>
      <c r="K129" s="14">
        <f t="shared" ca="1" si="47"/>
        <v>9.573098781715391</v>
      </c>
      <c r="L129" s="14">
        <f t="shared" ca="1" si="47"/>
        <v>10.143305997798439</v>
      </c>
    </row>
    <row r="130" spans="1:14" x14ac:dyDescent="0.35">
      <c r="A130" s="1" t="s">
        <v>194</v>
      </c>
      <c r="B130" s="1"/>
      <c r="C130" s="14">
        <f ca="1">IF(C27="","",(1-C$128)*C$127)</f>
        <v>9.8858844933333465</v>
      </c>
      <c r="D130" s="14">
        <f t="shared" ref="D130:L130" ca="1" si="48">IF(D27="","",(1-D$128)*D$127)</f>
        <v>9.2421623911669659</v>
      </c>
      <c r="E130" s="14">
        <f t="shared" ca="1" si="48"/>
        <v>8.8220026852505988</v>
      </c>
      <c r="F130" s="14">
        <f t="shared" ca="1" si="48"/>
        <v>8.415399336583647</v>
      </c>
      <c r="G130" s="14">
        <f t="shared" ca="1" si="48"/>
        <v>8.0217065854166947</v>
      </c>
      <c r="H130" s="14">
        <f t="shared" ca="1" si="48"/>
        <v>7.6812612237148183</v>
      </c>
      <c r="I130" s="14">
        <f t="shared" ca="1" si="48"/>
        <v>8.3771051607987381</v>
      </c>
      <c r="J130" s="14">
        <f t="shared" ca="1" si="48"/>
        <v>8.9846491693817718</v>
      </c>
      <c r="K130" s="14">
        <f t="shared" ca="1" si="48"/>
        <v>9.573098781715391</v>
      </c>
      <c r="L130" s="14">
        <f t="shared" ca="1" si="48"/>
        <v>10.143305997798439</v>
      </c>
    </row>
    <row r="131" spans="1:14" x14ac:dyDescent="0.35">
      <c r="A131" s="32" t="s">
        <v>282</v>
      </c>
      <c r="B131" s="1"/>
      <c r="C131" s="87">
        <f ca="1">IF(C$26&lt;&gt;"",VLOOKUP(C129*1000000,'Powell-Elevation-Area'!$B$5:$H$689,7),"")</f>
        <v>3579</v>
      </c>
      <c r="D131" s="87">
        <f ca="1">IF(D$26&lt;&gt;"",VLOOKUP(D129*1000000,'Powell-Elevation-Area'!$B$5:$H$689,7),"")</f>
        <v>3571.5</v>
      </c>
      <c r="E131" s="87">
        <f ca="1">IF(E$26&lt;&gt;"",VLOOKUP(E129*1000000,'Powell-Elevation-Area'!$B$5:$H$689,7),"")</f>
        <v>3566</v>
      </c>
      <c r="F131" s="87">
        <f ca="1">IF(F$26&lt;&gt;"",VLOOKUP(F129*1000000,'Powell-Elevation-Area'!$B$5:$H$689,7),"")</f>
        <v>3561</v>
      </c>
      <c r="G131" s="87">
        <f ca="1">IF(G$26&lt;&gt;"",VLOOKUP(G129*1000000,'Powell-Elevation-Area'!$B$5:$H$689,7),"")</f>
        <v>3555.5</v>
      </c>
      <c r="H131" s="87">
        <f ca="1">IF(H$26&lt;&gt;"",VLOOKUP(H129*1000000,'Powell-Elevation-Area'!$B$5:$H$689,7),"")</f>
        <v>3551</v>
      </c>
      <c r="I131" s="87">
        <f ca="1">IF(I$26&lt;&gt;"",VLOOKUP(I129*1000000,'Powell-Elevation-Area'!$B$5:$H$689,7),"")</f>
        <v>3560.5</v>
      </c>
      <c r="J131" s="87">
        <f ca="1">IF(J$26&lt;&gt;"",VLOOKUP(J129*1000000,'Powell-Elevation-Area'!$B$5:$H$689,7),"")</f>
        <v>3568</v>
      </c>
      <c r="K131" s="87">
        <f ca="1">IF(K$26&lt;&gt;"",VLOOKUP(K129*1000000,'Powell-Elevation-Area'!$B$5:$H$689,7),"")</f>
        <v>3575.5</v>
      </c>
      <c r="L131" s="87">
        <f ca="1">IF(L$26&lt;&gt;"",VLOOKUP(L129*1000000,'Powell-Elevation-Area'!$B$5:$H$689,7),"")</f>
        <v>3582</v>
      </c>
    </row>
    <row r="132" spans="1:14" x14ac:dyDescent="0.35">
      <c r="A132" s="32" t="s">
        <v>283</v>
      </c>
      <c r="B132" s="1"/>
      <c r="C132" s="87">
        <f ca="1">IF(C$26&lt;&gt;"",VLOOKUP(C130*1000000,'Mead-Elevation-Area'!$B$5:$H$689,7),"")</f>
        <v>1078</v>
      </c>
      <c r="D132" s="87">
        <f ca="1">IF(D$26&lt;&gt;"",VLOOKUP(D130*1000000,'Mead-Elevation-Area'!$B$5:$H$689,7),"")</f>
        <v>1070.5</v>
      </c>
      <c r="E132" s="87">
        <f ca="1">IF(E$26&lt;&gt;"",VLOOKUP(E130*1000000,'Mead-Elevation-Area'!$B$5:$H$689,7),"")</f>
        <v>1065</v>
      </c>
      <c r="F132" s="87">
        <f ca="1">IF(F$26&lt;&gt;"",VLOOKUP(F130*1000000,'Mead-Elevation-Area'!$B$5:$H$689,7),"")</f>
        <v>1059.5</v>
      </c>
      <c r="G132" s="87">
        <f ca="1">IF(G$26&lt;&gt;"",VLOOKUP(G130*1000000,'Mead-Elevation-Area'!$B$5:$H$689,7),"")</f>
        <v>1054.5</v>
      </c>
      <c r="H132" s="87">
        <f ca="1">IF(H$26&lt;&gt;"",VLOOKUP(H130*1000000,'Mead-Elevation-Area'!$B$5:$H$689,7),"")</f>
        <v>1049.5</v>
      </c>
      <c r="I132" s="87">
        <f ca="1">IF(I$26&lt;&gt;"",VLOOKUP(I130*1000000,'Mead-Elevation-Area'!$B$5:$H$689,7),"")</f>
        <v>1059</v>
      </c>
      <c r="J132" s="87">
        <f ca="1">IF(J$26&lt;&gt;"",VLOOKUP(J130*1000000,'Mead-Elevation-Area'!$B$5:$H$689,7),"")</f>
        <v>1067</v>
      </c>
      <c r="K132" s="87">
        <f ca="1">IF(K$26&lt;&gt;"",VLOOKUP(K130*1000000,'Mead-Elevation-Area'!$B$5:$H$689,7),"")</f>
        <v>1074.5</v>
      </c>
      <c r="L132" s="87">
        <f ca="1">IF(L$26&lt;&gt;"",VLOOKUP(L130*1000000,'Mead-Elevation-Area'!$B$5:$H$689,7),"")</f>
        <v>1081.5</v>
      </c>
    </row>
    <row r="133" spans="1:14" x14ac:dyDescent="0.35">
      <c r="A133" s="1" t="s">
        <v>295</v>
      </c>
      <c r="B133" s="1"/>
    </row>
    <row r="134" spans="1:14" x14ac:dyDescent="0.35">
      <c r="A134" s="32" t="s">
        <v>296</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195</v>
      </c>
    </row>
    <row r="135" spans="1:14" x14ac:dyDescent="0.35">
      <c r="A135" s="32" t="s">
        <v>310</v>
      </c>
      <c r="B135" s="1"/>
      <c r="C135" s="87" t="str">
        <f ca="1">IF(C$26&lt;&gt;"",VLOOKUP(C131,PowellReleaseTemperature!$A$5:$B$11,2),"")</f>
        <v>&lt; 18</v>
      </c>
      <c r="D135" s="87" t="str">
        <f ca="1">IF(D$26&lt;&gt;"",VLOOKUP(D131,PowellReleaseTemperature!$A$5:$B$11,2),"")</f>
        <v>&lt; 18</v>
      </c>
      <c r="E135" s="87" t="str">
        <f ca="1">IF(E$26&lt;&gt;"",VLOOKUP(E131,PowellReleaseTemperature!$A$5:$B$11,2),"")</f>
        <v>&lt; 18</v>
      </c>
      <c r="F135" s="87" t="str">
        <f ca="1">IF(F$26&lt;&gt;"",VLOOKUP(F131,PowellReleaseTemperature!$A$5:$B$11,2),"")</f>
        <v>&lt; 18</v>
      </c>
      <c r="G135" s="87" t="str">
        <f ca="1">IF(G$26&lt;&gt;"",VLOOKUP(G131,PowellReleaseTemperature!$A$5:$B$11,2),"")</f>
        <v>&lt; 18</v>
      </c>
      <c r="H135" s="87" t="str">
        <f ca="1">IF(H$26&lt;&gt;"",VLOOKUP(H131,PowellReleaseTemperature!$A$5:$B$11,2),"")</f>
        <v>&lt; 18</v>
      </c>
      <c r="I135" s="87" t="str">
        <f ca="1">IF(I$26&lt;&gt;"",VLOOKUP(I131,PowellReleaseTemperature!$A$5:$B$11,2),"")</f>
        <v>&lt; 18</v>
      </c>
      <c r="J135" s="87" t="str">
        <f ca="1">IF(J$26&lt;&gt;"",VLOOKUP(J131,PowellReleaseTemperature!$A$5:$B$11,2),"")</f>
        <v>&lt; 18</v>
      </c>
      <c r="K135" s="87" t="str">
        <f ca="1">IF(K$26&lt;&gt;"",VLOOKUP(K131,PowellReleaseTemperature!$A$5:$B$11,2),"")</f>
        <v>&lt; 18</v>
      </c>
      <c r="L135" s="87" t="str">
        <f ca="1">IF(L$26&lt;&gt;"",VLOOKUP(L131,PowellReleaseTemperature!$A$5:$B$11,2),"")</f>
        <v>&lt; 18</v>
      </c>
      <c r="N135" t="s">
        <v>301</v>
      </c>
    </row>
    <row r="136" spans="1:14" s="89" customFormat="1" ht="62.5" customHeight="1" x14ac:dyDescent="0.35">
      <c r="A136" s="143" t="s">
        <v>311</v>
      </c>
      <c r="B136" s="88"/>
      <c r="C136" s="142" t="str">
        <f ca="1">IF(C$26&lt;&gt;"",VLOOKUP(C$131,PowellReleaseTemperature!$A$5:$E$11,5),"")</f>
        <v>May benefit or face invasion</v>
      </c>
      <c r="D136" s="142" t="str">
        <f ca="1">IF(D$26&lt;&gt;"",VLOOKUP(D$131,PowellReleaseTemperature!$A$5:$E$11,5),"")</f>
        <v>May benefit or face invasion</v>
      </c>
      <c r="E136" s="142" t="str">
        <f ca="1">IF(E$26&lt;&gt;"",VLOOKUP(E$131,PowellReleaseTemperature!$A$5:$E$11,5),"")</f>
        <v>May benefit or face invasion</v>
      </c>
      <c r="F136" s="142" t="str">
        <f ca="1">IF(F$26&lt;&gt;"",VLOOKUP(F$131,PowellReleaseTemperature!$A$5:$E$11,5),"")</f>
        <v>May benefit or face invasion</v>
      </c>
      <c r="G136" s="142" t="str">
        <f ca="1">IF(G$26&lt;&gt;"",VLOOKUP(G$131,PowellReleaseTemperature!$A$5:$E$11,5),"")</f>
        <v>May benefit or face invasion</v>
      </c>
      <c r="H136" s="142" t="str">
        <f ca="1">IF(H$26&lt;&gt;"",VLOOKUP(H$131,PowellReleaseTemperature!$A$5:$E$11,5),"")</f>
        <v>May benefit or face invasion</v>
      </c>
      <c r="I136" s="142" t="str">
        <f ca="1">IF(I$26&lt;&gt;"",VLOOKUP(I$131,PowellReleaseTemperature!$A$5:$E$11,5),"")</f>
        <v>May benefit or face invasion</v>
      </c>
      <c r="J136" s="142" t="str">
        <f ca="1">IF(J$26&lt;&gt;"",VLOOKUP(J$131,PowellReleaseTemperature!$A$5:$E$11,5),"")</f>
        <v>May benefit or face invasion</v>
      </c>
      <c r="K136" s="142" t="str">
        <f ca="1">IF(K$26&lt;&gt;"",VLOOKUP(K$131,PowellReleaseTemperature!$A$5:$E$11,5),"")</f>
        <v>May benefit or face invasion</v>
      </c>
      <c r="L136" s="142" t="str">
        <f ca="1">IF(L$26&lt;&gt;"",VLOOKUP(L$131,PowellReleaseTemperature!$A$5:$E$11,5),"")</f>
        <v>May benefit or face invasion</v>
      </c>
    </row>
    <row r="137" spans="1:14" s="89" customFormat="1" ht="32" customHeight="1" x14ac:dyDescent="0.35">
      <c r="A137" s="143" t="s">
        <v>317</v>
      </c>
      <c r="B137" s="88"/>
      <c r="C137" s="142" t="str">
        <f ca="1">IF(C$26&lt;&gt;"",VLOOKUP(C$131,PowellReleaseTemperature!$A$5:$F$11,6),"")</f>
        <v>Help grow + incubate</v>
      </c>
      <c r="D137" s="142" t="str">
        <f ca="1">IF(D$26&lt;&gt;"",VLOOKUP(D$131,PowellReleaseTemperature!$A$5:$F$11,6),"")</f>
        <v>Help grow + incubate</v>
      </c>
      <c r="E137" s="142" t="str">
        <f ca="1">IF(E$26&lt;&gt;"",VLOOKUP(E$131,PowellReleaseTemperature!$A$5:$F$11,6),"")</f>
        <v>Help grow + incubate</v>
      </c>
      <c r="F137" s="142" t="str">
        <f ca="1">IF(F$26&lt;&gt;"",VLOOKUP(F$131,PowellReleaseTemperature!$A$5:$F$11,6),"")</f>
        <v>Help grow + incubate</v>
      </c>
      <c r="G137" s="142" t="str">
        <f ca="1">IF(G$26&lt;&gt;"",VLOOKUP(G$131,PowellReleaseTemperature!$A$5:$F$11,6),"")</f>
        <v>Help grow + incubate</v>
      </c>
      <c r="H137" s="142" t="str">
        <f ca="1">IF(H$26&lt;&gt;"",VLOOKUP(H$131,PowellReleaseTemperature!$A$5:$F$11,6),"")</f>
        <v>Help grow + incubate</v>
      </c>
      <c r="I137" s="142" t="str">
        <f ca="1">IF(I$26&lt;&gt;"",VLOOKUP(I$131,PowellReleaseTemperature!$A$5:$F$11,6),"")</f>
        <v>Help grow + incubate</v>
      </c>
      <c r="J137" s="142" t="str">
        <f ca="1">IF(J$26&lt;&gt;"",VLOOKUP(J$131,PowellReleaseTemperature!$A$5:$F$11,6),"")</f>
        <v>Help grow + incubate</v>
      </c>
      <c r="K137" s="142" t="str">
        <f ca="1">IF(K$26&lt;&gt;"",VLOOKUP(K$131,PowellReleaseTemperature!$A$5:$F$11,6),"")</f>
        <v>Help grow + incubate</v>
      </c>
      <c r="L137" s="142" t="str">
        <f ca="1">IF(L$26&lt;&gt;"",VLOOKUP(L$131,PowellReleaseTemperature!$A$5:$F$11,6),"")</f>
        <v>Help grow + incubate</v>
      </c>
    </row>
    <row r="138" spans="1:14" x14ac:dyDescent="0.35">
      <c r="C138" s="29"/>
    </row>
    <row r="139" spans="1:14" x14ac:dyDescent="0.35">
      <c r="A139" s="1" t="s">
        <v>125</v>
      </c>
      <c r="C139" s="169">
        <f>IF(C$26&lt;&gt;"",0.2,"")</f>
        <v>0.2</v>
      </c>
      <c r="D139" s="169">
        <f t="shared" ref="D139:L139" si="49">IF(D$26&lt;&gt;"",0.2,"")</f>
        <v>0.2</v>
      </c>
      <c r="E139" s="169">
        <f t="shared" si="49"/>
        <v>0.2</v>
      </c>
      <c r="F139" s="169">
        <f t="shared" si="49"/>
        <v>0.2</v>
      </c>
      <c r="G139" s="169">
        <f t="shared" si="49"/>
        <v>0.2</v>
      </c>
      <c r="H139" s="169">
        <f t="shared" si="49"/>
        <v>0.2</v>
      </c>
      <c r="I139" s="169">
        <f t="shared" si="49"/>
        <v>0.2</v>
      </c>
      <c r="J139" s="169">
        <f t="shared" si="49"/>
        <v>0.2</v>
      </c>
      <c r="K139" s="169">
        <f t="shared" si="49"/>
        <v>0.2</v>
      </c>
      <c r="L139" s="169">
        <f t="shared" si="49"/>
        <v>0.2</v>
      </c>
    </row>
    <row r="140" spans="1:14" x14ac:dyDescent="0.35">
      <c r="A140" t="s">
        <v>126</v>
      </c>
      <c r="C140" s="14">
        <f t="shared" ref="C140:L140" ca="1" si="50">IF(C$26&lt;&gt;"",C115+C139,"")</f>
        <v>7.4590000000000005</v>
      </c>
      <c r="D140" s="14">
        <f t="shared" ca="1" si="50"/>
        <v>7.4590000000000005</v>
      </c>
      <c r="E140" s="14">
        <f t="shared" ca="1" si="50"/>
        <v>7.0870000000000006</v>
      </c>
      <c r="F140" s="14">
        <f t="shared" ca="1" si="50"/>
        <v>7.0870000000000006</v>
      </c>
      <c r="G140" s="14">
        <f t="shared" ca="1" si="50"/>
        <v>7.0870000000000006</v>
      </c>
      <c r="H140" s="14">
        <f t="shared" ca="1" si="50"/>
        <v>7.0054534574710212</v>
      </c>
      <c r="I140" s="14">
        <f t="shared" ca="1" si="50"/>
        <v>6.9790000000000001</v>
      </c>
      <c r="J140" s="14">
        <f t="shared" ca="1" si="50"/>
        <v>7.0870000000000006</v>
      </c>
      <c r="K140" s="14">
        <f t="shared" ca="1" si="50"/>
        <v>7.0870000000000006</v>
      </c>
      <c r="L140" s="14">
        <f t="shared" ca="1" si="50"/>
        <v>7.0870000000000006</v>
      </c>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63" priority="3" operator="greaterThan">
      <formula>$C$60</formula>
    </cfRule>
  </conditionalFormatting>
  <conditionalFormatting sqref="C69:L69">
    <cfRule type="cellIs" dxfId="62"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ReadMe-Directions</vt:lpstr>
      <vt:lpstr>Versions</vt:lpstr>
      <vt:lpstr>Master</vt:lpstr>
      <vt:lpstr>Master-Today</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2021-07-29T00:54:06Z</dcterms:modified>
</cp:coreProperties>
</file>