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ParticipantAnalysis\"/>
    </mc:Choice>
  </mc:AlternateContent>
  <xr:revisionPtr revIDLastSave="0" documentId="13_ncr:1_{FD661AE5-BB7A-4664-A1D7-1456FCDA1CDC}" xr6:coauthVersionLast="36" xr6:coauthVersionMax="36" xr10:uidLastSave="{00000000-0000-0000-0000-000000000000}"/>
  <bookViews>
    <workbookView xWindow="0" yWindow="0" windowWidth="19200" windowHeight="6650" activeTab="3" xr2:uid="{5373AB19-D84C-490D-97DC-C516D358024A}"/>
  </bookViews>
  <sheets>
    <sheet name="ReadMe-Directions" sheetId="6" r:id="rId1"/>
    <sheet name="Versions" sheetId="31" r:id="rId2"/>
    <sheet name="Participants" sheetId="47" r:id="rId3"/>
    <sheet name="LawOfRiver" sheetId="52" r:id="rId4"/>
    <sheet name="Plots" sheetId="53"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F50" i="47" l="1"/>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A9" i="52" l="1"/>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E50" i="47" s="1"/>
  <c r="D29" i="47"/>
  <c r="D50" i="47" s="1"/>
  <c r="C29" i="47"/>
  <c r="C50" i="47" s="1"/>
  <c r="C21" i="47"/>
  <c r="B34" i="47" s="1"/>
  <c r="B21" i="47"/>
  <c r="A1" i="47"/>
  <c r="F9" i="43"/>
  <c r="E6" i="43"/>
  <c r="E7" i="43" s="1"/>
  <c r="E11" i="43"/>
  <c r="E47" i="52" l="1"/>
  <c r="F125" i="52"/>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A66" i="47"/>
  <c r="A90" i="47"/>
  <c r="A98" i="47"/>
  <c r="C51" i="47" l="1"/>
  <c r="C88" i="47"/>
  <c r="C90" i="47" s="1"/>
  <c r="C128" i="47" s="1"/>
  <c r="D36" i="47" s="1"/>
  <c r="C61" i="52"/>
  <c r="C114" i="52" s="1"/>
  <c r="C69" i="52"/>
  <c r="C115" i="52" s="1"/>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P5" i="41"/>
  <c r="C131" i="47" l="1"/>
  <c r="C134" i="47" s="1"/>
  <c r="D41" i="47" s="1"/>
  <c r="D49" i="47" s="1"/>
  <c r="C129" i="52"/>
  <c r="D29" i="52"/>
  <c r="C130" i="52"/>
  <c r="F28" i="31"/>
  <c r="D32" i="47" l="1"/>
  <c r="C133" i="47"/>
  <c r="C138" i="47" s="1"/>
  <c r="C136" i="47"/>
  <c r="C132" i="52"/>
  <c r="D38" i="52"/>
  <c r="D46" i="52" s="1"/>
  <c r="D77" i="52" s="1"/>
  <c r="D116" i="52" s="1"/>
  <c r="D37" i="52"/>
  <c r="C134" i="52"/>
  <c r="C131" i="52"/>
  <c r="D40" i="47" l="1"/>
  <c r="D42" i="47" s="1"/>
  <c r="D47" i="47" s="1"/>
  <c r="C135" i="47"/>
  <c r="C141" i="47" s="1"/>
  <c r="D39" i="52"/>
  <c r="D44" i="52" s="1"/>
  <c r="D92" i="52" s="1"/>
  <c r="D94" i="52" s="1"/>
  <c r="D125" i="52" s="1"/>
  <c r="C135" i="52"/>
  <c r="C137" i="52"/>
  <c r="C136" i="52"/>
  <c r="D45" i="47" l="1"/>
  <c r="D48" i="47"/>
  <c r="D56" i="47" s="1"/>
  <c r="D46" i="47"/>
  <c r="D44" i="47"/>
  <c r="D43" i="47"/>
  <c r="C140" i="47"/>
  <c r="C139" i="47"/>
  <c r="D40" i="52"/>
  <c r="D41" i="52"/>
  <c r="D42" i="52"/>
  <c r="D43" i="52"/>
  <c r="D45" i="52"/>
  <c r="D53" i="52" s="1"/>
  <c r="D57" i="47" l="1"/>
  <c r="D55" i="47" s="1"/>
  <c r="D54" i="47" s="1"/>
  <c r="D53" i="47" s="1"/>
  <c r="D52" i="47" s="1"/>
  <c r="D51" i="47" s="1"/>
  <c r="D104" i="47"/>
  <c r="D106" i="47" s="1"/>
  <c r="D130" i="47" s="1"/>
  <c r="E38" i="47" s="1"/>
  <c r="D51" i="52"/>
  <c r="D84" i="52" s="1"/>
  <c r="D100" i="52"/>
  <c r="D102" i="52" s="1"/>
  <c r="D126" i="52" s="1"/>
  <c r="E35" i="52" s="1"/>
  <c r="D48" i="52"/>
  <c r="D60" i="52" s="1"/>
  <c r="D50" i="52" l="1"/>
  <c r="D76" i="52" s="1"/>
  <c r="D78" i="52" s="1"/>
  <c r="D123" i="52" s="1"/>
  <c r="E32" i="52" s="1"/>
  <c r="D85" i="52"/>
  <c r="D117" i="52" s="1"/>
  <c r="D96" i="47" l="1"/>
  <c r="D98" i="47" s="1"/>
  <c r="D129" i="47" s="1"/>
  <c r="D88" i="47"/>
  <c r="D90" i="47" s="1"/>
  <c r="D128" i="47" s="1"/>
  <c r="E36" i="47" s="1"/>
  <c r="D80" i="47"/>
  <c r="D82" i="47" s="1"/>
  <c r="D127" i="47" s="1"/>
  <c r="E35" i="47" s="1"/>
  <c r="D49" i="52"/>
  <c r="D86" i="52"/>
  <c r="D124" i="52" s="1"/>
  <c r="E33" i="52" s="1"/>
  <c r="D61" i="52"/>
  <c r="D114" i="52" s="1"/>
  <c r="D64" i="47" l="1"/>
  <c r="D66" i="47" s="1"/>
  <c r="D125" i="47" s="1"/>
  <c r="E33" i="47" s="1"/>
  <c r="D72" i="47"/>
  <c r="D74" i="47" s="1"/>
  <c r="D126" i="47" s="1"/>
  <c r="E34" i="47" s="1"/>
  <c r="D68" i="52"/>
  <c r="D69" i="52" s="1"/>
  <c r="D115" i="52" s="1"/>
  <c r="D62" i="52"/>
  <c r="D121" i="52" s="1"/>
  <c r="E30" i="52" s="1"/>
  <c r="D131" i="47" l="1"/>
  <c r="E32" i="47" s="1"/>
  <c r="D70" i="52"/>
  <c r="D122" i="52" s="1"/>
  <c r="E31" i="52" s="1"/>
  <c r="D133" i="47" l="1"/>
  <c r="E40" i="47" s="1"/>
  <c r="D134" i="47"/>
  <c r="D136" i="47" s="1"/>
  <c r="D127" i="52"/>
  <c r="D130" i="52" s="1"/>
  <c r="D132" i="52" s="1"/>
  <c r="E41" i="47" l="1"/>
  <c r="E49" i="47" s="1"/>
  <c r="D138" i="47"/>
  <c r="D135" i="47"/>
  <c r="D140" i="47" s="1"/>
  <c r="E29" i="52"/>
  <c r="E38" i="52"/>
  <c r="E46" i="52" s="1"/>
  <c r="E77" i="52" s="1"/>
  <c r="E116" i="52" s="1"/>
  <c r="D129" i="52"/>
  <c r="D134" i="52" s="1"/>
  <c r="E42" i="47" l="1"/>
  <c r="E48" i="47" s="1"/>
  <c r="E56" i="47" s="1"/>
  <c r="E54" i="47" s="1"/>
  <c r="D141" i="47"/>
  <c r="D139" i="47"/>
  <c r="E37" i="52"/>
  <c r="E39" i="52" s="1"/>
  <c r="E43" i="52" s="1"/>
  <c r="D131" i="52"/>
  <c r="D137" i="52" s="1"/>
  <c r="E104" i="47" l="1"/>
  <c r="E106" i="47" s="1"/>
  <c r="E130" i="47" s="1"/>
  <c r="F38" i="47" s="1"/>
  <c r="E45" i="47"/>
  <c r="E46" i="47"/>
  <c r="E88" i="47" s="1"/>
  <c r="E90" i="47" s="1"/>
  <c r="E128" i="47" s="1"/>
  <c r="F36" i="47" s="1"/>
  <c r="E57" i="47"/>
  <c r="E53" i="47" s="1"/>
  <c r="E52" i="47" s="1"/>
  <c r="E51" i="47" s="1"/>
  <c r="E43" i="47"/>
  <c r="E44" i="47"/>
  <c r="D135" i="52"/>
  <c r="E40" i="52"/>
  <c r="E45" i="52"/>
  <c r="E53" i="52" s="1"/>
  <c r="E51" i="52" s="1"/>
  <c r="E84" i="52" s="1"/>
  <c r="E41" i="52"/>
  <c r="E42" i="52"/>
  <c r="D136" i="52"/>
  <c r="E80" i="47" l="1"/>
  <c r="E82" i="47" s="1"/>
  <c r="E127" i="47" s="1"/>
  <c r="F35" i="47" s="1"/>
  <c r="E64" i="47"/>
  <c r="E66" i="47" s="1"/>
  <c r="E125" i="47" s="1"/>
  <c r="F33" i="47" s="1"/>
  <c r="E100" i="52"/>
  <c r="E102" i="52" s="1"/>
  <c r="E126" i="52" s="1"/>
  <c r="F35" i="52" s="1"/>
  <c r="E72" i="47"/>
  <c r="E74" i="47" s="1"/>
  <c r="E126" i="47" s="1"/>
  <c r="F34" i="47" s="1"/>
  <c r="E48" i="52"/>
  <c r="E60" i="52" s="1"/>
  <c r="E61" i="52" s="1"/>
  <c r="E50" i="52"/>
  <c r="E49" i="52" s="1"/>
  <c r="E68" i="52" s="1"/>
  <c r="E69" i="52" s="1"/>
  <c r="E115" i="52" s="1"/>
  <c r="E85" i="52"/>
  <c r="E117" i="52" s="1"/>
  <c r="F30" i="52"/>
  <c r="E76" i="52" l="1"/>
  <c r="E78" i="52" s="1"/>
  <c r="E123" i="52" s="1"/>
  <c r="F32" i="52" s="1"/>
  <c r="E131" i="47"/>
  <c r="F32" i="47" s="1"/>
  <c r="E114" i="52"/>
  <c r="E62" i="52"/>
  <c r="E121" i="52" s="1"/>
  <c r="E86" i="52"/>
  <c r="E124" i="52" s="1"/>
  <c r="F33" i="52" s="1"/>
  <c r="E70" i="52"/>
  <c r="E122" i="52" s="1"/>
  <c r="E134" i="47" l="1"/>
  <c r="E136" i="47" s="1"/>
  <c r="E133" i="47"/>
  <c r="E138" i="47" s="1"/>
  <c r="F31" i="52"/>
  <c r="E127" i="52"/>
  <c r="F29" i="52" s="1"/>
  <c r="F49" i="47"/>
  <c r="E135" i="47" l="1"/>
  <c r="E140" i="47" s="1"/>
  <c r="E129" i="52"/>
  <c r="F37" i="52" s="1"/>
  <c r="E130" i="52"/>
  <c r="F42" i="47"/>
  <c r="E141" i="47" l="1"/>
  <c r="E139" i="47"/>
  <c r="F46" i="47"/>
  <c r="F48" i="47"/>
  <c r="E132" i="52"/>
  <c r="F38" i="52"/>
  <c r="E131" i="52"/>
  <c r="E134" i="52"/>
  <c r="F45" i="47"/>
  <c r="F43" i="47"/>
  <c r="F44" i="47"/>
  <c r="F106" i="47" l="1"/>
  <c r="F130" i="47" s="1"/>
  <c r="G38" i="47" s="1"/>
  <c r="F66" i="47"/>
  <c r="F125" i="47" s="1"/>
  <c r="G33" i="47" s="1"/>
  <c r="F39" i="52"/>
  <c r="F46" i="52"/>
  <c r="E137" i="52"/>
  <c r="E136" i="52"/>
  <c r="E135" i="52"/>
  <c r="F90" i="47" l="1"/>
  <c r="F128" i="47" s="1"/>
  <c r="G36" i="47" s="1"/>
  <c r="F77" i="52"/>
  <c r="F116" i="52" s="1"/>
  <c r="F45" i="52"/>
  <c r="F53" i="52" s="1"/>
  <c r="F43" i="52"/>
  <c r="F42" i="52"/>
  <c r="F41" i="52"/>
  <c r="F40" i="52"/>
  <c r="F82" i="47" l="1"/>
  <c r="F127" i="47" s="1"/>
  <c r="G35" i="47" s="1"/>
  <c r="F74" i="47"/>
  <c r="F126" i="47" s="1"/>
  <c r="F51" i="52"/>
  <c r="F102" i="52"/>
  <c r="F126" i="52" s="1"/>
  <c r="G35" i="52" s="1"/>
  <c r="F48" i="52"/>
  <c r="F61" i="52" s="1"/>
  <c r="F114" i="52" s="1"/>
  <c r="G34" i="47" l="1"/>
  <c r="F131" i="47"/>
  <c r="F50" i="52"/>
  <c r="F62" i="52"/>
  <c r="F121" i="52" s="1"/>
  <c r="G32" i="47" l="1"/>
  <c r="F133" i="47"/>
  <c r="F134" i="47"/>
  <c r="F85" i="52"/>
  <c r="F117" i="52" s="1"/>
  <c r="F78" i="52"/>
  <c r="F123" i="52" s="1"/>
  <c r="G32" i="52" s="1"/>
  <c r="F49" i="52"/>
  <c r="G30" i="52"/>
  <c r="F136" i="47" l="1"/>
  <c r="G49" i="47"/>
  <c r="G42" i="47"/>
  <c r="F138" i="47"/>
  <c r="F135" i="47"/>
  <c r="F69" i="52"/>
  <c r="F115" i="52" s="1"/>
  <c r="F86" i="52"/>
  <c r="F124" i="52" s="1"/>
  <c r="G33" i="52" s="1"/>
  <c r="G43" i="47" l="1"/>
  <c r="G48" i="47"/>
  <c r="G44" i="47"/>
  <c r="G45" i="47"/>
  <c r="G46" i="47"/>
  <c r="G66" i="47"/>
  <c r="G125" i="47" s="1"/>
  <c r="F139" i="47"/>
  <c r="F140" i="47"/>
  <c r="F141" i="47"/>
  <c r="F70" i="52"/>
  <c r="F122" i="52" s="1"/>
  <c r="G82" i="47" l="1"/>
  <c r="G127" i="47" s="1"/>
  <c r="G106" i="47"/>
  <c r="G130" i="47" s="1"/>
  <c r="G31" i="52"/>
  <c r="F127" i="52"/>
  <c r="G29" i="52"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G135" i="47" l="1"/>
  <c r="G140" i="47" s="1"/>
  <c r="G134" i="47"/>
  <c r="G136" i="47" s="1"/>
  <c r="F132" i="52"/>
  <c r="G38" i="52"/>
  <c r="G39" i="52"/>
  <c r="F131" i="52"/>
  <c r="F134" i="52"/>
  <c r="G141" i="47"/>
  <c r="G139" i="47"/>
  <c r="G43" i="52" l="1"/>
  <c r="G45" i="52"/>
  <c r="G53" i="52" s="1"/>
  <c r="G41" i="52"/>
  <c r="G40" i="52"/>
  <c r="G42" i="52"/>
  <c r="G46" i="52"/>
  <c r="F137" i="52"/>
  <c r="F136" i="52"/>
  <c r="F135" i="52"/>
  <c r="G77" i="52" l="1"/>
  <c r="G116" i="52" s="1"/>
  <c r="G48" i="52"/>
  <c r="G51" i="52"/>
  <c r="G102" i="52"/>
  <c r="G126" i="52" s="1"/>
  <c r="G50" i="52" l="1"/>
  <c r="G61" i="52"/>
  <c r="G114" i="52" s="1"/>
  <c r="G62" i="52"/>
  <c r="G121" i="52" s="1"/>
  <c r="G85" i="52" l="1"/>
  <c r="G117" i="52" s="1"/>
  <c r="G78" i="52"/>
  <c r="G123" i="52" s="1"/>
  <c r="G49" i="52"/>
  <c r="G69" i="52" l="1"/>
  <c r="G115" i="52" s="1"/>
  <c r="G86" i="52"/>
  <c r="G124" i="52" s="1"/>
  <c r="G70" i="52" l="1"/>
  <c r="G122" i="52" s="1"/>
  <c r="G127" i="52" s="1"/>
  <c r="G129" i="52" l="1"/>
  <c r="G130" i="52"/>
  <c r="G132" i="52" s="1"/>
  <c r="G131" i="52" l="1"/>
  <c r="G134" i="52"/>
  <c r="G136" i="52" l="1"/>
  <c r="G135" i="52"/>
  <c r="G137" i="52"/>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<sst xmlns="http://schemas.openxmlformats.org/spreadsheetml/2006/main" count="631" uniqueCount="401">
  <si>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</si>
  <si>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</si>
  <si>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</si>
  <si>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</si>
  <si>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</si>
  <si>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</si>
  <si>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</si>
  <si>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</si>
  <si>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</si>
  <si>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</si>
  <si>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</si>
  <si>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</si>
  <si>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</si>
  <si>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</si>
  <si>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</si>
  <si>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</si>
  <si>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</si>
  <si>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</si>
  <si>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</si>
  <si>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</si>
  <si>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</si>
  <si>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</si>
  <si>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</si>
  <si>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</si>
  <si>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</si>
  <si>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</si>
  <si>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10/1/2020 lake level</t>
  </si>
  <si>
    <t>Water Budget Component</t>
  </si>
  <si>
    <t>Year 9</t>
  </si>
  <si>
    <t>Year 10</t>
  </si>
  <si>
    <t>Role</t>
  </si>
  <si>
    <t>Upper Basin</t>
  </si>
  <si>
    <t>Lower Basin</t>
  </si>
  <si>
    <t>Mexico</t>
  </si>
  <si>
    <t>Person</t>
  </si>
  <si>
    <t>Strategy</t>
  </si>
  <si>
    <t>Natural inflow to Lake Powell</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</si>
  <si>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</si>
  <si>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</si>
  <si>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</si>
  <si>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</si>
  <si>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</si>
  <si>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</si>
  <si>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</si>
  <si>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</si>
  <si>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</si>
  <si>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</si>
  <si>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</si>
  <si>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</si>
  <si>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</si>
  <si>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</si>
  <si>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</si>
  <si>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</si>
  <si>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</si>
  <si>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</si>
  <si>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</si>
  <si>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</si>
  <si>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</si>
  <si>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</si>
  <si>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</si>
  <si>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</si>
  <si>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</si>
  <si>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</si>
  <si>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</si>
  <si>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</si>
  <si>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</si>
  <si>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</si>
  <si>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</si>
  <si>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</si>
  <si>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</si>
  <si>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</si>
  <si>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</si>
  <si>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</si>
  <si>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</si>
  <si>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</si>
  <si>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</si>
  <si>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</si>
  <si>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</si>
  <si>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</si>
  <si>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</si>
  <si>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</si>
  <si>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</si>
  <si>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</si>
  <si>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</si>
  <si>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</si>
  <si>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</si>
  <si>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4.9 to 6.5 feet per year for Powell, 5.5 to 6.4 feet per year from Schmidt et al (2016)</t>
  </si>
  <si>
    <t xml:space="preserve">    Powell</t>
  </si>
  <si>
    <t xml:space="preserve">    Mead</t>
  </si>
  <si>
    <t>Powell + Mead Evaporation</t>
  </si>
  <si>
    <t>Lake Mead Elevation-Volume-Area Relationship</t>
  </si>
  <si>
    <t>Intervening (Grand Canyon) inflow</t>
  </si>
  <si>
    <t>Combined Storage - Beginning of Year</t>
  </si>
  <si>
    <t>Mead Elev (ft)</t>
  </si>
  <si>
    <t>Mead Vol (maf)</t>
  </si>
  <si>
    <t>Total Cutback (maf/year)</t>
  </si>
  <si>
    <t>Account end-of-year balance (Available water - Account Withdrawals)</t>
  </si>
  <si>
    <t xml:space="preserve">   Starting storage (million acre feet)</t>
  </si>
  <si>
    <t>Mead-Elevation-Area</t>
  </si>
  <si>
    <t>The Lake Mead storage volume-elevation-area curve data downloaded from CRSS.</t>
  </si>
  <si>
    <t xml:space="preserve">    Net transactions (should be zero)</t>
  </si>
  <si>
    <t>Remain</t>
  </si>
  <si>
    <t>Colorado River Delta</t>
  </si>
  <si>
    <t>Total ($ Mill)</t>
  </si>
  <si>
    <t>Define the Roles (water users), the person playing, and each user's strategy in Cells A5 to C11 (Up to 6 players):</t>
  </si>
  <si>
    <t>David R.</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</si>
  <si>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</si>
  <si>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</si>
  <si>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</si>
  <si>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</si>
  <si>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</si>
  <si>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</si>
  <si>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</si>
  <si>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</si>
  <si>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</si>
  <si>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</si>
  <si>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</si>
  <si>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</si>
  <si>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</si>
  <si>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</si>
  <si>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</si>
  <si>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</si>
  <si>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</si>
  <si>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</si>
  <si>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</si>
  <si>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</si>
  <si>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</si>
  <si>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</si>
  <si>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</si>
  <si>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</si>
  <si>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</si>
  <si>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</si>
  <si>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</si>
  <si>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</si>
  <si>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</si>
  <si>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</si>
  <si>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</si>
  <si>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</si>
  <si>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</si>
  <si>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</si>
  <si>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</si>
  <si>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</si>
  <si>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</si>
  <si>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</si>
  <si>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</si>
  <si>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</si>
  <si>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</si>
  <si>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</si>
  <si>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</si>
  <si>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</si>
  <si>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</si>
  <si>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</si>
  <si>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Save up to make a 0.06 maf pulse flow every few years</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</si>
  <si>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</si>
  <si>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</si>
  <si>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</si>
  <si>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</si>
  <si>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</si>
  <si>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</si>
  <si>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</si>
  <si>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</si>
  <si>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</si>
  <si>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</si>
  <si>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</si>
  <si>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</si>
  <si>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</si>
  <si>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</si>
  <si>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</si>
  <si>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</si>
  <si>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</si>
  <si>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</si>
  <si>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</si>
  <si>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</si>
  <si>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</si>
  <si>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</si>
  <si>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</si>
  <si>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</si>
  <si>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</si>
  <si>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</si>
  <si>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</si>
  <si>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</si>
  <si>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</si>
  <si>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</si>
  <si>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</si>
  <si>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</si>
  <si>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</si>
  <si>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</si>
  <si>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</si>
  <si>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</si>
  <si>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</si>
  <si>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</si>
  <si>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</si>
  <si>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</si>
  <si>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</si>
  <si>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</si>
  <si>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</si>
  <si>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</si>
  <si>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</si>
  <si>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</si>
  <si>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</si>
  <si>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</si>
  <si>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</si>
  <si>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</si>
  <si>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</si>
  <si>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</si>
  <si>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</si>
  <si>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</si>
  <si>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</si>
  <si>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</si>
  <si>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</si>
  <si>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</si>
  <si>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</si>
  <si>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</si>
  <si>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</si>
  <si>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</si>
  <si>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</si>
  <si>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</si>
  <si>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</si>
  <si>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</si>
  <si>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</si>
  <si>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</si>
  <si>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</si>
  <si>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</si>
  <si>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</si>
  <si>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</si>
  <si>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</si>
  <si>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</si>
  <si>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2) Cutback from 7.5 maf/year based on Lake Mead elevation (see LowerBasinCuts worksheet)</t>
  </si>
  <si>
    <t>3) Cutback frome 1.5 maf/year as Lake Mead elevation falls (see LowerBasinCuts worksheet)</t>
  </si>
  <si>
    <t>Follow Law of River operations</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</si>
  <si>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</si>
  <si>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</si>
  <si>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</si>
  <si>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</si>
  <si>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</si>
  <si>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</si>
  <si>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</si>
  <si>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</si>
  <si>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</si>
  <si>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</si>
  <si>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 xml:space="preserve">   Prior 9 year Lake Powell Release (maf)</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</si>
  <si>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</si>
  <si>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</si>
  <si>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</si>
  <si>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</si>
  <si>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</si>
  <si>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</si>
  <si>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</si>
  <si>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</si>
  <si>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</si>
  <si>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</si>
  <si>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</si>
  <si>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</si>
  <si>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</si>
  <si>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</si>
  <si>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</si>
  <si>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</si>
  <si>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</si>
  <si>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</si>
  <si>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</si>
  <si>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</si>
  <si>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</si>
  <si>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</si>
  <si>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</si>
  <si>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</si>
  <si>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</si>
  <si>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</si>
  <si>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</si>
  <si>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</si>
  <si>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</si>
  <si>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</si>
  <si>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</si>
  <si>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</si>
  <si>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</si>
  <si>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</si>
  <si>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</si>
  <si>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</si>
  <si>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</si>
  <si>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</si>
  <si>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</si>
  <si>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</si>
  <si>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</si>
  <si>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</si>
  <si>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</si>
  <si>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</si>
  <si>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</si>
  <si>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</si>
  <si>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</si>
  <si>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</si>
  <si>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</si>
  <si>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</si>
  <si>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</si>
  <si>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</si>
  <si>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</si>
  <si>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</si>
  <si>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</si>
  <si>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</si>
  <si>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</si>
  <si>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</si>
  <si>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</si>
  <si>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DESCRIPTION</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</si>
  <si>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</si>
  <si>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</si>
  <si>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</si>
  <si>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</si>
  <si>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</si>
  <si>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</si>
  <si>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</si>
  <si>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</si>
  <si>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</si>
  <si>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</si>
  <si>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</si>
  <si>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</si>
  <si>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</si>
  <si>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</si>
  <si>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</si>
  <si>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</si>
  <si>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</si>
  <si>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</si>
  <si>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</si>
  <si>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</si>
  <si>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</si>
  <si>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</si>
  <si>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</si>
  <si>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</si>
  <si>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</si>
  <si>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</si>
  <si>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</si>
  <si>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</si>
  <si>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</si>
  <si>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</si>
  <si>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</si>
  <si>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</si>
  <si>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</si>
  <si>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</si>
  <si>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</si>
  <si>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</si>
  <si>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</si>
  <si>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</si>
  <si>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</si>
  <si>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</si>
  <si>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</si>
  <si>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</si>
  <si>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</si>
  <si>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</si>
  <si>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</si>
  <si>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</si>
  <si>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</si>
  <si>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</si>
  <si>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</si>
  <si>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</si>
  <si>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</si>
  <si>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</si>
  <si>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</si>
  <si>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</si>
  <si>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</si>
  <si>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</si>
  <si>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</si>
  <si>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</si>
  <si>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</si>
  <si>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</si>
  <si>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</si>
  <si>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</si>
  <si>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</si>
  <si>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</si>
  <si>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</si>
  <si>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</si>
  <si>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</si>
  <si>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</si>
  <si>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</si>
  <si>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</si>
  <si>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</si>
  <si>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</si>
  <si>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</si>
  <si>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</si>
  <si>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</si>
  <si>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</si>
  <si>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</si>
  <si>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</si>
  <si>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</si>
  <si>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</si>
  <si>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</si>
  <si>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</si>
  <si>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</si>
  <si>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</si>
  <si>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</si>
  <si>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XXX</t>
  </si>
  <si>
    <t>Get paid to conserve to prepare for curtailment</t>
  </si>
  <si>
    <t>Follow drought contingency plan schedule</t>
  </si>
  <si>
    <t>Save some water. Sell some water for non-water projects.</t>
  </si>
  <si>
    <t>Participants played 3 years. Ignore results for years 4 and 5.</t>
  </si>
  <si>
    <t>This workbook shows participant use of Flex accounting for a combined Lake Powell-Lake Mead system for three years. The participants chose the hydrology and party decisions. Results on the Participants worksheet are compared to Law-Of-River operations. See the Plots workshee for visual comparisons.</t>
  </si>
  <si>
    <t>For an interactive version of the workbook (new participants play) see:</t>
  </si>
  <si>
    <t>Participants</t>
  </si>
  <si>
    <t>Worksheet filled out by participants (3 parties - Upper Basin, Lower Basin, Mexico).</t>
  </si>
  <si>
    <t>LawOfRiver</t>
  </si>
  <si>
    <t>Uses same hydrology as on Participant worksheet. All political choices are coded for the Law of River. Compare Participant and LawOfRiver Results on Plots worksheet</t>
  </si>
  <si>
    <t>Plots</t>
  </si>
  <si>
    <t>ParticipantExample</t>
  </si>
  <si>
    <t>Added participant example (Participant worksheet) and compared to Law of the River.</t>
  </si>
  <si>
    <t>Sept 2021?,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</si>
</sst>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3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9" fontId="4" fillId="4" borderId="1" xfId="5" applyNumberFormat="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3" fillId="2" borderId="16"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2" fillId="13" borderId="9" xfId="9" applyBorder="1" applyAlignment="1">
      <alignment horizontal="center"/>
    </xf>
    <xf numFmtId="0" fontId="1" fillId="0" borderId="0" xfId="0" applyFont="1" applyAlignment="1">
      <alignment horizontal="left" wrapText="1"/>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6" fontId="4" fillId="4" borderId="9" xfId="5"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164" fontId="2" fillId="15" borderId="17" xfId="11" applyNumberFormat="1"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9" fontId="3" fillId="2" borderId="1" xfId="2" applyNumberFormat="1" applyFont="1" applyAlignment="1">
      <alignment horizontal="center"/>
    </xf>
    <xf numFmtId="169" fontId="0" fillId="13" borderId="1" xfId="9" applyNumberFormat="1" applyFont="1" applyBorder="1" applyAlignment="1">
      <alignment horizontal="center"/>
    </xf>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20"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21"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0" fillId="13" borderId="9" xfId="9" applyFont="1" applyBorder="1" applyAlignment="1">
      <alignment horizontal="center"/>
    </xf>
    <xf numFmtId="0" fontId="9" fillId="5" borderId="0" xfId="0" applyFont="1" applyFill="1" applyAlignment="1">
      <alignment horizontal="center"/>
    </xf>
    <xf numFmtId="0" fontId="0" fillId="0" borderId="0" xfId="0" applyAlignment="1">
      <alignment horizontal="left" wrapText="1"/>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9"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8"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8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Participants!$C$118:$G$118</c:f>
              <c:numCache>
                <c:formatCode>0.0</c:formatCode>
                <c:ptCount val="5"/>
                <c:pt idx="0">
                  <c:v>4</c:v>
                </c:pt>
                <c:pt idx="1">
                  <c:v>3.5</c:v>
                </c:pt>
                <c:pt idx="2">
                  <c:v>2</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LawOfRiver!$C$114:$G$114</c:f>
              <c:numCache>
                <c:formatCode>0.0</c:formatCode>
                <c:ptCount val="5"/>
                <c:pt idx="0">
                  <c:v>4.2</c:v>
                </c:pt>
                <c:pt idx="1">
                  <c:v>4.2</c:v>
                </c:pt>
                <c:pt idx="2">
                  <c:v>2.4332611268417867</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Participants!$C$125:$G$125</c:f>
              <c:numCache>
                <c:formatCode>0.0</c:formatCode>
                <c:ptCount val="5"/>
                <c:pt idx="0">
                  <c:v>3.8673046547513863</c:v>
                </c:pt>
                <c:pt idx="1">
                  <c:v>3.2185773713728452</c:v>
                </c:pt>
                <c:pt idx="2">
                  <c:v>4.1575573770854142</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LawOfRiver!$C$121:$G$121</c:f>
              <c:numCache>
                <c:formatCode>0.0</c:formatCode>
                <c:ptCount val="5"/>
                <c:pt idx="0">
                  <c:v>7.1406808836493001</c:v>
                </c:pt>
                <c:pt idx="1">
                  <c:v>2.5793499884314777</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Participants!$C$27:$G$27</c:f>
              <c:strCache>
                <c:ptCount val="5"/>
                <c:pt idx="0">
                  <c:v>Year 1</c:v>
                </c:pt>
                <c:pt idx="1">
                  <c:v>Year 2</c:v>
                </c:pt>
                <c:pt idx="2">
                  <c:v>Year 3</c:v>
                </c:pt>
                <c:pt idx="3">
                  <c:v>Year 4</c:v>
                </c:pt>
                <c:pt idx="4">
                  <c:v>Year 5</c:v>
                </c:pt>
              </c:strCache>
            </c:strRef>
          </c:cat>
          <c:val>
            <c:numRef>
              <c:f>Participants!$C$119:$G$119</c:f>
              <c:numCache>
                <c:formatCode>0.0</c:formatCode>
                <c:ptCount val="5"/>
                <c:pt idx="0">
                  <c:v>7</c:v>
                </c:pt>
                <c:pt idx="1">
                  <c:v>6</c:v>
                </c:pt>
                <c:pt idx="2">
                  <c:v>3.75</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Participants!$C$27:$G$27</c:f>
              <c:strCache>
                <c:ptCount val="5"/>
                <c:pt idx="0">
                  <c:v>Year 1</c:v>
                </c:pt>
                <c:pt idx="1">
                  <c:v>Year 2</c:v>
                </c:pt>
                <c:pt idx="2">
                  <c:v>Year 3</c:v>
                </c:pt>
                <c:pt idx="3">
                  <c:v>Year 4</c:v>
                </c:pt>
                <c:pt idx="4">
                  <c:v>Year 5</c:v>
                </c:pt>
              </c:strCache>
            </c:strRef>
          </c:cat>
          <c:val>
            <c:numRef>
              <c:f>LawOfRiver!$C$115:$G$115</c:f>
              <c:numCache>
                <c:formatCode>0.0</c:formatCode>
                <c:ptCount val="5"/>
                <c:pt idx="0">
                  <c:v>6.9333458765396667</c:v>
                </c:pt>
                <c:pt idx="1">
                  <c:v>6.4051333052173369</c:v>
                </c:pt>
                <c:pt idx="2">
                  <c:v>5.9011676541942792</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Participants!$C$126:$G$126</c:f>
              <c:numCache>
                <c:formatCode>0.0</c:formatCode>
                <c:ptCount val="5"/>
                <c:pt idx="0">
                  <c:v>3.5023926035218711</c:v>
                </c:pt>
                <c:pt idx="1">
                  <c:v>0.77989121191754229</c:v>
                </c:pt>
                <c:pt idx="2">
                  <c:v>1.1458703989160046E-2</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Participants!$C$131:$G$131</c:f>
              <c:numCache>
                <c:formatCode>0.0</c:formatCode>
                <c:ptCount val="5"/>
                <c:pt idx="0">
                  <c:v>18.978102320000026</c:v>
                </c:pt>
                <c:pt idx="1">
                  <c:v>15.718665124501197</c:v>
                </c:pt>
                <c:pt idx="2">
                  <c:v>15.839742874500025</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LawOfRiver!$C$127:$G$127</c:f>
              <c:numCache>
                <c:formatCode>0.0</c:formatCode>
                <c:ptCount val="5"/>
                <c:pt idx="0">
                  <c:v>18.91297866568258</c:v>
                </c:pt>
                <c:pt idx="1">
                  <c:v>14.358037906686292</c:v>
                </c:pt>
                <c:pt idx="2">
                  <c:v>11.78362281787185</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Futures/tree/master/ModelMusings" TargetMode="External"/><Relationship Id="rId5" Type="http://schemas.openxmlformats.org/officeDocument/2006/relationships/hyperlink" Target="https://github.com/dzeke/ColoradoRiverCoding/tree/main/ModelMusings"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36"/>
  <sheetViews>
    <sheetView zoomScale="150" zoomScaleNormal="150" workbookViewId="0">
      <selection activeCell="N11" sqref="N1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0" t="s">
        <v>385</v>
      </c>
      <c r="B1" s="190"/>
      <c r="C1" s="190"/>
      <c r="D1" s="190"/>
      <c r="E1" s="190"/>
      <c r="F1" s="190"/>
      <c r="G1" s="190"/>
      <c r="H1" s="190"/>
      <c r="I1" s="190"/>
      <c r="J1" s="190"/>
      <c r="K1" s="190"/>
      <c r="L1" s="190"/>
    </row>
    <row r="2" spans="1:18" x14ac:dyDescent="0.35">
      <c r="A2" s="1"/>
      <c r="B2" s="1"/>
      <c r="C2" s="2"/>
      <c r="D2"/>
    </row>
    <row r="3" spans="1:18" x14ac:dyDescent="0.35">
      <c r="A3" s="181" t="s">
        <v>300</v>
      </c>
      <c r="B3" s="182"/>
      <c r="C3" s="183"/>
      <c r="D3" s="184"/>
      <c r="E3" s="184"/>
      <c r="F3" s="184"/>
      <c r="G3" s="184"/>
      <c r="H3" s="184"/>
      <c r="I3" s="184"/>
      <c r="J3" s="184"/>
      <c r="K3" s="184"/>
      <c r="L3" s="185"/>
      <c r="N3" s="1" t="s">
        <v>230</v>
      </c>
    </row>
    <row r="4" spans="1:18" s="61" customFormat="1" ht="66" customHeight="1" x14ac:dyDescent="0.35">
      <c r="A4" s="193" t="s">
        <v>391</v>
      </c>
      <c r="B4" s="194"/>
      <c r="C4" s="194"/>
      <c r="D4" s="194"/>
      <c r="E4" s="194"/>
      <c r="F4" s="194"/>
      <c r="G4" s="194"/>
      <c r="H4" s="194"/>
      <c r="I4" s="194"/>
      <c r="J4" s="194"/>
      <c r="K4" s="194"/>
      <c r="L4" s="195"/>
      <c r="N4" s="192" t="s">
        <v>231</v>
      </c>
      <c r="O4" s="192"/>
      <c r="P4" s="192"/>
      <c r="Q4" s="192"/>
      <c r="R4" s="192"/>
    </row>
    <row r="5" spans="1:18" s="97" customFormat="1" ht="16" customHeight="1" x14ac:dyDescent="0.35">
      <c r="A5" s="193" t="s">
        <v>392</v>
      </c>
      <c r="B5" s="194"/>
      <c r="C5" s="194"/>
      <c r="D5" s="194"/>
      <c r="E5" s="194"/>
      <c r="F5" s="194"/>
      <c r="G5" s="194"/>
      <c r="H5" s="194"/>
      <c r="I5" s="194"/>
      <c r="J5" s="194"/>
      <c r="K5" s="194"/>
      <c r="L5" s="195"/>
    </row>
    <row r="6" spans="1:18" s="97" customFormat="1" ht="19.5" customHeight="1" x14ac:dyDescent="0.35">
      <c r="A6" s="196" t="s">
        <v>373</v>
      </c>
      <c r="B6" s="197"/>
      <c r="C6" s="197"/>
      <c r="D6" s="197"/>
      <c r="E6" s="197"/>
      <c r="F6" s="197"/>
      <c r="G6" s="197"/>
      <c r="H6" s="197"/>
      <c r="I6" s="197"/>
      <c r="J6" s="197"/>
      <c r="K6" s="197"/>
      <c r="L6" s="198"/>
      <c r="N6" s="188" t="s">
        <v>377</v>
      </c>
    </row>
    <row r="7" spans="1:18" s="97" customFormat="1" ht="14.5" customHeight="1" x14ac:dyDescent="0.35">
      <c r="A7" s="131"/>
      <c r="B7" s="131"/>
      <c r="C7" s="131"/>
      <c r="D7" s="131"/>
      <c r="E7" s="131"/>
      <c r="F7" s="131"/>
      <c r="G7" s="131"/>
      <c r="H7" s="131"/>
      <c r="I7" s="131"/>
      <c r="J7" s="131"/>
      <c r="K7" s="131"/>
      <c r="L7" s="131"/>
    </row>
    <row r="8" spans="1:18" ht="16.5" customHeight="1" x14ac:dyDescent="0.35">
      <c r="A8" s="1" t="s">
        <v>303</v>
      </c>
    </row>
    <row r="9" spans="1:18" ht="15" customHeight="1" x14ac:dyDescent="0.35">
      <c r="B9" s="2" t="s">
        <v>107</v>
      </c>
      <c r="C9" t="s">
        <v>144</v>
      </c>
      <c r="N9" s="1" t="s">
        <v>301</v>
      </c>
    </row>
    <row r="10" spans="1:18" ht="15.75" customHeight="1" x14ac:dyDescent="0.35">
      <c r="B10" s="2" t="s">
        <v>393</v>
      </c>
      <c r="C10" t="s">
        <v>394</v>
      </c>
      <c r="N10" s="120" t="s">
        <v>302</v>
      </c>
    </row>
    <row r="11" spans="1:18" s="66" customFormat="1" ht="20.25" customHeight="1" x14ac:dyDescent="0.35">
      <c r="A11"/>
      <c r="B11" s="2" t="s">
        <v>395</v>
      </c>
      <c r="C11" t="s">
        <v>396</v>
      </c>
      <c r="D11" s="2"/>
      <c r="E11"/>
      <c r="F11"/>
      <c r="G11"/>
      <c r="H11"/>
      <c r="I11"/>
      <c r="J11"/>
      <c r="K11"/>
      <c r="L11"/>
    </row>
    <row r="12" spans="1:18" s="67" customFormat="1" x14ac:dyDescent="0.35">
      <c r="A12"/>
      <c r="B12" s="2" t="s">
        <v>397</v>
      </c>
      <c r="C12" t="s">
        <v>247</v>
      </c>
      <c r="D12" s="2"/>
      <c r="E12"/>
      <c r="F12"/>
      <c r="G12"/>
      <c r="H12"/>
      <c r="I12"/>
      <c r="J12"/>
      <c r="K12"/>
      <c r="L12"/>
    </row>
    <row r="13" spans="1:18" x14ac:dyDescent="0.35">
      <c r="B13" s="2" t="s">
        <v>176</v>
      </c>
      <c r="C13" t="s">
        <v>177</v>
      </c>
    </row>
    <row r="14" spans="1:18" x14ac:dyDescent="0.35">
      <c r="B14" s="2" t="s">
        <v>78</v>
      </c>
      <c r="C14" t="s">
        <v>79</v>
      </c>
    </row>
    <row r="15" spans="1:18" x14ac:dyDescent="0.35">
      <c r="B15" s="2" t="s">
        <v>80</v>
      </c>
      <c r="C15" t="s">
        <v>81</v>
      </c>
    </row>
    <row r="16" spans="1:18" x14ac:dyDescent="0.35">
      <c r="B16" s="2" t="s">
        <v>98</v>
      </c>
      <c r="C16" t="s">
        <v>99</v>
      </c>
    </row>
    <row r="17" spans="1:12" x14ac:dyDescent="0.35">
      <c r="B17" s="2" t="s">
        <v>289</v>
      </c>
      <c r="C17" t="s">
        <v>290</v>
      </c>
    </row>
    <row r="19" spans="1:12" x14ac:dyDescent="0.35">
      <c r="A19" s="1" t="s">
        <v>147</v>
      </c>
    </row>
    <row r="20" spans="1:12" x14ac:dyDescent="0.35">
      <c r="A20" t="s">
        <v>148</v>
      </c>
    </row>
    <row r="21" spans="1:12" x14ac:dyDescent="0.35">
      <c r="A21" t="s">
        <v>149</v>
      </c>
    </row>
    <row r="22" spans="1:12" x14ac:dyDescent="0.35">
      <c r="A22" s="51" t="s">
        <v>150</v>
      </c>
    </row>
    <row r="23" spans="1:12" x14ac:dyDescent="0.35">
      <c r="A23" s="51" t="s">
        <v>151</v>
      </c>
    </row>
    <row r="24" spans="1:12" x14ac:dyDescent="0.35">
      <c r="A24" s="51"/>
    </row>
    <row r="25" spans="1:12" x14ac:dyDescent="0.35">
      <c r="A25" s="1" t="s">
        <v>376</v>
      </c>
    </row>
    <row r="26" spans="1:12" x14ac:dyDescent="0.35">
      <c r="A26" s="51" t="s">
        <v>374</v>
      </c>
    </row>
    <row r="28" spans="1:12" x14ac:dyDescent="0.35">
      <c r="A28" s="1" t="s">
        <v>39</v>
      </c>
    </row>
    <row r="29" spans="1:12" x14ac:dyDescent="0.35">
      <c r="A29" s="191" t="s">
        <v>375</v>
      </c>
      <c r="B29" s="191"/>
      <c r="C29" s="191"/>
      <c r="D29" s="191"/>
      <c r="E29" s="191"/>
      <c r="F29" s="191"/>
      <c r="G29" s="191"/>
      <c r="H29" s="191"/>
      <c r="I29" s="191"/>
      <c r="J29" s="191"/>
      <c r="K29" s="191"/>
      <c r="L29" s="191"/>
    </row>
    <row r="30" spans="1:12" ht="29.15" customHeight="1" x14ac:dyDescent="0.35"/>
    <row r="35" ht="16" customHeight="1" x14ac:dyDescent="0.35"/>
    <row r="36" ht="29.25" customHeight="1" x14ac:dyDescent="0.35"/>
  </sheetData>
  <mergeCells count="6">
    <mergeCell ref="A1:L1"/>
    <mergeCell ref="A29:L29"/>
    <mergeCell ref="N4:R4"/>
    <mergeCell ref="A4:L4"/>
    <mergeCell ref="A5:L5"/>
    <mergeCell ref="A6:L6"/>
  </mergeCells>
  <hyperlinks>
    <hyperlink ref="A22" r:id="rId1" xr:uid="{6B934EC2-E381-41EE-938C-08FAF5E51BBE}"/>
    <hyperlink ref="A23" r:id="rId2" xr:uid="{785DB934-D308-4A7B-B51A-B3D1C1CB613D}"/>
    <hyperlink ref="N6" r:id="rId3" display="https://github.com/dzeke/ColoradoRiverCoding/raw/main/ModelMusings/PilotFlexAccounting-KeyIdeas.pdf" xr:uid="{131A8731-68D5-4DE1-835C-AA3411740421}"/>
    <hyperlink ref="N10" r:id="rId4" xr:uid="{072649A5-E2A3-441E-B368-B60853092EBA}"/>
    <hyperlink ref="A6" r:id="rId5" xr:uid="{F74014F9-5FE3-47D2-A171-A9ABB56F1943}"/>
    <hyperlink ref="A26" r:id="rId6"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90</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4.5" x14ac:dyDescent="0.35"/>
  <cols>
    <col min="1" max="2" width="8.7265625" style="67"/>
    <col min="3" max="3" width="3.7265625" style="67" customWidth="1"/>
    <col min="4" max="4" width="46.54296875" style="67" customWidth="1"/>
  </cols>
  <sheetData>
    <row r="1" spans="1:4" x14ac:dyDescent="0.35">
      <c r="A1" s="67" t="s">
        <v>288</v>
      </c>
    </row>
    <row r="3" spans="1:4" s="1" customFormat="1" x14ac:dyDescent="0.35">
      <c r="A3" s="227" t="s">
        <v>285</v>
      </c>
      <c r="B3" s="227"/>
      <c r="C3" s="227"/>
      <c r="D3" s="151" t="s">
        <v>284</v>
      </c>
    </row>
    <row r="4" spans="1:4" ht="29" x14ac:dyDescent="0.35">
      <c r="A4" s="228" t="s">
        <v>278</v>
      </c>
      <c r="B4" s="228"/>
      <c r="C4" s="228"/>
      <c r="D4" s="42" t="s">
        <v>283</v>
      </c>
    </row>
    <row r="5" spans="1:4" ht="43.5" x14ac:dyDescent="0.35">
      <c r="A5" s="229" t="s">
        <v>279</v>
      </c>
      <c r="B5" s="229"/>
      <c r="C5" s="229"/>
      <c r="D5" s="42" t="s">
        <v>299</v>
      </c>
    </row>
    <row r="6" spans="1:4" ht="58" x14ac:dyDescent="0.35">
      <c r="A6" s="230" t="s">
        <v>280</v>
      </c>
      <c r="B6" s="230"/>
      <c r="C6" s="230"/>
      <c r="D6" s="42" t="s">
        <v>282</v>
      </c>
    </row>
    <row r="7" spans="1:4" ht="29" x14ac:dyDescent="0.35">
      <c r="A7" s="231" t="s">
        <v>37</v>
      </c>
      <c r="B7" s="231"/>
      <c r="C7" s="231"/>
      <c r="D7" s="42" t="s">
        <v>281</v>
      </c>
    </row>
    <row r="11" spans="1:4" x14ac:dyDescent="0.35">
      <c r="A11" s="228" t="s">
        <v>278</v>
      </c>
      <c r="B11" s="228"/>
      <c r="C11" s="228"/>
    </row>
    <row r="12" spans="1:4" x14ac:dyDescent="0.35">
      <c r="A12" s="229" t="s">
        <v>279</v>
      </c>
      <c r="B12" s="229"/>
      <c r="C12" s="229"/>
    </row>
    <row r="13" spans="1:4" x14ac:dyDescent="0.35">
      <c r="A13" s="230" t="s">
        <v>280</v>
      </c>
      <c r="B13" s="230"/>
      <c r="C13" s="230"/>
    </row>
    <row r="14" spans="1:4" x14ac:dyDescent="0.35">
      <c r="A14" s="231" t="s">
        <v>37</v>
      </c>
      <c r="B14" s="231"/>
      <c r="C14" s="23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1"/>
  <sheetViews>
    <sheetView zoomScale="150" zoomScaleNormal="150" workbookViewId="0">
      <selection activeCell="C4" sqref="C4"/>
    </sheetView>
  </sheetViews>
  <sheetFormatPr defaultRowHeight="14.5" x14ac:dyDescent="0.35"/>
  <cols>
    <col min="1" max="1" width="12.54296875" style="43" customWidth="1"/>
    <col min="2" max="2" width="7.81640625" style="177" customWidth="1"/>
    <col min="3" max="3" width="29.81640625" style="42" customWidth="1"/>
    <col min="4" max="4" width="12.453125" style="45" customWidth="1"/>
    <col min="5" max="5" width="15.1796875" style="45" customWidth="1"/>
    <col min="6" max="6" width="12" style="43" customWidth="1"/>
    <col min="8" max="8" width="32.453125" style="61" customWidth="1"/>
    <col min="9" max="9" width="12.453125" style="61" customWidth="1"/>
    <col min="10" max="10" width="11" style="126" customWidth="1"/>
  </cols>
  <sheetData>
    <row r="1" spans="1:10" s="39" customFormat="1" ht="30.65" customHeight="1" x14ac:dyDescent="0.35">
      <c r="A1" s="40" t="s">
        <v>108</v>
      </c>
      <c r="B1" s="175" t="s">
        <v>125</v>
      </c>
      <c r="C1" s="41" t="s">
        <v>109</v>
      </c>
      <c r="D1" s="40" t="s">
        <v>111</v>
      </c>
      <c r="E1" s="40" t="s">
        <v>110</v>
      </c>
      <c r="F1" s="40" t="s">
        <v>112</v>
      </c>
      <c r="H1" s="123" t="s">
        <v>157</v>
      </c>
      <c r="I1" s="123" t="s">
        <v>110</v>
      </c>
      <c r="J1" s="124" t="s">
        <v>112</v>
      </c>
    </row>
    <row r="2" spans="1:10" x14ac:dyDescent="0.35">
      <c r="A2" s="64"/>
      <c r="B2" s="176"/>
      <c r="C2" s="63"/>
      <c r="D2" s="62"/>
      <c r="E2" s="62"/>
      <c r="F2" s="64"/>
      <c r="H2" s="42"/>
      <c r="I2" s="42"/>
      <c r="J2" s="43"/>
    </row>
    <row r="3" spans="1:10" ht="43.5" x14ac:dyDescent="0.35">
      <c r="A3" s="64">
        <v>44581</v>
      </c>
      <c r="B3" s="176" t="s">
        <v>398</v>
      </c>
      <c r="C3" s="63" t="s">
        <v>399</v>
      </c>
      <c r="D3" s="62" t="s">
        <v>105</v>
      </c>
      <c r="E3" s="62" t="s">
        <v>304</v>
      </c>
      <c r="F3" s="64" t="s">
        <v>400</v>
      </c>
      <c r="H3" s="42"/>
      <c r="I3" s="42"/>
      <c r="J3" s="43"/>
    </row>
    <row r="4" spans="1:10" ht="87" x14ac:dyDescent="0.35">
      <c r="A4" s="64">
        <v>44532</v>
      </c>
      <c r="B4" s="176" t="s">
        <v>372</v>
      </c>
      <c r="C4" s="63" t="s">
        <v>378</v>
      </c>
      <c r="D4" s="62" t="s">
        <v>105</v>
      </c>
      <c r="E4" s="62" t="s">
        <v>105</v>
      </c>
      <c r="F4" s="64"/>
      <c r="H4" s="42"/>
      <c r="I4" s="42"/>
      <c r="J4" s="44"/>
    </row>
    <row r="5" spans="1:10" ht="40.5" customHeight="1" x14ac:dyDescent="0.35">
      <c r="A5" s="64">
        <v>44501</v>
      </c>
      <c r="B5" s="176" t="s">
        <v>370</v>
      </c>
      <c r="C5" s="63" t="s">
        <v>371</v>
      </c>
      <c r="D5" s="62" t="s">
        <v>105</v>
      </c>
      <c r="E5" s="62" t="s">
        <v>105</v>
      </c>
      <c r="F5" s="64"/>
      <c r="H5" s="42"/>
      <c r="I5" s="42"/>
      <c r="J5" s="44"/>
    </row>
    <row r="6" spans="1:10" ht="38.5" customHeight="1" x14ac:dyDescent="0.35">
      <c r="A6" s="64">
        <v>44500</v>
      </c>
      <c r="B6" s="176" t="s">
        <v>368</v>
      </c>
      <c r="C6" s="63" t="s">
        <v>369</v>
      </c>
      <c r="D6" s="62" t="s">
        <v>105</v>
      </c>
      <c r="E6" s="62" t="s">
        <v>105</v>
      </c>
      <c r="F6" s="64"/>
      <c r="H6" s="42" t="s">
        <v>158</v>
      </c>
      <c r="I6" s="42" t="s">
        <v>105</v>
      </c>
      <c r="J6" s="43"/>
    </row>
    <row r="7" spans="1:10" ht="43.5" x14ac:dyDescent="0.35">
      <c r="A7" s="64">
        <v>44496</v>
      </c>
      <c r="B7" s="176" t="s">
        <v>363</v>
      </c>
      <c r="C7" s="63" t="s">
        <v>364</v>
      </c>
      <c r="D7" s="62" t="s">
        <v>105</v>
      </c>
      <c r="E7" s="62" t="s">
        <v>355</v>
      </c>
      <c r="F7" s="64"/>
      <c r="H7" s="42" t="s">
        <v>356</v>
      </c>
      <c r="I7" s="125" t="s">
        <v>179</v>
      </c>
      <c r="J7" s="44">
        <v>44482</v>
      </c>
    </row>
    <row r="8" spans="1:10" ht="72.5" x14ac:dyDescent="0.35">
      <c r="A8" s="64">
        <v>44496</v>
      </c>
      <c r="B8" s="176" t="s">
        <v>361</v>
      </c>
      <c r="C8" s="63" t="s">
        <v>362</v>
      </c>
      <c r="D8" s="62" t="s">
        <v>105</v>
      </c>
      <c r="E8" s="62" t="s">
        <v>379</v>
      </c>
      <c r="F8" s="64">
        <v>44495</v>
      </c>
      <c r="H8" s="42" t="s">
        <v>357</v>
      </c>
      <c r="I8" s="125" t="s">
        <v>105</v>
      </c>
      <c r="J8" s="44"/>
    </row>
    <row r="9" spans="1:10" ht="29" x14ac:dyDescent="0.35">
      <c r="A9" s="64">
        <v>44480</v>
      </c>
      <c r="B9" s="176" t="s">
        <v>354</v>
      </c>
      <c r="C9" s="63" t="s">
        <v>351</v>
      </c>
      <c r="D9" s="62" t="s">
        <v>105</v>
      </c>
      <c r="E9" s="62"/>
      <c r="F9" s="64"/>
      <c r="H9" s="42" t="s">
        <v>183</v>
      </c>
      <c r="I9" s="42" t="s">
        <v>179</v>
      </c>
      <c r="J9" s="44">
        <v>44385</v>
      </c>
    </row>
    <row r="10" spans="1:10" ht="29" x14ac:dyDescent="0.35">
      <c r="A10" s="64">
        <v>44480</v>
      </c>
      <c r="B10" s="176" t="s">
        <v>353</v>
      </c>
      <c r="C10" s="63" t="s">
        <v>350</v>
      </c>
      <c r="D10" s="62" t="s">
        <v>105</v>
      </c>
      <c r="E10" s="62" t="s">
        <v>105</v>
      </c>
      <c r="F10" s="64"/>
      <c r="H10" s="42" t="s">
        <v>242</v>
      </c>
      <c r="I10" s="125" t="s">
        <v>236</v>
      </c>
      <c r="J10" s="44">
        <v>44391</v>
      </c>
    </row>
    <row r="11" spans="1:10" ht="72.5" x14ac:dyDescent="0.35">
      <c r="A11" s="64">
        <v>44480</v>
      </c>
      <c r="B11" s="176" t="s">
        <v>352</v>
      </c>
      <c r="C11" s="63" t="s">
        <v>349</v>
      </c>
      <c r="D11" s="62" t="s">
        <v>105</v>
      </c>
      <c r="E11" s="62" t="s">
        <v>304</v>
      </c>
      <c r="F11" s="64" t="s">
        <v>305</v>
      </c>
      <c r="H11" s="42" t="s">
        <v>181</v>
      </c>
      <c r="I11" s="125" t="s">
        <v>236</v>
      </c>
      <c r="J11" s="44">
        <v>44391</v>
      </c>
    </row>
    <row r="12" spans="1:10" ht="43.5" x14ac:dyDescent="0.35">
      <c r="A12" s="64">
        <v>44474</v>
      </c>
      <c r="B12" s="62">
        <v>3.7</v>
      </c>
      <c r="C12" s="63" t="s">
        <v>291</v>
      </c>
      <c r="D12" s="62" t="s">
        <v>105</v>
      </c>
      <c r="E12" s="62" t="s">
        <v>105</v>
      </c>
      <c r="F12" s="64"/>
      <c r="H12" s="42" t="s">
        <v>182</v>
      </c>
      <c r="I12" s="125" t="s">
        <v>236</v>
      </c>
      <c r="J12" s="44">
        <v>44391</v>
      </c>
    </row>
    <row r="13" spans="1:10" ht="43.5" x14ac:dyDescent="0.35">
      <c r="A13" s="64">
        <v>44463</v>
      </c>
      <c r="B13" s="62" t="s">
        <v>367</v>
      </c>
      <c r="C13" s="63" t="s">
        <v>272</v>
      </c>
      <c r="D13" s="62" t="s">
        <v>105</v>
      </c>
      <c r="E13" s="62" t="s">
        <v>380</v>
      </c>
      <c r="F13" s="64">
        <v>44432</v>
      </c>
      <c r="H13" s="42"/>
      <c r="I13" s="42"/>
      <c r="J13" s="43"/>
    </row>
    <row r="14" spans="1:10" ht="58" x14ac:dyDescent="0.35">
      <c r="A14" s="64">
        <v>44459</v>
      </c>
      <c r="B14" s="62" t="s">
        <v>251</v>
      </c>
      <c r="C14" s="63" t="s">
        <v>252</v>
      </c>
      <c r="D14" s="62" t="s">
        <v>105</v>
      </c>
      <c r="E14" s="62" t="s">
        <v>105</v>
      </c>
      <c r="F14" s="64"/>
      <c r="H14" s="42"/>
      <c r="I14" s="42"/>
      <c r="J14" s="43"/>
    </row>
    <row r="15" spans="1:10" ht="43.5" x14ac:dyDescent="0.35">
      <c r="A15" s="64">
        <v>44459</v>
      </c>
      <c r="B15" s="62">
        <v>3.6</v>
      </c>
      <c r="C15" s="63" t="s">
        <v>253</v>
      </c>
      <c r="D15" s="62" t="s">
        <v>105</v>
      </c>
      <c r="E15" s="62" t="s">
        <v>105</v>
      </c>
      <c r="F15" s="64"/>
      <c r="H15" s="42"/>
      <c r="I15" s="42"/>
      <c r="J15" s="43"/>
    </row>
    <row r="16" spans="1:10" ht="58" x14ac:dyDescent="0.35">
      <c r="A16" s="64">
        <v>44432</v>
      </c>
      <c r="B16" s="62">
        <v>3.5</v>
      </c>
      <c r="C16" s="63" t="s">
        <v>246</v>
      </c>
      <c r="D16" s="62" t="s">
        <v>105</v>
      </c>
      <c r="E16" s="62" t="s">
        <v>105</v>
      </c>
      <c r="F16" s="64">
        <v>44424</v>
      </c>
      <c r="H16" s="42"/>
      <c r="I16" s="42"/>
      <c r="J16" s="43"/>
    </row>
    <row r="17" spans="1:6" ht="101.5" x14ac:dyDescent="0.35">
      <c r="A17" s="64">
        <v>44432</v>
      </c>
      <c r="B17" s="62">
        <v>3.5</v>
      </c>
      <c r="C17" s="63" t="s">
        <v>248</v>
      </c>
      <c r="D17" s="62" t="s">
        <v>105</v>
      </c>
      <c r="E17" s="62" t="s">
        <v>381</v>
      </c>
      <c r="F17" s="64">
        <v>44424</v>
      </c>
    </row>
    <row r="18" spans="1:6" ht="87" x14ac:dyDescent="0.35">
      <c r="A18" s="64">
        <v>44432</v>
      </c>
      <c r="B18" s="62">
        <v>3.5</v>
      </c>
      <c r="C18" s="63" t="s">
        <v>243</v>
      </c>
      <c r="D18" s="62" t="s">
        <v>105</v>
      </c>
      <c r="E18" s="62"/>
      <c r="F18" s="64"/>
    </row>
    <row r="19" spans="1:6" ht="43.5" x14ac:dyDescent="0.35">
      <c r="A19" s="64">
        <v>44423</v>
      </c>
      <c r="B19" s="62" t="s">
        <v>238</v>
      </c>
      <c r="C19" s="63" t="s">
        <v>239</v>
      </c>
      <c r="D19" s="62" t="s">
        <v>105</v>
      </c>
      <c r="E19" s="62" t="s">
        <v>105</v>
      </c>
      <c r="F19" s="64"/>
    </row>
    <row r="20" spans="1:6" ht="43.5" x14ac:dyDescent="0.35">
      <c r="A20" s="64">
        <v>44405</v>
      </c>
      <c r="B20" s="62" t="s">
        <v>235</v>
      </c>
      <c r="C20" s="42" t="s">
        <v>237</v>
      </c>
      <c r="D20" s="62" t="s">
        <v>105</v>
      </c>
      <c r="E20" s="62" t="s">
        <v>382</v>
      </c>
      <c r="F20" s="64">
        <v>44405</v>
      </c>
    </row>
    <row r="21" spans="1:6" ht="29" x14ac:dyDescent="0.35">
      <c r="A21" s="64">
        <v>44405</v>
      </c>
      <c r="B21" s="62" t="s">
        <v>233</v>
      </c>
      <c r="C21" s="63" t="s">
        <v>234</v>
      </c>
      <c r="D21" s="62" t="s">
        <v>105</v>
      </c>
      <c r="E21" s="62" t="s">
        <v>105</v>
      </c>
      <c r="F21" s="64">
        <v>44405</v>
      </c>
    </row>
    <row r="22" spans="1:6" ht="72.5" x14ac:dyDescent="0.35">
      <c r="A22" s="64">
        <v>44405</v>
      </c>
      <c r="B22" s="62" t="s">
        <v>211</v>
      </c>
      <c r="C22" s="63" t="s">
        <v>232</v>
      </c>
      <c r="D22" s="62" t="s">
        <v>105</v>
      </c>
      <c r="E22" s="62" t="s">
        <v>382</v>
      </c>
      <c r="F22" s="64">
        <v>44391</v>
      </c>
    </row>
    <row r="23" spans="1:6" ht="43.5" x14ac:dyDescent="0.35">
      <c r="A23" s="62" t="s">
        <v>207</v>
      </c>
      <c r="B23" s="62" t="s">
        <v>206</v>
      </c>
      <c r="C23" s="42" t="s">
        <v>208</v>
      </c>
      <c r="D23" s="62" t="s">
        <v>105</v>
      </c>
      <c r="E23" s="62" t="s">
        <v>382</v>
      </c>
      <c r="F23" s="64">
        <v>44391</v>
      </c>
    </row>
    <row r="24" spans="1:6" ht="29" x14ac:dyDescent="0.35">
      <c r="A24" s="62" t="s">
        <v>207</v>
      </c>
      <c r="B24" s="62" t="s">
        <v>206</v>
      </c>
      <c r="C24" s="42" t="s">
        <v>180</v>
      </c>
      <c r="D24" s="62" t="s">
        <v>105</v>
      </c>
      <c r="E24" s="62" t="s">
        <v>382</v>
      </c>
      <c r="F24" s="64">
        <v>44391</v>
      </c>
    </row>
    <row r="25" spans="1:6" ht="101.5" x14ac:dyDescent="0.35">
      <c r="A25" s="64">
        <v>44403</v>
      </c>
      <c r="B25" s="62" t="s">
        <v>184</v>
      </c>
      <c r="C25" s="63" t="s">
        <v>185</v>
      </c>
      <c r="D25" s="62" t="s">
        <v>105</v>
      </c>
      <c r="E25" s="62" t="s">
        <v>382</v>
      </c>
      <c r="F25" s="64">
        <v>44391</v>
      </c>
    </row>
    <row r="26" spans="1:6" ht="58" x14ac:dyDescent="0.35">
      <c r="A26" s="44">
        <v>44389</v>
      </c>
      <c r="B26" s="43" t="s">
        <v>174</v>
      </c>
      <c r="C26" s="42" t="s">
        <v>175</v>
      </c>
      <c r="D26" s="45" t="s">
        <v>105</v>
      </c>
      <c r="E26" s="45" t="s">
        <v>105</v>
      </c>
      <c r="F26" s="44">
        <v>44389</v>
      </c>
    </row>
    <row r="27" spans="1:6" ht="29" x14ac:dyDescent="0.35">
      <c r="A27" s="44">
        <v>44389</v>
      </c>
      <c r="B27" s="43" t="s">
        <v>172</v>
      </c>
      <c r="C27" s="42" t="s">
        <v>173</v>
      </c>
      <c r="D27" s="45" t="s">
        <v>105</v>
      </c>
      <c r="E27" s="45" t="s">
        <v>179</v>
      </c>
      <c r="F27" s="44">
        <v>44385</v>
      </c>
    </row>
    <row r="28" spans="1:6" ht="58" x14ac:dyDescent="0.35">
      <c r="A28" s="44">
        <v>44385</v>
      </c>
      <c r="B28" s="43" t="s">
        <v>153</v>
      </c>
      <c r="C28" s="42" t="s">
        <v>154</v>
      </c>
      <c r="D28" s="45" t="s">
        <v>105</v>
      </c>
      <c r="E28" s="45" t="s">
        <v>105</v>
      </c>
      <c r="F28" s="44">
        <f>A28</f>
        <v>44385</v>
      </c>
    </row>
    <row r="29" spans="1:6" ht="29" x14ac:dyDescent="0.35">
      <c r="A29" s="44">
        <v>44384</v>
      </c>
      <c r="B29" s="43" t="s">
        <v>145</v>
      </c>
      <c r="C29" s="42" t="s">
        <v>155</v>
      </c>
      <c r="D29" s="45" t="s">
        <v>105</v>
      </c>
      <c r="E29" s="45" t="s">
        <v>105</v>
      </c>
      <c r="F29" s="44">
        <v>44384</v>
      </c>
    </row>
    <row r="30" spans="1:6" ht="43.5" x14ac:dyDescent="0.35">
      <c r="A30" s="44">
        <v>44384</v>
      </c>
      <c r="B30" s="43" t="s">
        <v>143</v>
      </c>
      <c r="C30" s="42" t="s">
        <v>156</v>
      </c>
      <c r="D30" s="45" t="s">
        <v>105</v>
      </c>
      <c r="E30" s="45" t="s">
        <v>105</v>
      </c>
      <c r="F30" s="44">
        <v>44384</v>
      </c>
    </row>
    <row r="31" spans="1:6" ht="43.5" x14ac:dyDescent="0.35">
      <c r="A31" s="44">
        <v>44378</v>
      </c>
      <c r="B31" s="43" t="s">
        <v>135</v>
      </c>
      <c r="C31" s="42" t="s">
        <v>136</v>
      </c>
      <c r="D31" s="45" t="s">
        <v>105</v>
      </c>
      <c r="E31" s="45" t="s">
        <v>105</v>
      </c>
      <c r="F31" s="44">
        <v>44378</v>
      </c>
    </row>
    <row r="32" spans="1:6" x14ac:dyDescent="0.35">
      <c r="A32" s="44">
        <v>44377</v>
      </c>
      <c r="B32" s="43" t="s">
        <v>133</v>
      </c>
      <c r="C32" s="42" t="s">
        <v>137</v>
      </c>
      <c r="D32" s="45" t="s">
        <v>105</v>
      </c>
      <c r="E32" s="45" t="s">
        <v>105</v>
      </c>
      <c r="F32" s="44">
        <v>44377</v>
      </c>
    </row>
    <row r="33" spans="1:6" ht="72.5" x14ac:dyDescent="0.35">
      <c r="A33" s="44">
        <v>44377</v>
      </c>
      <c r="B33" s="43" t="s">
        <v>131</v>
      </c>
      <c r="C33" s="42" t="s">
        <v>132</v>
      </c>
      <c r="D33" s="45" t="s">
        <v>105</v>
      </c>
      <c r="E33" s="45" t="s">
        <v>383</v>
      </c>
      <c r="F33" s="44">
        <v>44372</v>
      </c>
    </row>
    <row r="34" spans="1:6" ht="43.5" x14ac:dyDescent="0.35">
      <c r="A34" s="44">
        <v>44377</v>
      </c>
      <c r="B34" s="43">
        <v>3.3</v>
      </c>
      <c r="C34" s="42" t="s">
        <v>127</v>
      </c>
      <c r="D34" s="45" t="s">
        <v>105</v>
      </c>
      <c r="E34" s="45" t="s">
        <v>383</v>
      </c>
      <c r="F34" s="44">
        <v>44372</v>
      </c>
    </row>
    <row r="35" spans="1:6" ht="29" x14ac:dyDescent="0.35">
      <c r="A35" s="44">
        <v>44377</v>
      </c>
      <c r="B35" s="43" t="s">
        <v>126</v>
      </c>
      <c r="C35" s="42" t="s">
        <v>113</v>
      </c>
      <c r="D35" s="45" t="s">
        <v>105</v>
      </c>
      <c r="E35" s="45" t="s">
        <v>105</v>
      </c>
      <c r="F35" s="44">
        <v>44377</v>
      </c>
    </row>
    <row r="36" spans="1:6" ht="116" x14ac:dyDescent="0.35">
      <c r="A36" s="44">
        <v>44367</v>
      </c>
      <c r="B36" s="43">
        <v>3.2</v>
      </c>
      <c r="C36" s="42" t="s">
        <v>118</v>
      </c>
      <c r="D36" s="45" t="s">
        <v>105</v>
      </c>
      <c r="E36" s="45" t="s">
        <v>105</v>
      </c>
      <c r="F36" s="44">
        <v>44367</v>
      </c>
    </row>
    <row r="37" spans="1:6" ht="29" x14ac:dyDescent="0.35">
      <c r="A37" s="44">
        <v>44331</v>
      </c>
      <c r="B37" s="43">
        <v>3.1</v>
      </c>
      <c r="C37" s="42" t="s">
        <v>117</v>
      </c>
      <c r="D37" s="45" t="s">
        <v>105</v>
      </c>
      <c r="E37" s="45" t="s">
        <v>105</v>
      </c>
      <c r="F37" s="44">
        <v>44331</v>
      </c>
    </row>
    <row r="38" spans="1:6" ht="72.5" x14ac:dyDescent="0.35">
      <c r="A38" s="44">
        <v>44319</v>
      </c>
      <c r="B38" s="43">
        <v>3</v>
      </c>
      <c r="C38" s="42" t="s">
        <v>116</v>
      </c>
      <c r="D38" s="45" t="s">
        <v>105</v>
      </c>
      <c r="E38" s="45" t="s">
        <v>384</v>
      </c>
      <c r="F38" s="44">
        <v>44315</v>
      </c>
    </row>
    <row r="39" spans="1:6" ht="29" x14ac:dyDescent="0.35">
      <c r="A39" s="44">
        <v>44307</v>
      </c>
      <c r="B39" s="43">
        <v>2</v>
      </c>
      <c r="C39" s="42" t="s">
        <v>114</v>
      </c>
      <c r="D39" s="45" t="s">
        <v>105</v>
      </c>
      <c r="E39" s="45" t="s">
        <v>179</v>
      </c>
      <c r="F39" s="44">
        <v>44294</v>
      </c>
    </row>
    <row r="40" spans="1:6" ht="29" x14ac:dyDescent="0.35">
      <c r="A40" s="44">
        <v>44293</v>
      </c>
      <c r="B40" s="46">
        <v>1</v>
      </c>
      <c r="C40" s="42" t="s">
        <v>115</v>
      </c>
      <c r="D40" s="45" t="s">
        <v>105</v>
      </c>
      <c r="E40" s="45" t="s">
        <v>384</v>
      </c>
      <c r="F40" s="44">
        <v>44291</v>
      </c>
    </row>
    <row r="41" spans="1:6" x14ac:dyDescent="0.35">
      <c r="A41" s="44">
        <v>44291</v>
      </c>
      <c r="B41" s="46">
        <v>0.5</v>
      </c>
      <c r="C41" s="42" t="s">
        <v>366</v>
      </c>
      <c r="D41" s="45" t="s">
        <v>105</v>
      </c>
      <c r="E41" s="45" t="s">
        <v>105</v>
      </c>
      <c r="F41" s="44">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106" zoomScale="150" zoomScaleNormal="150" workbookViewId="0">
      <selection activeCell="C118" sqref="C118"/>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66"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199" t="str">
        <f>'ReadMe-Directions'!A1</f>
        <v>Flex accounting for a combined Lake Powell-Lake Mead system</v>
      </c>
      <c r="B1" s="199"/>
      <c r="C1" s="199"/>
      <c r="D1" s="199"/>
      <c r="E1" s="199"/>
      <c r="F1" s="199"/>
      <c r="G1" s="199"/>
    </row>
    <row r="2" spans="1:14" x14ac:dyDescent="0.35">
      <c r="A2" s="1" t="s">
        <v>273</v>
      </c>
      <c r="B2" s="1"/>
    </row>
    <row r="3" spans="1:14" ht="32.15" customHeight="1" x14ac:dyDescent="0.35">
      <c r="A3" s="209" t="s">
        <v>298</v>
      </c>
      <c r="B3" s="209"/>
      <c r="C3" s="209"/>
      <c r="D3" s="209"/>
      <c r="E3" s="209"/>
      <c r="F3" s="209"/>
      <c r="G3" s="209"/>
      <c r="H3" s="94"/>
      <c r="I3" s="94"/>
      <c r="J3" s="94"/>
      <c r="K3" s="94"/>
      <c r="N3" s="162" t="s">
        <v>346</v>
      </c>
    </row>
    <row r="4" spans="1:14" x14ac:dyDescent="0.35">
      <c r="A4" s="150" t="s">
        <v>275</v>
      </c>
      <c r="B4" s="150" t="s">
        <v>34</v>
      </c>
      <c r="C4" s="210" t="s">
        <v>35</v>
      </c>
      <c r="D4" s="211"/>
      <c r="E4" s="211"/>
      <c r="F4" s="211"/>
      <c r="G4" s="212"/>
      <c r="N4" s="164" t="s">
        <v>310</v>
      </c>
    </row>
    <row r="5" spans="1:14" x14ac:dyDescent="0.35">
      <c r="A5" s="104" t="s">
        <v>31</v>
      </c>
      <c r="B5" s="189" t="s">
        <v>386</v>
      </c>
      <c r="C5" s="213" t="s">
        <v>387</v>
      </c>
      <c r="D5" s="208"/>
      <c r="E5" s="208"/>
      <c r="F5" s="208"/>
      <c r="G5" s="208"/>
      <c r="N5" s="168"/>
    </row>
    <row r="6" spans="1:14" x14ac:dyDescent="0.35">
      <c r="A6" s="104" t="s">
        <v>32</v>
      </c>
      <c r="B6" s="189" t="s">
        <v>386</v>
      </c>
      <c r="C6" s="213" t="s">
        <v>388</v>
      </c>
      <c r="D6" s="208"/>
      <c r="E6" s="208"/>
      <c r="F6" s="208"/>
      <c r="G6" s="208"/>
      <c r="N6" s="168"/>
    </row>
    <row r="7" spans="1:14" x14ac:dyDescent="0.35">
      <c r="A7" s="104" t="s">
        <v>33</v>
      </c>
      <c r="B7" s="189" t="s">
        <v>386</v>
      </c>
      <c r="C7" s="213" t="s">
        <v>389</v>
      </c>
      <c r="D7" s="208"/>
      <c r="E7" s="208"/>
      <c r="F7" s="208"/>
      <c r="G7" s="208"/>
      <c r="N7" s="168"/>
    </row>
    <row r="8" spans="1:14" x14ac:dyDescent="0.35">
      <c r="A8" s="133" t="s">
        <v>102</v>
      </c>
      <c r="B8" s="132"/>
      <c r="C8" s="208"/>
      <c r="D8" s="208"/>
      <c r="E8" s="208"/>
      <c r="F8" s="208"/>
      <c r="G8" s="208"/>
      <c r="N8" s="168"/>
    </row>
    <row r="9" spans="1:14" x14ac:dyDescent="0.35">
      <c r="A9" s="161"/>
      <c r="B9" s="104"/>
      <c r="C9" s="214"/>
      <c r="D9" s="214"/>
      <c r="E9" s="214"/>
      <c r="F9" s="214"/>
      <c r="G9" s="214"/>
      <c r="N9" s="168"/>
    </row>
    <row r="10" spans="1:14" x14ac:dyDescent="0.35">
      <c r="A10" s="134" t="s">
        <v>106</v>
      </c>
      <c r="B10" s="134"/>
      <c r="C10" s="215"/>
      <c r="D10" s="215"/>
      <c r="E10" s="215"/>
      <c r="F10" s="215"/>
      <c r="G10" s="215"/>
      <c r="N10" s="168"/>
    </row>
    <row r="11" spans="1:14" x14ac:dyDescent="0.35">
      <c r="A11" s="14"/>
      <c r="B11" s="2"/>
      <c r="C11"/>
      <c r="N11" s="168"/>
    </row>
    <row r="12" spans="1:14" x14ac:dyDescent="0.35">
      <c r="A12" s="16" t="s">
        <v>276</v>
      </c>
      <c r="B12" s="216" t="s">
        <v>278</v>
      </c>
      <c r="C12" s="217"/>
      <c r="D12" s="218"/>
      <c r="N12" s="167" t="s">
        <v>311</v>
      </c>
    </row>
    <row r="13" spans="1:14" x14ac:dyDescent="0.35">
      <c r="B13" s="219" t="s">
        <v>279</v>
      </c>
      <c r="C13" s="220"/>
      <c r="D13" s="221"/>
      <c r="N13" s="168"/>
    </row>
    <row r="14" spans="1:14" x14ac:dyDescent="0.35">
      <c r="B14" s="200" t="s">
        <v>280</v>
      </c>
      <c r="C14" s="201"/>
      <c r="D14" s="202"/>
      <c r="N14" s="168"/>
    </row>
    <row r="15" spans="1:14" x14ac:dyDescent="0.35">
      <c r="B15" s="203" t="s">
        <v>37</v>
      </c>
      <c r="C15" s="204"/>
      <c r="D15" s="205"/>
      <c r="N15" s="168"/>
    </row>
    <row r="16" spans="1:14" x14ac:dyDescent="0.35">
      <c r="N16" s="168"/>
    </row>
    <row r="17" spans="1:14" x14ac:dyDescent="0.35">
      <c r="A17" s="1" t="s">
        <v>277</v>
      </c>
      <c r="B17" s="1" t="s">
        <v>84</v>
      </c>
      <c r="C17" s="12" t="s">
        <v>85</v>
      </c>
      <c r="N17" s="167" t="s">
        <v>312</v>
      </c>
    </row>
    <row r="18" spans="1:14" x14ac:dyDescent="0.35">
      <c r="A18" t="s">
        <v>83</v>
      </c>
      <c r="B18" s="127">
        <v>5.73</v>
      </c>
      <c r="C18" s="127">
        <v>6</v>
      </c>
      <c r="D18" s="17"/>
      <c r="N18" s="167" t="s">
        <v>314</v>
      </c>
    </row>
    <row r="19" spans="1:14" x14ac:dyDescent="0.35">
      <c r="A19" t="s">
        <v>306</v>
      </c>
      <c r="B19" s="127">
        <v>11</v>
      </c>
      <c r="C19" s="127">
        <v>10.1</v>
      </c>
      <c r="D19" s="11" t="s">
        <v>26</v>
      </c>
      <c r="F19" s="152" t="s">
        <v>287</v>
      </c>
      <c r="G19">
        <v>7.2</v>
      </c>
      <c r="M19">
        <v>9</v>
      </c>
      <c r="N19" s="167" t="s">
        <v>313</v>
      </c>
    </row>
    <row r="20" spans="1:14" x14ac:dyDescent="0.35">
      <c r="A20" t="s">
        <v>134</v>
      </c>
      <c r="B20" s="186">
        <v>3525</v>
      </c>
      <c r="C20" s="186">
        <v>1020</v>
      </c>
      <c r="D20" s="11"/>
      <c r="N20" s="167" t="s">
        <v>315</v>
      </c>
    </row>
    <row r="21" spans="1:14" x14ac:dyDescent="0.35">
      <c r="A21" t="s">
        <v>122</v>
      </c>
      <c r="B21" s="127">
        <f>VLOOKUP(B20,'Powell-Elevation-Area'!$A$5:$B$689,2)/1000000</f>
        <v>5.9265762500000001</v>
      </c>
      <c r="C21" s="127">
        <f>VLOOKUP(C20,'Mead-Elevation-Area'!$A$5:$B$689,2)/1000000</f>
        <v>5.664593</v>
      </c>
      <c r="D21" s="11"/>
      <c r="E21" s="30"/>
      <c r="N21" s="167" t="s">
        <v>317</v>
      </c>
    </row>
    <row r="22" spans="1:14" x14ac:dyDescent="0.35">
      <c r="A22" t="s">
        <v>293</v>
      </c>
      <c r="B22" s="127">
        <f>78.1</f>
        <v>78.099999999999994</v>
      </c>
      <c r="C22"/>
      <c r="D22" s="129"/>
      <c r="E22" s="30"/>
      <c r="N22" s="167" t="s">
        <v>316</v>
      </c>
    </row>
    <row r="23" spans="1:14" x14ac:dyDescent="0.35">
      <c r="A23" t="s">
        <v>294</v>
      </c>
      <c r="B23" s="153">
        <v>0.17</v>
      </c>
      <c r="C23"/>
      <c r="D23" s="129"/>
      <c r="E23" s="30"/>
      <c r="N23" s="167" t="s">
        <v>318</v>
      </c>
    </row>
    <row r="24" spans="1:14" x14ac:dyDescent="0.35">
      <c r="A24" t="s">
        <v>292</v>
      </c>
      <c r="B24" s="127">
        <f>10*(7.5+1.5/2)-B22-B23</f>
        <v>4.2300000000000058</v>
      </c>
      <c r="C24"/>
      <c r="D24" s="129"/>
      <c r="E24" s="30"/>
      <c r="N24" s="167" t="s">
        <v>319</v>
      </c>
    </row>
    <row r="25" spans="1:14" x14ac:dyDescent="0.35">
      <c r="A25" t="s">
        <v>358</v>
      </c>
      <c r="B25" s="127">
        <f>2.7 + 0.3 - IF(A9&lt;&gt;"",1.06,0)</f>
        <v>3</v>
      </c>
      <c r="C25"/>
      <c r="D25" s="129"/>
      <c r="E25" s="30"/>
      <c r="N25" s="187" t="s">
        <v>365</v>
      </c>
    </row>
    <row r="26" spans="1:14" x14ac:dyDescent="0.35">
      <c r="B26" s="30"/>
      <c r="N26" s="168"/>
    </row>
    <row r="27" spans="1:14" s="1" customFormat="1" x14ac:dyDescent="0.35">
      <c r="A27" s="116" t="s">
        <v>267</v>
      </c>
      <c r="B27" s="117" t="s">
        <v>38</v>
      </c>
      <c r="C27" s="117" t="s">
        <v>0</v>
      </c>
      <c r="D27" s="117" t="s">
        <v>1</v>
      </c>
      <c r="E27" s="117" t="s">
        <v>2</v>
      </c>
      <c r="F27" s="117" t="s">
        <v>3</v>
      </c>
      <c r="G27" s="117" t="s">
        <v>4</v>
      </c>
      <c r="H27" s="117" t="s">
        <v>5</v>
      </c>
      <c r="I27" s="117" t="s">
        <v>6</v>
      </c>
      <c r="J27" s="117" t="s">
        <v>7</v>
      </c>
      <c r="K27" s="117" t="s">
        <v>28</v>
      </c>
      <c r="L27" s="117" t="s">
        <v>29</v>
      </c>
      <c r="M27" s="117" t="s">
        <v>82</v>
      </c>
      <c r="N27" s="163" t="str">
        <f>N3</f>
        <v>HELP, CONTEXT, and SUGGESTIONS</v>
      </c>
    </row>
    <row r="28" spans="1:14" x14ac:dyDescent="0.35">
      <c r="A28" s="147" t="s">
        <v>263</v>
      </c>
      <c r="B28" s="1"/>
      <c r="C28" s="111">
        <v>11</v>
      </c>
      <c r="D28" s="111">
        <v>8</v>
      </c>
      <c r="E28" s="111">
        <v>7.5</v>
      </c>
      <c r="F28" s="111"/>
      <c r="G28" s="111"/>
      <c r="H28" s="111"/>
      <c r="I28" s="111"/>
      <c r="J28" s="111"/>
      <c r="K28" s="111"/>
      <c r="L28" s="111"/>
      <c r="N28" s="164" t="s">
        <v>320</v>
      </c>
    </row>
    <row r="29" spans="1:14" x14ac:dyDescent="0.35">
      <c r="A29" s="1" t="s">
        <v>91</v>
      </c>
      <c r="B29" s="1"/>
      <c r="C29" s="110">
        <f>IF(C$28&lt;&gt;"",0.8,"")</f>
        <v>0.8</v>
      </c>
      <c r="D29" s="110">
        <f t="shared" ref="D29:L29" si="0">IF(D$28&lt;&gt;"",0.8,"")</f>
        <v>0.8</v>
      </c>
      <c r="E29" s="110">
        <f t="shared" si="0"/>
        <v>0.8</v>
      </c>
      <c r="F29" s="110" t="str">
        <f t="shared" si="0"/>
        <v/>
      </c>
      <c r="G29" s="110" t="str">
        <f t="shared" si="0"/>
        <v/>
      </c>
      <c r="H29" s="110" t="str">
        <f t="shared" si="0"/>
        <v/>
      </c>
      <c r="I29" s="110" t="str">
        <f t="shared" si="0"/>
        <v/>
      </c>
      <c r="J29" s="110" t="str">
        <f t="shared" si="0"/>
        <v/>
      </c>
      <c r="K29" s="110" t="str">
        <f t="shared" si="0"/>
        <v/>
      </c>
      <c r="L29" s="110" t="str">
        <f t="shared" si="0"/>
        <v/>
      </c>
      <c r="N29" s="167" t="s">
        <v>321</v>
      </c>
    </row>
    <row r="30" spans="1:14" x14ac:dyDescent="0.35">
      <c r="A30" s="1" t="s">
        <v>241</v>
      </c>
      <c r="B30" s="1"/>
      <c r="C30" s="110">
        <f>IF(C$28&lt;&gt;"",0.2,"")</f>
        <v>0.2</v>
      </c>
      <c r="D30" s="110">
        <f t="shared" ref="D30:L30" si="1">IF(D$28&lt;&gt;"",0.2,"")</f>
        <v>0.2</v>
      </c>
      <c r="E30" s="110">
        <f t="shared" si="1"/>
        <v>0.2</v>
      </c>
      <c r="F30" s="110" t="str">
        <f t="shared" si="1"/>
        <v/>
      </c>
      <c r="G30" s="110" t="str">
        <f t="shared" si="1"/>
        <v/>
      </c>
      <c r="H30" s="110" t="str">
        <f t="shared" si="1"/>
        <v/>
      </c>
      <c r="I30" s="110" t="str">
        <f t="shared" si="1"/>
        <v/>
      </c>
      <c r="J30" s="110" t="str">
        <f t="shared" si="1"/>
        <v/>
      </c>
      <c r="K30" s="110" t="str">
        <f t="shared" si="1"/>
        <v/>
      </c>
      <c r="L30" s="110" t="str">
        <f t="shared" si="1"/>
        <v/>
      </c>
      <c r="N30" s="167" t="s">
        <v>322</v>
      </c>
    </row>
    <row r="31" spans="1:14" x14ac:dyDescent="0.35">
      <c r="A31" s="1" t="s">
        <v>209</v>
      </c>
      <c r="B31" s="1"/>
      <c r="C31" s="110">
        <f>IF(C$28&lt;&gt;"",0.6,"")</f>
        <v>0.6</v>
      </c>
      <c r="D31" s="110">
        <f t="shared" ref="D31:L31" si="2">IF(D$28&lt;&gt;"",0.6,"")</f>
        <v>0.6</v>
      </c>
      <c r="E31" s="110">
        <f t="shared" si="2"/>
        <v>0.6</v>
      </c>
      <c r="F31" s="110" t="str">
        <f t="shared" si="2"/>
        <v/>
      </c>
      <c r="G31" s="110" t="str">
        <f t="shared" si="2"/>
        <v/>
      </c>
      <c r="H31" s="110" t="str">
        <f t="shared" si="2"/>
        <v/>
      </c>
      <c r="I31" s="110" t="str">
        <f t="shared" si="2"/>
        <v/>
      </c>
      <c r="J31" s="110" t="str">
        <f t="shared" si="2"/>
        <v/>
      </c>
      <c r="K31" s="110" t="str">
        <f t="shared" si="2"/>
        <v/>
      </c>
      <c r="L31" s="110" t="str">
        <f t="shared" si="2"/>
        <v/>
      </c>
      <c r="N31" s="167" t="s">
        <v>323</v>
      </c>
    </row>
    <row r="32" spans="1:14" x14ac:dyDescent="0.35">
      <c r="A32" s="147" t="s">
        <v>264</v>
      </c>
      <c r="C32" s="13">
        <f>IF(C$28&lt;&gt;"",SUM(B19:C19),"")</f>
        <v>21.1</v>
      </c>
      <c r="D32" s="13">
        <f ca="1">IF(D$28&lt;&gt;"",C131,"")</f>
        <v>18.978102320000026</v>
      </c>
      <c r="E32" s="13">
        <f t="shared" ref="E32:L32" ca="1" si="3">IF(E$28&lt;&gt;"",D131,"")</f>
        <v>15.718665124501197</v>
      </c>
      <c r="F32" s="13" t="str">
        <f t="shared" si="3"/>
        <v/>
      </c>
      <c r="G32" s="13" t="str">
        <f t="shared" si="3"/>
        <v/>
      </c>
      <c r="H32" s="13" t="str">
        <f t="shared" si="3"/>
        <v/>
      </c>
      <c r="I32" s="13" t="str">
        <f t="shared" si="3"/>
        <v/>
      </c>
      <c r="J32" s="13" t="str">
        <f t="shared" si="3"/>
        <v/>
      </c>
      <c r="K32" s="13" t="str">
        <f t="shared" si="3"/>
        <v/>
      </c>
      <c r="L32" s="13" t="str">
        <f t="shared" si="3"/>
        <v/>
      </c>
      <c r="N32" s="164" t="s">
        <v>324</v>
      </c>
    </row>
    <row r="33" spans="1:14" x14ac:dyDescent="0.35">
      <c r="A33" t="str">
        <f t="shared" ref="A33:A38" si="4">IF(A5="","","    "&amp;A5&amp;" Balance")</f>
        <v xml:space="preserve">    Upper Basin Balance</v>
      </c>
      <c r="B33" s="92">
        <f>B19-B21</f>
        <v>5.0734237499999999</v>
      </c>
      <c r="C33" s="89">
        <f>IF(OR(C$28="",$A33=""),"",B33)</f>
        <v>5.0734237499999999</v>
      </c>
      <c r="D33" s="13">
        <f t="shared" ref="D33:D38" ca="1" si="5">IF(OR(D$28="",$A33=""),"",C125)</f>
        <v>3.8673046547513863</v>
      </c>
      <c r="E33" s="13">
        <f t="shared" ref="E33:L33" ca="1" si="6">IF(OR(E$28="",$A33=""),"",D125)</f>
        <v>3.2185773713728452</v>
      </c>
      <c r="F33" s="13" t="str">
        <f t="shared" si="6"/>
        <v/>
      </c>
      <c r="G33" s="13" t="str">
        <f t="shared" si="6"/>
        <v/>
      </c>
      <c r="H33" s="13" t="str">
        <f t="shared" si="6"/>
        <v/>
      </c>
      <c r="I33" s="13" t="str">
        <f t="shared" si="6"/>
        <v/>
      </c>
      <c r="J33" s="13" t="str">
        <f t="shared" si="6"/>
        <v/>
      </c>
      <c r="K33" s="13" t="str">
        <f t="shared" si="6"/>
        <v/>
      </c>
      <c r="L33" s="13" t="str">
        <f t="shared" si="6"/>
        <v/>
      </c>
      <c r="N33" s="168"/>
    </row>
    <row r="34" spans="1:14" x14ac:dyDescent="0.35">
      <c r="A34" t="str">
        <f t="shared" si="4"/>
        <v xml:space="preserve">    Lower Basin Balance</v>
      </c>
      <c r="B34" s="92">
        <f>C19-C21-B35</f>
        <v>4.2614069999999993</v>
      </c>
      <c r="C34" s="89">
        <f t="shared" ref="C34:C38" si="7">IF(OR(C$28="",$A34=""),"",B34)</f>
        <v>4.2614069999999993</v>
      </c>
      <c r="D34" s="13">
        <f t="shared" ca="1" si="5"/>
        <v>3.5023926035218711</v>
      </c>
      <c r="E34" s="13">
        <f t="shared" ref="E34:L38" ca="1" si="8">IF(OR(E$28="",$A34=""),"",D126)</f>
        <v>0.77989121191754229</v>
      </c>
      <c r="F34" s="13" t="str">
        <f t="shared" si="8"/>
        <v/>
      </c>
      <c r="G34" s="13" t="str">
        <f t="shared" si="8"/>
        <v/>
      </c>
      <c r="H34" s="13" t="str">
        <f t="shared" si="8"/>
        <v/>
      </c>
      <c r="I34" s="13" t="str">
        <f t="shared" si="8"/>
        <v/>
      </c>
      <c r="J34" s="13" t="str">
        <f t="shared" si="8"/>
        <v/>
      </c>
      <c r="K34" s="13" t="str">
        <f t="shared" si="8"/>
        <v/>
      </c>
      <c r="L34" s="13" t="str">
        <f t="shared" si="8"/>
        <v/>
      </c>
      <c r="N34" s="168"/>
    </row>
    <row r="35" spans="1:14" x14ac:dyDescent="0.35">
      <c r="A35" t="str">
        <f t="shared" si="4"/>
        <v xml:space="preserve">    Mexico Balance</v>
      </c>
      <c r="B35" s="93">
        <v>0.17399999999999999</v>
      </c>
      <c r="C35" s="90">
        <f t="shared" si="7"/>
        <v>0.17399999999999999</v>
      </c>
      <c r="D35" s="36">
        <f t="shared" ca="1" si="5"/>
        <v>1.6802561712117026E-3</v>
      </c>
      <c r="E35" s="36">
        <f t="shared" ca="1" si="8"/>
        <v>9.8702590581895677E-2</v>
      </c>
      <c r="F35" s="36" t="str">
        <f t="shared" si="8"/>
        <v/>
      </c>
      <c r="G35" s="36" t="str">
        <f t="shared" si="8"/>
        <v/>
      </c>
      <c r="H35" s="13" t="str">
        <f t="shared" si="8"/>
        <v/>
      </c>
      <c r="I35" s="13" t="str">
        <f t="shared" si="8"/>
        <v/>
      </c>
      <c r="J35" s="13" t="str">
        <f t="shared" si="8"/>
        <v/>
      </c>
      <c r="K35" s="13" t="str">
        <f t="shared" si="8"/>
        <v/>
      </c>
      <c r="L35" s="13" t="str">
        <f t="shared" si="8"/>
        <v/>
      </c>
      <c r="N35" s="168"/>
    </row>
    <row r="36" spans="1:14" x14ac:dyDescent="0.35">
      <c r="A36" t="str">
        <f t="shared" si="4"/>
        <v xml:space="preserve">    Colorado River Delta Balance</v>
      </c>
      <c r="B36" s="92">
        <v>0</v>
      </c>
      <c r="C36" s="89">
        <f t="shared" si="7"/>
        <v>0</v>
      </c>
      <c r="D36" s="13">
        <f t="shared" ca="1" si="5"/>
        <v>1.5555555555555553E-2</v>
      </c>
      <c r="E36" s="13">
        <f t="shared" ca="1" si="8"/>
        <v>3.0324700628914465E-2</v>
      </c>
      <c r="F36" s="13" t="str">
        <f t="shared" si="8"/>
        <v/>
      </c>
      <c r="G36" s="13" t="str">
        <f t="shared" si="8"/>
        <v/>
      </c>
      <c r="H36" s="13" t="str">
        <f t="shared" si="8"/>
        <v/>
      </c>
      <c r="I36" s="13" t="str">
        <f t="shared" si="8"/>
        <v/>
      </c>
      <c r="J36" s="13" t="str">
        <f t="shared" si="8"/>
        <v/>
      </c>
      <c r="K36" s="13" t="str">
        <f t="shared" si="8"/>
        <v/>
      </c>
      <c r="L36" s="13" t="str">
        <f t="shared" si="8"/>
        <v/>
      </c>
      <c r="N36" s="168"/>
    </row>
    <row r="37" spans="1:14" x14ac:dyDescent="0.35">
      <c r="A37" t="str">
        <f t="shared" si="4"/>
        <v/>
      </c>
      <c r="B37" s="92" t="str">
        <f>IF(A37&lt;&gt;"",0,"")</f>
        <v/>
      </c>
      <c r="C37" s="89"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8"/>
    </row>
    <row r="38" spans="1:14" x14ac:dyDescent="0.35">
      <c r="A38" t="str">
        <f t="shared" si="4"/>
        <v xml:space="preserve">    Shared, Reserve Balance</v>
      </c>
      <c r="B38" s="92">
        <f>SUM(B21:C21)</f>
        <v>11.59116925</v>
      </c>
      <c r="C38" s="89">
        <f t="shared" si="7"/>
        <v>11.59116925</v>
      </c>
      <c r="D38" s="13">
        <f t="shared" ca="1" si="5"/>
        <v>11.59116925</v>
      </c>
      <c r="E38" s="13">
        <f t="shared" ca="1" si="8"/>
        <v>11.59116925</v>
      </c>
      <c r="F38" s="13" t="str">
        <f t="shared" si="8"/>
        <v/>
      </c>
      <c r="G38" s="13" t="str">
        <f t="shared" si="8"/>
        <v/>
      </c>
      <c r="H38" s="13" t="str">
        <f t="shared" si="8"/>
        <v/>
      </c>
      <c r="I38" s="13" t="str">
        <f t="shared" si="8"/>
        <v/>
      </c>
      <c r="J38" s="13" t="str">
        <f t="shared" si="8"/>
        <v/>
      </c>
      <c r="K38" s="13" t="str">
        <f t="shared" si="8"/>
        <v/>
      </c>
      <c r="L38" s="13" t="str">
        <f t="shared" si="8"/>
        <v/>
      </c>
      <c r="N38" s="168"/>
    </row>
    <row r="39" spans="1:14" x14ac:dyDescent="0.35">
      <c r="A39" s="1" t="s">
        <v>274</v>
      </c>
      <c r="C39"/>
      <c r="N39" s="167" t="s">
        <v>344</v>
      </c>
    </row>
    <row r="40" spans="1:14" x14ac:dyDescent="0.35">
      <c r="A40" t="s">
        <v>87</v>
      </c>
      <c r="C40" s="13">
        <f>IF(C$28&lt;&gt;"",IF(COLUMN(C27)=COLUMN($C27),$B$19,B133),"")</f>
        <v>11</v>
      </c>
      <c r="D40" s="13">
        <f t="shared" ref="D40:L40" ca="1" si="9">IF(D$28&lt;&gt;"",IF(COLUMN(D27)=COLUMN($C27),$B$19,C133),"")</f>
        <v>9.4890511600000131</v>
      </c>
      <c r="E40" s="13">
        <f t="shared" ca="1" si="9"/>
        <v>10.217132330925779</v>
      </c>
      <c r="F40" s="13" t="str">
        <f t="shared" si="9"/>
        <v/>
      </c>
      <c r="G40" s="13" t="str">
        <f t="shared" si="9"/>
        <v/>
      </c>
      <c r="H40" s="13" t="str">
        <f t="shared" si="9"/>
        <v/>
      </c>
      <c r="I40" s="13" t="str">
        <f t="shared" si="9"/>
        <v/>
      </c>
      <c r="J40" s="13" t="str">
        <f t="shared" si="9"/>
        <v/>
      </c>
      <c r="K40" s="13" t="str">
        <f t="shared" si="9"/>
        <v/>
      </c>
      <c r="L40" s="13" t="str">
        <f t="shared" si="9"/>
        <v/>
      </c>
      <c r="N40" s="168"/>
    </row>
    <row r="41" spans="1:14" x14ac:dyDescent="0.35">
      <c r="A41" t="s">
        <v>88</v>
      </c>
      <c r="C41" s="13">
        <f>IF(C$28&lt;&gt;"",IF(COLUMN(C28)=COLUMN($C28),$C$19,B134),"")</f>
        <v>10.1</v>
      </c>
      <c r="D41" s="13">
        <f t="shared" ref="D41:L41" ca="1" si="10">IF(D$28&lt;&gt;"",IF(COLUMN(D28)=COLUMN($C28),$C$19,C134),"")</f>
        <v>9.4890511600000131</v>
      </c>
      <c r="E41" s="13">
        <f t="shared" ca="1" si="10"/>
        <v>5.5015327935754188</v>
      </c>
      <c r="F41" s="13" t="str">
        <f t="shared" si="10"/>
        <v/>
      </c>
      <c r="G41" s="13" t="str">
        <f t="shared" si="10"/>
        <v/>
      </c>
      <c r="H41" s="13" t="str">
        <f t="shared" si="10"/>
        <v/>
      </c>
      <c r="I41" s="13" t="str">
        <f t="shared" si="10"/>
        <v/>
      </c>
      <c r="J41" s="13" t="str">
        <f t="shared" si="10"/>
        <v/>
      </c>
      <c r="K41" s="13" t="str">
        <f t="shared" si="10"/>
        <v/>
      </c>
      <c r="L41" s="13" t="str">
        <f t="shared" si="10"/>
        <v/>
      </c>
      <c r="N41" s="168"/>
    </row>
    <row r="42" spans="1:14" x14ac:dyDescent="0.35">
      <c r="A42" s="1" t="s">
        <v>265</v>
      </c>
      <c r="B42" s="1"/>
      <c r="C42" s="13">
        <f>IF(C$28&lt;&gt;"",VLOOKUP(C40*1000000,'Powell-Elevation-Area'!$B$5:$D$689,3)*$B$18/1000000 + VLOOKUP(C41*1000000,'Mead-Elevation-Area'!$B$5:$D$676,3)*$C$18/1000000,"")</f>
        <v>1.0218976799999733</v>
      </c>
      <c r="D42" s="13">
        <f ca="1">IF(D$28&lt;&gt;"",VLOOKUP(D40*1000000,'Powell-Elevation-Area'!$B$5:$D$689,3)*$B$18/1000000 + VLOOKUP(D41*1000000,'Mead-Elevation-Area'!$B$5:$D$676,3)*$C$18/1000000,"")</f>
        <v>0.95943719549882711</v>
      </c>
      <c r="E42" s="13">
        <f ca="1">IF(E$28&lt;&gt;"",VLOOKUP(E40*1000000,'Powell-Elevation-Area'!$B$5:$D$689,3)*$B$18/1000000 + VLOOKUP(E41*1000000,'Mead-Elevation-Area'!$B$5:$D$676,3)*$C$18/1000000,"")</f>
        <v>0.86892225000117307</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67" t="s">
        <v>325</v>
      </c>
    </row>
    <row r="43" spans="1:14" x14ac:dyDescent="0.35">
      <c r="A43" t="str">
        <f t="shared" ref="A43:A48" si="11">IF(A5="","","    "&amp;A5&amp;" Share")</f>
        <v xml:space="preserve">    Upper Basin Share</v>
      </c>
      <c r="B43" s="1"/>
      <c r="C43" s="13">
        <f t="shared" ref="C43:L43" si="12">IF(OR(C$28="",$A43=""),"",C$42*C33/C$32)</f>
        <v>0.24571184643515467</v>
      </c>
      <c r="D43" s="13">
        <f t="shared" ca="1" si="12"/>
        <v>0.19551143046499417</v>
      </c>
      <c r="E43" s="13">
        <f t="shared" ca="1" si="12"/>
        <v>0.17792181900846379</v>
      </c>
      <c r="F43" s="13" t="str">
        <f t="shared" si="12"/>
        <v/>
      </c>
      <c r="G43" s="13" t="str">
        <f t="shared" si="12"/>
        <v/>
      </c>
      <c r="H43" s="13" t="str">
        <f t="shared" si="12"/>
        <v/>
      </c>
      <c r="I43" s="13" t="str">
        <f t="shared" si="12"/>
        <v/>
      </c>
      <c r="J43" s="13" t="str">
        <f t="shared" si="12"/>
        <v/>
      </c>
      <c r="K43" s="13" t="str">
        <f t="shared" si="12"/>
        <v/>
      </c>
      <c r="L43" s="13" t="str">
        <f t="shared" si="12"/>
        <v/>
      </c>
      <c r="N43" s="168"/>
    </row>
    <row r="44" spans="1:14" x14ac:dyDescent="0.35">
      <c r="A44" t="str">
        <f t="shared" si="11"/>
        <v xml:space="preserve">    Lower Basin Share</v>
      </c>
      <c r="B44" s="1"/>
      <c r="C44" s="13">
        <f t="shared" ref="C44:L44" si="13">IF(OR(C$28="",$A44=""),"",C$42*C34/C$32)</f>
        <v>0.20638492544244763</v>
      </c>
      <c r="D44" s="13">
        <f t="shared" ca="1" si="13"/>
        <v>0.17706331646855908</v>
      </c>
      <c r="E44" s="13">
        <f t="shared" ca="1" si="13"/>
        <v>4.3112110427191062E-2</v>
      </c>
      <c r="F44" s="13" t="str">
        <f t="shared" si="13"/>
        <v/>
      </c>
      <c r="G44" s="13" t="str">
        <f t="shared" si="13"/>
        <v/>
      </c>
      <c r="H44" s="13" t="str">
        <f t="shared" si="13"/>
        <v/>
      </c>
      <c r="I44" s="13" t="str">
        <f t="shared" si="13"/>
        <v/>
      </c>
      <c r="J44" s="13" t="str">
        <f t="shared" si="13"/>
        <v/>
      </c>
      <c r="K44" s="13" t="str">
        <f t="shared" si="13"/>
        <v/>
      </c>
      <c r="L44" s="13" t="str">
        <f t="shared" si="13"/>
        <v/>
      </c>
      <c r="N44" s="168"/>
    </row>
    <row r="45" spans="1:14" x14ac:dyDescent="0.35">
      <c r="A45" t="str">
        <f t="shared" si="11"/>
        <v xml:space="preserve">    Mexico Share</v>
      </c>
      <c r="B45" s="1"/>
      <c r="C45" s="13">
        <f t="shared" ref="C45:L45" si="14">IF(OR(C$28="",$A45=""),"",C$42*C35/C$32)</f>
        <v>8.4270235222746598E-3</v>
      </c>
      <c r="D45" s="13">
        <f t="shared" ca="1" si="14"/>
        <v>8.4945282802487842E-5</v>
      </c>
      <c r="E45" s="13">
        <f t="shared" ca="1" si="14"/>
        <v>5.4562443063743919E-3</v>
      </c>
      <c r="F45" s="13" t="str">
        <f t="shared" si="14"/>
        <v/>
      </c>
      <c r="G45" s="13" t="str">
        <f t="shared" si="14"/>
        <v/>
      </c>
      <c r="H45" s="13" t="str">
        <f t="shared" si="14"/>
        <v/>
      </c>
      <c r="I45" s="13" t="str">
        <f t="shared" si="14"/>
        <v/>
      </c>
      <c r="J45" s="13" t="str">
        <f t="shared" si="14"/>
        <v/>
      </c>
      <c r="K45" s="13" t="str">
        <f t="shared" si="14"/>
        <v/>
      </c>
      <c r="L45" s="13" t="str">
        <f t="shared" si="14"/>
        <v/>
      </c>
      <c r="N45" s="168"/>
    </row>
    <row r="46" spans="1:14" x14ac:dyDescent="0.35">
      <c r="A46" t="str">
        <f t="shared" si="11"/>
        <v xml:space="preserve">    Colorado River Delta Share</v>
      </c>
      <c r="B46" s="1"/>
      <c r="C46" s="13">
        <f t="shared" ref="C46:L46" si="15">IF(OR(C$28="",$A46=""),"",C$42*C36/C$32)</f>
        <v>0</v>
      </c>
      <c r="D46" s="13">
        <f t="shared" ca="1" si="15"/>
        <v>7.8641048219664142E-4</v>
      </c>
      <c r="E46" s="13">
        <f t="shared" ca="1" si="15"/>
        <v>1.6763387280269773E-3</v>
      </c>
      <c r="F46" s="13" t="str">
        <f t="shared" si="15"/>
        <v/>
      </c>
      <c r="G46" s="13" t="str">
        <f t="shared" si="15"/>
        <v/>
      </c>
      <c r="H46" s="13" t="str">
        <f t="shared" si="15"/>
        <v/>
      </c>
      <c r="I46" s="13" t="str">
        <f t="shared" si="15"/>
        <v/>
      </c>
      <c r="J46" s="13" t="str">
        <f t="shared" si="15"/>
        <v/>
      </c>
      <c r="K46" s="13" t="str">
        <f t="shared" si="15"/>
        <v/>
      </c>
      <c r="L46" s="13" t="str">
        <f t="shared" si="15"/>
        <v/>
      </c>
      <c r="N46" s="168"/>
    </row>
    <row r="47" spans="1:14" x14ac:dyDescent="0.35">
      <c r="A47" t="str">
        <f t="shared" si="11"/>
        <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8"/>
    </row>
    <row r="48" spans="1:14" x14ac:dyDescent="0.35">
      <c r="A48" t="str">
        <f t="shared" si="11"/>
        <v xml:space="preserve">    Shared, Reserve Share</v>
      </c>
      <c r="B48" s="1"/>
      <c r="C48" s="13">
        <f t="shared" ref="C48:L48" si="17">IF(OR(C$28="",$A48=""),"",C$42*C38/C$32)</f>
        <v>0.56137388460009618</v>
      </c>
      <c r="D48" s="13">
        <f t="shared" ca="1" si="17"/>
        <v>0.58599109280027473</v>
      </c>
      <c r="E48" s="13">
        <f t="shared" ca="1" si="17"/>
        <v>0.64075573753111692</v>
      </c>
      <c r="F48" s="13" t="str">
        <f t="shared" si="17"/>
        <v/>
      </c>
      <c r="G48" s="13" t="str">
        <f t="shared" si="17"/>
        <v/>
      </c>
      <c r="H48" s="13" t="str">
        <f t="shared" si="17"/>
        <v/>
      </c>
      <c r="I48" s="13" t="str">
        <f t="shared" si="17"/>
        <v/>
      </c>
      <c r="J48" s="13" t="str">
        <f t="shared" si="17"/>
        <v/>
      </c>
      <c r="K48" s="13" t="str">
        <f t="shared" si="17"/>
        <v/>
      </c>
      <c r="L48" s="13" t="str">
        <f t="shared" si="17"/>
        <v/>
      </c>
      <c r="N48" s="168"/>
    </row>
    <row r="49" spans="1:16" x14ac:dyDescent="0.35">
      <c r="A49" s="1" t="s">
        <v>266</v>
      </c>
      <c r="B49" s="56"/>
      <c r="C49" s="33">
        <f>IF(C$28&lt;&gt;"",1.5-0.21/9/2-VLOOKUP(C41,MandatoryConservation!$C$5:$P$13,13),"")</f>
        <v>1.4473333333333334</v>
      </c>
      <c r="D49" s="33">
        <f ca="1">IF(D$28&lt;&gt;"",1.5-0.21/9/2-VLOOKUP(D41,MandatoryConservation!$C$5:$P$13,13),"")</f>
        <v>1.4083333333333332</v>
      </c>
      <c r="E49" s="33">
        <f ca="1">IF(E$28&lt;&gt;"",1.5-0.21/9/2-VLOOKUP(E41,MandatoryConservation!$C$5:$P$13,13),"")</f>
        <v>1.2133333333333334</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67" t="s">
        <v>326</v>
      </c>
    </row>
    <row r="50" spans="1:16" x14ac:dyDescent="0.35">
      <c r="A50" s="147" t="s">
        <v>295</v>
      </c>
      <c r="B50" s="1"/>
      <c r="C50" s="13">
        <f>IF(C28="","",SUM(C28:C30))</f>
        <v>12</v>
      </c>
      <c r="D50" s="13">
        <f t="shared" ref="D50:L50" si="18">IF(D28="","",SUM(D28:D30))</f>
        <v>9</v>
      </c>
      <c r="E50" s="13">
        <f t="shared" si="18"/>
        <v>8.5</v>
      </c>
      <c r="F50" s="13" t="str">
        <f t="shared" si="18"/>
        <v/>
      </c>
      <c r="G50" s="13" t="str">
        <f t="shared" si="18"/>
        <v/>
      </c>
      <c r="H50" s="13" t="str">
        <f t="shared" si="18"/>
        <v/>
      </c>
      <c r="I50" s="13" t="str">
        <f t="shared" si="18"/>
        <v/>
      </c>
      <c r="J50" s="13" t="str">
        <f t="shared" si="18"/>
        <v/>
      </c>
      <c r="K50" s="13" t="str">
        <f t="shared" si="18"/>
        <v/>
      </c>
      <c r="L50" s="13" t="str">
        <f t="shared" si="18"/>
        <v/>
      </c>
      <c r="M50" s="30"/>
      <c r="N50" s="165" t="s">
        <v>327</v>
      </c>
      <c r="P50" t="s">
        <v>348</v>
      </c>
    </row>
    <row r="51" spans="1:16" x14ac:dyDescent="0.35">
      <c r="A51" t="str">
        <f t="shared" ref="A51:A56" si="19">IF(A5="","","    To "&amp;A5)</f>
        <v xml:space="preserve">    To Upper Basin</v>
      </c>
      <c r="B51" s="108" t="s">
        <v>359</v>
      </c>
      <c r="C51" s="89">
        <f>IF(OR(C$28="",$A52=""),"",MAX(0,MAX(0,C50-SUM(C52:C57))))</f>
        <v>3.0395927511865413</v>
      </c>
      <c r="D51" s="89">
        <f t="shared" ref="D51:L51" ca="1" si="20">IF(OR(D$28="",$A52=""),"",MAX(0,MAX(0,D50-SUM(D52:D57))))</f>
        <v>3.046784147086453</v>
      </c>
      <c r="E51" s="89">
        <f t="shared" ca="1" si="20"/>
        <v>3.1169018247210332</v>
      </c>
      <c r="F51" s="89" t="str">
        <f t="shared" si="20"/>
        <v/>
      </c>
      <c r="G51" s="89" t="str">
        <f t="shared" si="20"/>
        <v/>
      </c>
      <c r="H51" s="89" t="str">
        <f t="shared" si="20"/>
        <v/>
      </c>
      <c r="I51" s="89" t="str">
        <f t="shared" si="20"/>
        <v/>
      </c>
      <c r="J51" s="89" t="str">
        <f t="shared" si="20"/>
        <v/>
      </c>
      <c r="K51" s="89" t="str">
        <f t="shared" si="20"/>
        <v/>
      </c>
      <c r="L51" s="89" t="str">
        <f t="shared" si="20"/>
        <v/>
      </c>
      <c r="M51" s="19"/>
      <c r="N51" s="169"/>
      <c r="P51" s="89" t="str">
        <f>IF(OR(P$28="",$A51=""),"",MAX(P28-($B$24)-P56*$B$21/SUM($B$21:$C$21),0))</f>
        <v/>
      </c>
    </row>
    <row r="52" spans="1:16" x14ac:dyDescent="0.35">
      <c r="A52" t="str">
        <f t="shared" si="19"/>
        <v xml:space="preserve">    To Lower Basin</v>
      </c>
      <c r="B52" s="109">
        <f>7.5-IF($A$9="",0,0.95)-IF(C57="",0.6,C57)*IF($A$9="",(7.2/8.7),(7.2-0.95)/8.7)</f>
        <v>7.0034482758620689</v>
      </c>
      <c r="C52" s="89">
        <f>IF(OR(C$28="",$A52=""),"",MAX(0,MIN($B$52,C28-SUM(C53/2,C54/4,C55,C56/2,C57)-MAX(0,MIN($B$25,C28-SUM(C56/2,C54/4,C53/2,1.06))))))</f>
        <v>6.4473705289643206</v>
      </c>
      <c r="D52" s="89">
        <f t="shared" ref="D52:L52" ca="1" si="21">IF(OR(D$28="",$A52=""),"",MAX(0,MIN($B$52,D28-SUM(D53/2,D54/4,D55,D56/2,D57)-MAX(0,MIN($B$25,D28-SUM(D56/2,D54/4,D53/2,1.06))))))</f>
        <v>3.4545619248642305</v>
      </c>
      <c r="E52" s="89">
        <f t="shared" ca="1" si="21"/>
        <v>3.024679602498809</v>
      </c>
      <c r="F52" s="89" t="str">
        <f t="shared" si="21"/>
        <v/>
      </c>
      <c r="G52" s="89" t="str">
        <f t="shared" si="21"/>
        <v/>
      </c>
      <c r="H52" s="89" t="str">
        <f t="shared" si="21"/>
        <v/>
      </c>
      <c r="I52" s="89" t="str">
        <f t="shared" si="21"/>
        <v/>
      </c>
      <c r="J52" s="89" t="str">
        <f t="shared" si="21"/>
        <v/>
      </c>
      <c r="K52" s="89" t="str">
        <f t="shared" si="21"/>
        <v/>
      </c>
      <c r="L52" s="89" t="str">
        <f t="shared" si="21"/>
        <v/>
      </c>
      <c r="M52" s="19"/>
      <c r="N52" s="169"/>
      <c r="P52" s="89" t="str">
        <f>IF(OR(P$28="",$A52=""),"",P29+P30-P31-P56*$C$21/SUM($B$21:$C$21)-P53+MIN($B$24,P28))</f>
        <v/>
      </c>
    </row>
    <row r="53" spans="1:16" x14ac:dyDescent="0.35">
      <c r="A53" t="str">
        <f t="shared" si="19"/>
        <v xml:space="preserve">    To Mexico</v>
      </c>
      <c r="B53" s="109" t="s">
        <v>245</v>
      </c>
      <c r="C53" s="90">
        <f>IF(OR(C$28="",$A53=""),"",MIN(C49-C54/2,C$50-SUM(C54:C57))-C57*(1.5/8.7))</f>
        <v>1.3361072796934865</v>
      </c>
      <c r="D53" s="90">
        <f t="shared" ref="D53:L53" ca="1" si="22">IF(OR(D$28="",$A53=""),"",MIN(D49-D54/2,D$50-SUM(D54:D57))-D57*(1.5/8.7))</f>
        <v>1.2971072796934864</v>
      </c>
      <c r="E53" s="90">
        <f t="shared" ca="1" si="22"/>
        <v>1.1021072796934865</v>
      </c>
      <c r="F53" s="90" t="str">
        <f t="shared" si="22"/>
        <v/>
      </c>
      <c r="G53" s="90" t="str">
        <f t="shared" si="22"/>
        <v/>
      </c>
      <c r="H53" s="90" t="str">
        <f t="shared" si="22"/>
        <v/>
      </c>
      <c r="I53" s="90" t="str">
        <f t="shared" si="22"/>
        <v/>
      </c>
      <c r="J53" s="90" t="str">
        <f t="shared" si="22"/>
        <v/>
      </c>
      <c r="K53" s="90" t="str">
        <f t="shared" si="22"/>
        <v/>
      </c>
      <c r="L53" s="90" t="str">
        <f t="shared" si="22"/>
        <v/>
      </c>
      <c r="M53" s="19"/>
      <c r="N53" s="169"/>
    </row>
    <row r="54" spans="1:16" x14ac:dyDescent="0.35">
      <c r="A54" t="str">
        <f t="shared" si="19"/>
        <v xml:space="preserve">    To Colorado River Delta</v>
      </c>
      <c r="B54" s="118">
        <f>0.21/9*(2/3)</f>
        <v>1.5555555555555553E-2</v>
      </c>
      <c r="C54" s="119">
        <f>IF(OR(C$28="",$A54=""),"",MIN($B54,C$50-SUM(C55:C56)))</f>
        <v>1.5555555555555553E-2</v>
      </c>
      <c r="D54" s="119">
        <f t="shared" ref="D54:L54" ca="1" si="23">IF(OR(D$28="",$A54=""),"",MIN($B54,D$50-SUM(D55:D56)))</f>
        <v>1.5555555555555553E-2</v>
      </c>
      <c r="E54" s="119">
        <f t="shared" ca="1" si="23"/>
        <v>1.5555555555555553E-2</v>
      </c>
      <c r="F54" s="119" t="str">
        <f t="shared" si="23"/>
        <v/>
      </c>
      <c r="G54" s="119" t="str">
        <f t="shared" si="23"/>
        <v/>
      </c>
      <c r="H54" s="119" t="str">
        <f t="shared" si="23"/>
        <v/>
      </c>
      <c r="I54" s="119" t="str">
        <f t="shared" si="23"/>
        <v/>
      </c>
      <c r="J54" s="119" t="str">
        <f t="shared" si="23"/>
        <v/>
      </c>
      <c r="K54" s="119" t="str">
        <f t="shared" si="23"/>
        <v/>
      </c>
      <c r="L54" s="119" t="str">
        <f t="shared" si="23"/>
        <v/>
      </c>
      <c r="M54" s="19"/>
      <c r="N54" s="169"/>
    </row>
    <row r="55" spans="1:16" x14ac:dyDescent="0.35">
      <c r="A55" t="str">
        <f t="shared" si="19"/>
        <v/>
      </c>
      <c r="B55" s="109" t="str">
        <f>IF($A$9&lt;&gt;"",2.01,"")</f>
        <v/>
      </c>
      <c r="C55" s="89" t="str">
        <f>IF(OR(C$28="",$A55=""),"",MIN($B55,C$50-SUM(C56:C57))-C57*0.95/8.7)</f>
        <v/>
      </c>
      <c r="D55" s="89" t="str">
        <f t="shared" ref="D55:L55" si="24">IF(OR(D$28="",$A55=""),"",MIN($B55,D$50-SUM(D56:D57))-D57*0.95/8.7)</f>
        <v/>
      </c>
      <c r="E55" s="89" t="str">
        <f t="shared" si="24"/>
        <v/>
      </c>
      <c r="F55" s="89" t="str">
        <f t="shared" si="24"/>
        <v/>
      </c>
      <c r="G55" s="89" t="str">
        <f t="shared" si="24"/>
        <v/>
      </c>
      <c r="H55" s="89" t="str">
        <f t="shared" si="24"/>
        <v/>
      </c>
      <c r="I55" s="89" t="str">
        <f t="shared" si="24"/>
        <v/>
      </c>
      <c r="J55" s="89" t="str">
        <f t="shared" si="24"/>
        <v/>
      </c>
      <c r="K55" s="89" t="str">
        <f t="shared" si="24"/>
        <v/>
      </c>
      <c r="L55" s="89" t="str">
        <f t="shared" si="24"/>
        <v/>
      </c>
      <c r="M55" s="19"/>
      <c r="N55" s="169"/>
    </row>
    <row r="56" spans="1:16" x14ac:dyDescent="0.35">
      <c r="A56" t="str">
        <f t="shared" si="19"/>
        <v xml:space="preserve">    To Shared, Reserve</v>
      </c>
      <c r="B56" s="109" t="s">
        <v>249</v>
      </c>
      <c r="C56" s="179">
        <f>IF(OR(C$28="",$A56=""),"",IF(C$50&gt;C48,C48,C50))</f>
        <v>0.56137388460009618</v>
      </c>
      <c r="D56" s="179">
        <f t="shared" ref="D56:L56" ca="1" si="25">IF(OR(D$28="",$A56=""),"",IF(D$50&gt;D48,D48,D50))</f>
        <v>0.58599109280027473</v>
      </c>
      <c r="E56" s="179">
        <f t="shared" ca="1" si="25"/>
        <v>0.64075573753111692</v>
      </c>
      <c r="F56" s="179" t="str">
        <f t="shared" si="25"/>
        <v/>
      </c>
      <c r="G56" s="179" t="str">
        <f t="shared" si="25"/>
        <v/>
      </c>
      <c r="H56" s="179" t="str">
        <f t="shared" si="25"/>
        <v/>
      </c>
      <c r="I56" s="179" t="str">
        <f t="shared" si="25"/>
        <v/>
      </c>
      <c r="J56" s="179" t="str">
        <f t="shared" si="25"/>
        <v/>
      </c>
      <c r="K56" s="179" t="str">
        <f t="shared" si="25"/>
        <v/>
      </c>
      <c r="L56" s="179" t="str">
        <f t="shared" si="25"/>
        <v/>
      </c>
      <c r="M56" s="19"/>
      <c r="N56" s="169"/>
    </row>
    <row r="57" spans="1:16" x14ac:dyDescent="0.35">
      <c r="A57" t="str">
        <f>IF(A31="","","    To "&amp;A31)</f>
        <v xml:space="preserve">    To Havasu / Parker evaporation and ET</v>
      </c>
      <c r="B57" s="178" t="s">
        <v>360</v>
      </c>
      <c r="C57" s="180">
        <f>IF(OR(C$28="",$A57=""),"",MIN(C31,C50-C56))</f>
        <v>0.6</v>
      </c>
      <c r="D57" s="180">
        <f t="shared" ref="D57:L57" ca="1" si="26">IF(OR(D$28="",$A57=""),"",MIN(D31,D50-D56))</f>
        <v>0.6</v>
      </c>
      <c r="E57" s="180">
        <f t="shared" ca="1" si="26"/>
        <v>0.6</v>
      </c>
      <c r="F57" s="180" t="str">
        <f t="shared" si="26"/>
        <v/>
      </c>
      <c r="G57" s="180" t="str">
        <f t="shared" si="26"/>
        <v/>
      </c>
      <c r="H57" s="180" t="str">
        <f t="shared" si="26"/>
        <v/>
      </c>
      <c r="I57" s="180" t="str">
        <f t="shared" si="26"/>
        <v/>
      </c>
      <c r="J57" s="180" t="str">
        <f t="shared" si="26"/>
        <v/>
      </c>
      <c r="K57" s="180" t="str">
        <f t="shared" si="26"/>
        <v/>
      </c>
      <c r="L57" s="180" t="str">
        <f t="shared" si="26"/>
        <v/>
      </c>
      <c r="M57" s="19"/>
      <c r="N57" s="169"/>
    </row>
    <row r="58" spans="1:16" x14ac:dyDescent="0.35">
      <c r="B58" s="20"/>
      <c r="C58" s="19"/>
      <c r="D58" s="19"/>
      <c r="E58" s="19"/>
      <c r="F58" s="136"/>
      <c r="G58" s="30"/>
      <c r="N58" s="168"/>
    </row>
    <row r="59" spans="1:16" x14ac:dyDescent="0.35">
      <c r="A59" s="115" t="s">
        <v>296</v>
      </c>
      <c r="B59" s="112"/>
      <c r="C59" s="112"/>
      <c r="D59" s="112"/>
      <c r="E59" s="112"/>
      <c r="F59" s="112"/>
      <c r="G59" s="112"/>
      <c r="H59" s="112"/>
      <c r="I59" s="112"/>
      <c r="J59" s="112"/>
      <c r="K59" s="112"/>
      <c r="L59" s="112"/>
      <c r="M59" s="112"/>
      <c r="N59" s="163" t="str">
        <f>N3</f>
        <v>HELP, CONTEXT, and SUGGESTIONS</v>
      </c>
    </row>
    <row r="60" spans="1:16" x14ac:dyDescent="0.35">
      <c r="A60" s="139" t="str">
        <f>IF(A$5="[Unused]","",A5)</f>
        <v>Upper Basin</v>
      </c>
      <c r="B60" s="113"/>
      <c r="C60" s="113"/>
      <c r="D60" s="113"/>
      <c r="E60" s="113"/>
      <c r="F60" s="113"/>
      <c r="G60" s="113"/>
      <c r="H60" s="113"/>
      <c r="I60" s="113"/>
      <c r="J60" s="113"/>
      <c r="K60" s="113"/>
      <c r="L60" s="113"/>
      <c r="M60" s="114" t="s">
        <v>82</v>
      </c>
      <c r="N60" s="164" t="s">
        <v>328</v>
      </c>
    </row>
    <row r="61" spans="1:16" x14ac:dyDescent="0.35">
      <c r="A61" s="148" t="str">
        <f>IF(A60="[Unused]","","   Enter volume to Buy(+) or Sell(-) [maf]")</f>
        <v xml:space="preserve">   Enter volume to Buy(+) or Sell(-) [maf]</v>
      </c>
      <c r="C61" s="105"/>
      <c r="D61" s="105"/>
      <c r="E61" s="105"/>
      <c r="F61" s="105"/>
      <c r="G61" s="105"/>
      <c r="H61" s="105"/>
      <c r="I61" s="105"/>
      <c r="J61" s="105"/>
      <c r="K61" s="105"/>
      <c r="L61" s="105"/>
      <c r="M61" s="49">
        <f>SUM(C61:L61)</f>
        <v>0</v>
      </c>
      <c r="N61" s="170" t="s">
        <v>329</v>
      </c>
    </row>
    <row r="62" spans="1:16" x14ac:dyDescent="0.35">
      <c r="A62" s="148" t="str">
        <f>IF(A61="","","   Enter compensation to Buy(-) or Sell(+) [$ Mill]")</f>
        <v xml:space="preserve">   Enter compensation to Buy(-) or Sell(+) [$ Mill]</v>
      </c>
      <c r="C62" s="106"/>
      <c r="D62" s="106"/>
      <c r="E62" s="106"/>
      <c r="F62" s="105"/>
      <c r="G62" s="106"/>
      <c r="H62" s="106"/>
      <c r="I62" s="106"/>
      <c r="J62" s="106"/>
      <c r="K62" s="106"/>
      <c r="L62" s="106"/>
      <c r="M62" s="47">
        <f>SUM(C62:L62)</f>
        <v>0</v>
      </c>
      <c r="N62" s="171" t="s">
        <v>330</v>
      </c>
    </row>
    <row r="63" spans="1:16" x14ac:dyDescent="0.35">
      <c r="A63" s="21" t="str">
        <f>IF(A62="","","   Net trade volume all players (should be zero)")</f>
        <v xml:space="preserve">   Net trade volume all players (should be zero)</v>
      </c>
      <c r="C63" s="49">
        <f t="shared" ref="C63:M63" ca="1" si="27">IF(OR(C$28="",$A63=""),"",C$116)</f>
        <v>0</v>
      </c>
      <c r="D63" s="49">
        <f t="shared" ca="1" si="27"/>
        <v>0</v>
      </c>
      <c r="E63" s="49">
        <f t="shared" ca="1" si="27"/>
        <v>0</v>
      </c>
      <c r="F63" s="49" t="str">
        <f t="shared" si="27"/>
        <v/>
      </c>
      <c r="G63" s="49" t="str">
        <f t="shared" si="27"/>
        <v/>
      </c>
      <c r="H63" s="49" t="str">
        <f t="shared" si="27"/>
        <v/>
      </c>
      <c r="I63" s="49" t="str">
        <f t="shared" si="27"/>
        <v/>
      </c>
      <c r="J63" s="49" t="str">
        <f t="shared" si="27"/>
        <v/>
      </c>
      <c r="K63" s="49" t="str">
        <f t="shared" si="27"/>
        <v/>
      </c>
      <c r="L63" s="49" t="str">
        <f t="shared" si="27"/>
        <v/>
      </c>
      <c r="M63" t="str">
        <f t="shared" si="27"/>
        <v/>
      </c>
      <c r="N63" s="167" t="s">
        <v>331</v>
      </c>
    </row>
    <row r="64" spans="1:16" x14ac:dyDescent="0.35">
      <c r="A64" s="1" t="str">
        <f>IF(A62="","","   Available Water [maf]")</f>
        <v xml:space="preserve">   Available Water [maf]</v>
      </c>
      <c r="C64" s="13">
        <f>IF(OR(C$28="",$A64=""),"",C33+C51-C43+C61)</f>
        <v>7.8673046547513863</v>
      </c>
      <c r="D64" s="13">
        <f t="shared" ref="D64:L64" ca="1" si="28">IF(OR(D$28="",$A64=""),"",D33+D51-D43+D61)</f>
        <v>6.7185773713728452</v>
      </c>
      <c r="E64" s="13">
        <f t="shared" ca="1" si="28"/>
        <v>6.1575573770854142</v>
      </c>
      <c r="F64" s="13" t="str">
        <f t="shared" si="28"/>
        <v/>
      </c>
      <c r="G64" s="13" t="str">
        <f t="shared" si="28"/>
        <v/>
      </c>
      <c r="H64" s="13" t="str">
        <f t="shared" si="28"/>
        <v/>
      </c>
      <c r="I64" s="13" t="str">
        <f t="shared" si="28"/>
        <v/>
      </c>
      <c r="J64" s="13" t="str">
        <f t="shared" si="28"/>
        <v/>
      </c>
      <c r="K64" s="13" t="str">
        <f t="shared" si="28"/>
        <v/>
      </c>
      <c r="L64" s="13" t="str">
        <f t="shared" si="28"/>
        <v/>
      </c>
      <c r="N64" s="167" t="s">
        <v>332</v>
      </c>
    </row>
    <row r="65" spans="1:14" x14ac:dyDescent="0.35">
      <c r="A65" s="147" t="str">
        <f>IF(A64="","","   Enter withdraw [maf] within available water")</f>
        <v xml:space="preserve">   Enter withdraw [maf] within available water</v>
      </c>
      <c r="C65" s="107">
        <v>4</v>
      </c>
      <c r="D65" s="107">
        <v>3.5</v>
      </c>
      <c r="E65" s="107">
        <v>2</v>
      </c>
      <c r="F65" s="107"/>
      <c r="G65" s="107"/>
      <c r="H65" s="107"/>
      <c r="I65" s="107"/>
      <c r="J65" s="107"/>
      <c r="K65" s="107"/>
      <c r="L65" s="107"/>
      <c r="N65" s="167" t="s">
        <v>345</v>
      </c>
    </row>
    <row r="66" spans="1:14" x14ac:dyDescent="0.35">
      <c r="A66" s="21" t="str">
        <f>IF(A65="","","   End of Year Balance [maf]")</f>
        <v xml:space="preserve">   End of Year Balance [maf]</v>
      </c>
      <c r="C66" s="48">
        <f>IF(OR(C$28="",$A66=""),"",C64-C65)</f>
        <v>3.8673046547513863</v>
      </c>
      <c r="D66" s="48">
        <f t="shared" ref="D66:L66" ca="1" si="29">IF(OR(D$28="",$A66=""),"",D64-D65)</f>
        <v>3.2185773713728452</v>
      </c>
      <c r="E66" s="48">
        <f t="shared" ca="1" si="29"/>
        <v>4.1575573770854142</v>
      </c>
      <c r="F66" s="48" t="str">
        <f t="shared" si="29"/>
        <v/>
      </c>
      <c r="G66" s="48" t="str">
        <f t="shared" si="29"/>
        <v/>
      </c>
      <c r="H66" s="48" t="str">
        <f t="shared" si="29"/>
        <v/>
      </c>
      <c r="I66" s="48" t="str">
        <f t="shared" si="29"/>
        <v/>
      </c>
      <c r="J66" s="48" t="str">
        <f t="shared" si="29"/>
        <v/>
      </c>
      <c r="K66" s="48" t="str">
        <f t="shared" si="29"/>
        <v/>
      </c>
      <c r="L66" s="48" t="str">
        <f t="shared" si="29"/>
        <v/>
      </c>
      <c r="N66" s="167" t="s">
        <v>333</v>
      </c>
    </row>
    <row r="67" spans="1:14" x14ac:dyDescent="0.35">
      <c r="C67"/>
      <c r="N67" s="168"/>
    </row>
    <row r="68" spans="1:14" x14ac:dyDescent="0.35">
      <c r="A68" s="139" t="str">
        <f>IF(A$6="","[Unused]",A6)</f>
        <v>Lower Basin</v>
      </c>
      <c r="B68" s="113"/>
      <c r="C68" s="113"/>
      <c r="D68" s="113"/>
      <c r="E68" s="113"/>
      <c r="F68" s="113"/>
      <c r="G68" s="113"/>
      <c r="H68" s="113"/>
      <c r="I68" s="113"/>
      <c r="J68" s="113"/>
      <c r="K68" s="113"/>
      <c r="L68" s="113"/>
      <c r="M68" s="114" t="s">
        <v>82</v>
      </c>
      <c r="N68" s="164" t="s">
        <v>328</v>
      </c>
    </row>
    <row r="69" spans="1:14" x14ac:dyDescent="0.35">
      <c r="A69" s="148" t="str">
        <f>IF(A68="[Unused]","",$A$61)</f>
        <v xml:space="preserve">   Enter volume to Buy(+) or Sell(-) [maf]</v>
      </c>
      <c r="C69" s="105"/>
      <c r="D69" s="105"/>
      <c r="E69" s="105"/>
      <c r="F69" s="105"/>
      <c r="G69" s="105"/>
      <c r="H69" s="105"/>
      <c r="I69" s="105"/>
      <c r="J69" s="105"/>
      <c r="K69" s="105"/>
      <c r="L69" s="105"/>
      <c r="M69" s="49">
        <f>SUM(C69:L69)</f>
        <v>0</v>
      </c>
      <c r="N69" s="170" t="s">
        <v>329</v>
      </c>
    </row>
    <row r="70" spans="1:14" x14ac:dyDescent="0.35">
      <c r="A70" s="148" t="str">
        <f>IF(A69="","",$A$62)</f>
        <v xml:space="preserve">   Enter compensation to Buy(-) or Sell(+) [$ Mill]</v>
      </c>
      <c r="C70" s="106"/>
      <c r="D70" s="106"/>
      <c r="E70" s="106"/>
      <c r="F70" s="106"/>
      <c r="G70" s="106"/>
      <c r="H70" s="106"/>
      <c r="I70" s="106"/>
      <c r="J70" s="106"/>
      <c r="K70" s="106"/>
      <c r="L70" s="106"/>
      <c r="M70" s="47">
        <f>SUM(C70:L70)</f>
        <v>0</v>
      </c>
      <c r="N70" s="171" t="s">
        <v>330</v>
      </c>
    </row>
    <row r="71" spans="1:14" x14ac:dyDescent="0.35">
      <c r="A71" s="154" t="str">
        <f>IF(A70="","",$A$63)</f>
        <v xml:space="preserve">   Net trade volume all players (should be zero)</v>
      </c>
      <c r="C71" s="49">
        <f t="shared" ref="C71:M71" ca="1" si="30">IF(OR(C$28="",$A71=""),"",C$116)</f>
        <v>0</v>
      </c>
      <c r="D71" s="49">
        <f t="shared" ca="1" si="30"/>
        <v>0</v>
      </c>
      <c r="E71" s="49">
        <f t="shared" ca="1" si="30"/>
        <v>0</v>
      </c>
      <c r="F71" s="49" t="str">
        <f t="shared" si="30"/>
        <v/>
      </c>
      <c r="G71" s="49" t="str">
        <f t="shared" si="30"/>
        <v/>
      </c>
      <c r="H71" s="49" t="str">
        <f t="shared" si="30"/>
        <v/>
      </c>
      <c r="I71" s="49" t="str">
        <f t="shared" si="30"/>
        <v/>
      </c>
      <c r="J71" s="49" t="str">
        <f t="shared" si="30"/>
        <v/>
      </c>
      <c r="K71" s="49" t="str">
        <f t="shared" si="30"/>
        <v/>
      </c>
      <c r="L71" s="49" t="str">
        <f t="shared" si="30"/>
        <v/>
      </c>
      <c r="M71" t="str">
        <f t="shared" si="30"/>
        <v/>
      </c>
      <c r="N71" s="167" t="s">
        <v>331</v>
      </c>
    </row>
    <row r="72" spans="1:14" x14ac:dyDescent="0.35">
      <c r="A72" s="1" t="str">
        <f>IF(A70="","","   Available Water [maf]")</f>
        <v xml:space="preserve">   Available Water [maf]</v>
      </c>
      <c r="C72" s="13">
        <f>IF(OR(C$28="",$A72=""),"",C34+C52-C44+C69)</f>
        <v>10.502392603521871</v>
      </c>
      <c r="D72" s="13">
        <f t="shared" ref="D72:L72" ca="1" si="31">IF(OR(D$28="",$A72=""),"",D34+D52-D44+D69)</f>
        <v>6.7798912119175423</v>
      </c>
      <c r="E72" s="13">
        <f t="shared" ca="1" si="31"/>
        <v>3.76145870398916</v>
      </c>
      <c r="F72" s="13" t="str">
        <f t="shared" si="31"/>
        <v/>
      </c>
      <c r="G72" s="13" t="str">
        <f t="shared" si="31"/>
        <v/>
      </c>
      <c r="H72" s="13" t="str">
        <f t="shared" si="31"/>
        <v/>
      </c>
      <c r="I72" s="13" t="str">
        <f t="shared" si="31"/>
        <v/>
      </c>
      <c r="J72" s="13" t="str">
        <f t="shared" si="31"/>
        <v/>
      </c>
      <c r="K72" s="13" t="str">
        <f t="shared" si="31"/>
        <v/>
      </c>
      <c r="L72" s="13" t="str">
        <f t="shared" si="31"/>
        <v/>
      </c>
      <c r="N72" s="167" t="s">
        <v>332</v>
      </c>
    </row>
    <row r="73" spans="1:14" x14ac:dyDescent="0.35">
      <c r="A73" s="147" t="str">
        <f>IF(A72="","",$A$65)</f>
        <v xml:space="preserve">   Enter withdraw [maf] within available water</v>
      </c>
      <c r="C73" s="107">
        <v>7</v>
      </c>
      <c r="D73" s="107">
        <v>6</v>
      </c>
      <c r="E73" s="107">
        <v>3.75</v>
      </c>
      <c r="F73" s="107"/>
      <c r="G73" s="107"/>
      <c r="H73" s="107"/>
      <c r="I73" s="107"/>
      <c r="J73" s="107"/>
      <c r="K73" s="107"/>
      <c r="L73" s="107"/>
      <c r="N73" s="167" t="s">
        <v>345</v>
      </c>
    </row>
    <row r="74" spans="1:14" x14ac:dyDescent="0.35">
      <c r="A74" s="21" t="str">
        <f>IF(A73="","","   End of Year Balance [maf]")</f>
        <v xml:space="preserve">   End of Year Balance [maf]</v>
      </c>
      <c r="C74" s="48">
        <f>IF(OR(C$28="",$A74=""),"",C72-C73)</f>
        <v>3.5023926035218711</v>
      </c>
      <c r="D74" s="48">
        <f t="shared" ref="D74:L74" ca="1" si="32">IF(OR(D$28="",$A74=""),"",D72-D73)</f>
        <v>0.77989121191754229</v>
      </c>
      <c r="E74" s="48">
        <f t="shared" ca="1" si="32"/>
        <v>1.1458703989160046E-2</v>
      </c>
      <c r="F74" s="48" t="str">
        <f t="shared" si="32"/>
        <v/>
      </c>
      <c r="G74" s="48" t="str">
        <f t="shared" si="32"/>
        <v/>
      </c>
      <c r="H74" s="48" t="str">
        <f t="shared" si="32"/>
        <v/>
      </c>
      <c r="I74" s="48" t="str">
        <f t="shared" si="32"/>
        <v/>
      </c>
      <c r="J74" s="48" t="str">
        <f t="shared" si="32"/>
        <v/>
      </c>
      <c r="K74" s="48" t="str">
        <f t="shared" si="32"/>
        <v/>
      </c>
      <c r="L74" s="48" t="str">
        <f t="shared" si="32"/>
        <v/>
      </c>
      <c r="N74" s="167" t="s">
        <v>333</v>
      </c>
    </row>
    <row r="75" spans="1:14" x14ac:dyDescent="0.35">
      <c r="C75"/>
      <c r="N75" s="168"/>
    </row>
    <row r="76" spans="1:14" x14ac:dyDescent="0.35">
      <c r="A76" s="139" t="str">
        <f>IF(A$7="","[Unused]",A7)</f>
        <v>Mexico</v>
      </c>
      <c r="B76" s="113"/>
      <c r="C76" s="113"/>
      <c r="D76" s="113"/>
      <c r="E76" s="113"/>
      <c r="F76" s="113"/>
      <c r="G76" s="113"/>
      <c r="H76" s="113"/>
      <c r="I76" s="113"/>
      <c r="J76" s="113"/>
      <c r="K76" s="113"/>
      <c r="L76" s="113"/>
      <c r="M76" s="114" t="s">
        <v>82</v>
      </c>
      <c r="N76" s="164" t="s">
        <v>328</v>
      </c>
    </row>
    <row r="77" spans="1:14" x14ac:dyDescent="0.35">
      <c r="A77" s="148" t="str">
        <f>IF(A76="[Unused]","",$A$61)</f>
        <v xml:space="preserve">   Enter volume to Buy(+) or Sell(-) [maf]</v>
      </c>
      <c r="C77" s="105"/>
      <c r="D77" s="105"/>
      <c r="E77" s="105"/>
      <c r="F77" s="105"/>
      <c r="G77" s="105"/>
      <c r="H77" s="105"/>
      <c r="I77" s="105"/>
      <c r="J77" s="105"/>
      <c r="K77" s="105"/>
      <c r="L77" s="105"/>
      <c r="M77" s="49">
        <f>SUM(C77:L77)</f>
        <v>0</v>
      </c>
      <c r="N77" s="170" t="s">
        <v>329</v>
      </c>
    </row>
    <row r="78" spans="1:14" x14ac:dyDescent="0.35">
      <c r="A78" s="148" t="str">
        <f>IF(A77="","",$A$62)</f>
        <v xml:space="preserve">   Enter compensation to Buy(-) or Sell(+) [$ Mill]</v>
      </c>
      <c r="C78" s="106"/>
      <c r="D78" s="106"/>
      <c r="E78" s="106"/>
      <c r="F78" s="106"/>
      <c r="G78" s="106"/>
      <c r="H78" s="106"/>
      <c r="I78" s="106"/>
      <c r="J78" s="106"/>
      <c r="K78" s="106"/>
      <c r="L78" s="106"/>
      <c r="M78" s="47">
        <f>SUM(C78:L78)</f>
        <v>0</v>
      </c>
      <c r="N78" s="171" t="s">
        <v>330</v>
      </c>
    </row>
    <row r="79" spans="1:14" x14ac:dyDescent="0.35">
      <c r="A79" s="154" t="str">
        <f>IF(A78="","",$A$63)</f>
        <v xml:space="preserve">   Net trade volume all players (should be zero)</v>
      </c>
      <c r="C79" s="49">
        <f t="shared" ref="C79:M79" ca="1" si="33">IF(OR(C$28="",$A79=""),"",C$116)</f>
        <v>0</v>
      </c>
      <c r="D79" s="49">
        <f t="shared" ca="1" si="33"/>
        <v>0</v>
      </c>
      <c r="E79" s="49">
        <f t="shared" ca="1" si="33"/>
        <v>0</v>
      </c>
      <c r="F79" s="49" t="str">
        <f t="shared" si="33"/>
        <v/>
      </c>
      <c r="G79" s="49" t="str">
        <f t="shared" si="33"/>
        <v/>
      </c>
      <c r="H79" s="49" t="str">
        <f t="shared" si="33"/>
        <v/>
      </c>
      <c r="I79" s="49" t="str">
        <f t="shared" si="33"/>
        <v/>
      </c>
      <c r="J79" s="49" t="str">
        <f t="shared" si="33"/>
        <v/>
      </c>
      <c r="K79" s="49" t="str">
        <f t="shared" si="33"/>
        <v/>
      </c>
      <c r="L79" s="49" t="str">
        <f t="shared" si="33"/>
        <v/>
      </c>
      <c r="M79" t="str">
        <f t="shared" si="33"/>
        <v/>
      </c>
      <c r="N79" s="167" t="s">
        <v>331</v>
      </c>
    </row>
    <row r="80" spans="1:14" x14ac:dyDescent="0.35">
      <c r="A80" s="1" t="str">
        <f>IF(A78="","","   Available Water [maf]")</f>
        <v xml:space="preserve">   Available Water [maf]</v>
      </c>
      <c r="C80" s="13">
        <f>IF(OR(C$28="",$A80=""),"",C35+C53-C45+C77)</f>
        <v>1.5016802561712117</v>
      </c>
      <c r="D80" s="13">
        <f t="shared" ref="D80:L80" ca="1" si="34">IF(OR(D$28="",$A80=""),"",D35+D53-D45+D77)</f>
        <v>1.2987025905818956</v>
      </c>
      <c r="E80" s="13">
        <f t="shared" ca="1" si="34"/>
        <v>1.1953536259690078</v>
      </c>
      <c r="F80" s="13" t="str">
        <f t="shared" si="34"/>
        <v/>
      </c>
      <c r="G80" s="13" t="str">
        <f t="shared" si="34"/>
        <v/>
      </c>
      <c r="H80" s="13" t="str">
        <f t="shared" si="34"/>
        <v/>
      </c>
      <c r="I80" s="13" t="str">
        <f t="shared" si="34"/>
        <v/>
      </c>
      <c r="J80" s="13" t="str">
        <f t="shared" si="34"/>
        <v/>
      </c>
      <c r="K80" s="13" t="str">
        <f t="shared" si="34"/>
        <v/>
      </c>
      <c r="L80" s="13" t="str">
        <f t="shared" si="34"/>
        <v/>
      </c>
      <c r="N80" s="167" t="s">
        <v>332</v>
      </c>
    </row>
    <row r="81" spans="1:14" x14ac:dyDescent="0.35">
      <c r="A81" s="147" t="str">
        <f>IF(A80="","",$A$65)</f>
        <v xml:space="preserve">   Enter withdraw [maf] within available water</v>
      </c>
      <c r="C81" s="107">
        <v>1.5</v>
      </c>
      <c r="D81" s="107">
        <v>1.2</v>
      </c>
      <c r="E81" s="107">
        <v>1.1599999999999999</v>
      </c>
      <c r="F81" s="107"/>
      <c r="G81" s="107"/>
      <c r="H81" s="107"/>
      <c r="I81" s="107"/>
      <c r="J81" s="107"/>
      <c r="K81" s="107"/>
      <c r="L81" s="107"/>
      <c r="N81" s="167" t="s">
        <v>345</v>
      </c>
    </row>
    <row r="82" spans="1:14" x14ac:dyDescent="0.35">
      <c r="A82" s="21" t="str">
        <f>IF(A81="","","   End of Year Balance [maf]")</f>
        <v xml:space="preserve">   End of Year Balance [maf]</v>
      </c>
      <c r="C82" s="48">
        <f>IF(OR(C$28="",$A82=""),"",C80-C81)</f>
        <v>1.6802561712117026E-3</v>
      </c>
      <c r="D82" s="48">
        <f t="shared" ref="D82:L82" ca="1" si="35">IF(OR(D$28="",$A82=""),"",D80-D81)</f>
        <v>9.8702590581895677E-2</v>
      </c>
      <c r="E82" s="48">
        <f t="shared" ca="1" si="35"/>
        <v>3.5353625969007929E-2</v>
      </c>
      <c r="F82" s="48" t="str">
        <f t="shared" si="35"/>
        <v/>
      </c>
      <c r="G82" s="48" t="str">
        <f t="shared" si="35"/>
        <v/>
      </c>
      <c r="H82" s="48" t="str">
        <f t="shared" si="35"/>
        <v/>
      </c>
      <c r="I82" s="48" t="str">
        <f t="shared" si="35"/>
        <v/>
      </c>
      <c r="J82" s="48" t="str">
        <f t="shared" si="35"/>
        <v/>
      </c>
      <c r="K82" s="48" t="str">
        <f t="shared" si="35"/>
        <v/>
      </c>
      <c r="L82" s="48" t="str">
        <f t="shared" si="35"/>
        <v/>
      </c>
      <c r="N82" s="167" t="s">
        <v>333</v>
      </c>
    </row>
    <row r="83" spans="1:14" x14ac:dyDescent="0.35">
      <c r="C83"/>
      <c r="N83" s="168"/>
    </row>
    <row r="84" spans="1:14" x14ac:dyDescent="0.35">
      <c r="A84" s="139" t="str">
        <f>IF(A$8="","[Unused]",A8)</f>
        <v>Colorado River Delta</v>
      </c>
      <c r="B84" s="113"/>
      <c r="C84" s="113"/>
      <c r="D84" s="113"/>
      <c r="E84" s="113"/>
      <c r="F84" s="113"/>
      <c r="G84" s="113"/>
      <c r="H84" s="113"/>
      <c r="I84" s="113"/>
      <c r="J84" s="113"/>
      <c r="K84" s="113"/>
      <c r="L84" s="113"/>
      <c r="M84" s="114" t="s">
        <v>82</v>
      </c>
      <c r="N84" s="164" t="s">
        <v>328</v>
      </c>
    </row>
    <row r="85" spans="1:14" x14ac:dyDescent="0.35">
      <c r="A85" s="148" t="str">
        <f>IF(A84="[Unused]","",$A$61)</f>
        <v xml:space="preserve">   Enter volume to Buy(+) or Sell(-) [maf]</v>
      </c>
      <c r="C85" s="105"/>
      <c r="D85" s="105"/>
      <c r="E85" s="105"/>
      <c r="F85" s="105"/>
      <c r="G85" s="105"/>
      <c r="H85" s="105"/>
      <c r="I85" s="105"/>
      <c r="J85" s="105"/>
      <c r="K85" s="105"/>
      <c r="L85" s="105"/>
      <c r="M85" s="49">
        <f>SUM(C85:L85)</f>
        <v>0</v>
      </c>
      <c r="N85" s="170" t="s">
        <v>329</v>
      </c>
    </row>
    <row r="86" spans="1:14" x14ac:dyDescent="0.35">
      <c r="A86" s="148" t="str">
        <f>IF(A85="","",$A$62)</f>
        <v xml:space="preserve">   Enter compensation to Buy(-) or Sell(+) [$ Mill]</v>
      </c>
      <c r="C86" s="106"/>
      <c r="D86" s="106"/>
      <c r="E86" s="106"/>
      <c r="F86" s="106"/>
      <c r="G86" s="106"/>
      <c r="H86" s="106"/>
      <c r="I86" s="106"/>
      <c r="J86" s="106"/>
      <c r="K86" s="106"/>
      <c r="L86" s="106"/>
      <c r="M86" s="47">
        <f>SUM(C86:L86)</f>
        <v>0</v>
      </c>
      <c r="N86" s="171" t="s">
        <v>330</v>
      </c>
    </row>
    <row r="87" spans="1:14" x14ac:dyDescent="0.35">
      <c r="A87" s="154" t="str">
        <f>IF(A86="","",$A$63)</f>
        <v xml:space="preserve">   Net trade volume all players (should be zero)</v>
      </c>
      <c r="C87" s="49">
        <f t="shared" ref="C87:M87" ca="1" si="36">IF(OR(C$28="",$A87=""),"",C$116)</f>
        <v>0</v>
      </c>
      <c r="D87" s="49">
        <f t="shared" ca="1" si="36"/>
        <v>0</v>
      </c>
      <c r="E87" s="49">
        <f t="shared" ca="1" si="36"/>
        <v>0</v>
      </c>
      <c r="F87" s="49" t="str">
        <f t="shared" si="36"/>
        <v/>
      </c>
      <c r="G87" s="49" t="str">
        <f t="shared" si="36"/>
        <v/>
      </c>
      <c r="H87" s="49" t="str">
        <f t="shared" si="36"/>
        <v/>
      </c>
      <c r="I87" s="49" t="str">
        <f t="shared" si="36"/>
        <v/>
      </c>
      <c r="J87" s="49" t="str">
        <f t="shared" si="36"/>
        <v/>
      </c>
      <c r="K87" s="49" t="str">
        <f t="shared" si="36"/>
        <v/>
      </c>
      <c r="L87" s="49" t="str">
        <f t="shared" si="36"/>
        <v/>
      </c>
      <c r="M87" t="str">
        <f t="shared" si="36"/>
        <v/>
      </c>
      <c r="N87" s="167" t="s">
        <v>331</v>
      </c>
    </row>
    <row r="88" spans="1:14" x14ac:dyDescent="0.35">
      <c r="A88" s="1" t="str">
        <f>IF(A86="","","   Available Water [maf]")</f>
        <v xml:space="preserve">   Available Water [maf]</v>
      </c>
      <c r="C88" s="137">
        <f>IF(OR(C$28="",$A88=""),"",C36+C54-C46+C85)</f>
        <v>1.5555555555555553E-2</v>
      </c>
      <c r="D88" s="137">
        <f t="shared" ref="D88:L88" ca="1" si="37">IF(OR(D$28="",$A88=""),"",D36+D54-D46+D85)</f>
        <v>3.0324700628914465E-2</v>
      </c>
      <c r="E88" s="137">
        <f t="shared" ca="1" si="37"/>
        <v>4.4203917456443038E-2</v>
      </c>
      <c r="F88" s="137" t="str">
        <f t="shared" si="37"/>
        <v/>
      </c>
      <c r="G88" s="137" t="str">
        <f t="shared" si="37"/>
        <v/>
      </c>
      <c r="H88" s="137" t="str">
        <f t="shared" si="37"/>
        <v/>
      </c>
      <c r="I88" s="137" t="str">
        <f t="shared" si="37"/>
        <v/>
      </c>
      <c r="J88" s="137" t="str">
        <f t="shared" si="37"/>
        <v/>
      </c>
      <c r="K88" s="137" t="str">
        <f t="shared" si="37"/>
        <v/>
      </c>
      <c r="L88" s="137" t="str">
        <f t="shared" si="37"/>
        <v/>
      </c>
      <c r="N88" s="167" t="s">
        <v>332</v>
      </c>
    </row>
    <row r="89" spans="1:14" x14ac:dyDescent="0.35">
      <c r="A89" s="147" t="str">
        <f>IF(A88="","",$A$65)</f>
        <v xml:space="preserve">   Enter withdraw [maf] within available water</v>
      </c>
      <c r="C89" s="138"/>
      <c r="D89" s="138"/>
      <c r="E89" s="138"/>
      <c r="F89" s="138"/>
      <c r="G89" s="138"/>
      <c r="H89" s="138"/>
      <c r="I89" s="138"/>
      <c r="J89" s="138"/>
      <c r="K89" s="138"/>
      <c r="L89" s="138"/>
      <c r="N89" s="167" t="s">
        <v>345</v>
      </c>
    </row>
    <row r="90" spans="1:14" x14ac:dyDescent="0.35">
      <c r="A90" s="21" t="str">
        <f>IF(A89="","","   End of Year Balance [maf]")</f>
        <v xml:space="preserve">   End of Year Balance [maf]</v>
      </c>
      <c r="C90" s="48">
        <f>IF(OR(C$28="",$A90=""),"",C88-C89)</f>
        <v>1.5555555555555553E-2</v>
      </c>
      <c r="D90" s="48">
        <f t="shared" ref="D90:L90" ca="1" si="38">IF(OR(D$28="",$A90=""),"",D88-D89)</f>
        <v>3.0324700628914465E-2</v>
      </c>
      <c r="E90" s="48">
        <f t="shared" ca="1" si="38"/>
        <v>4.4203917456443038E-2</v>
      </c>
      <c r="F90" s="48" t="str">
        <f t="shared" si="38"/>
        <v/>
      </c>
      <c r="G90" s="48" t="str">
        <f t="shared" si="38"/>
        <v/>
      </c>
      <c r="H90" s="48" t="str">
        <f t="shared" si="38"/>
        <v/>
      </c>
      <c r="I90" s="48" t="str">
        <f t="shared" si="38"/>
        <v/>
      </c>
      <c r="J90" s="48" t="str">
        <f t="shared" si="38"/>
        <v/>
      </c>
      <c r="K90" s="48" t="str">
        <f t="shared" si="38"/>
        <v/>
      </c>
      <c r="L90" s="48" t="str">
        <f t="shared" si="38"/>
        <v/>
      </c>
      <c r="N90" s="167" t="s">
        <v>333</v>
      </c>
    </row>
    <row r="91" spans="1:14" x14ac:dyDescent="0.35">
      <c r="C91"/>
      <c r="N91" s="168"/>
    </row>
    <row r="92" spans="1:14" x14ac:dyDescent="0.35">
      <c r="A92" s="139" t="str">
        <f>IF(A$9="","[Unused]",A9)</f>
        <v>[Unused]</v>
      </c>
      <c r="B92" s="113"/>
      <c r="C92" s="113"/>
      <c r="D92" s="113"/>
      <c r="E92" s="113"/>
      <c r="F92" s="113"/>
      <c r="G92" s="113"/>
      <c r="H92" s="113"/>
      <c r="I92" s="113"/>
      <c r="J92" s="113"/>
      <c r="K92" s="113"/>
      <c r="L92" s="113"/>
      <c r="M92" s="114" t="s">
        <v>82</v>
      </c>
      <c r="N92" s="164" t="s">
        <v>328</v>
      </c>
    </row>
    <row r="93" spans="1:14" x14ac:dyDescent="0.35">
      <c r="A93" s="21" t="str">
        <f>IF(A92="[Unused]","",$A$61)</f>
        <v/>
      </c>
      <c r="C93" s="105"/>
      <c r="D93" s="105"/>
      <c r="E93" s="105"/>
      <c r="F93" s="105"/>
      <c r="G93" s="105"/>
      <c r="H93" s="105"/>
      <c r="I93" s="105"/>
      <c r="J93" s="105"/>
      <c r="K93" s="105"/>
      <c r="L93" s="105"/>
      <c r="M93" s="49">
        <f>SUM(C93:L93)</f>
        <v>0</v>
      </c>
      <c r="N93" s="170" t="s">
        <v>329</v>
      </c>
    </row>
    <row r="94" spans="1:14" x14ac:dyDescent="0.35">
      <c r="A94" s="21" t="str">
        <f>IF(A93="","",$A$62)</f>
        <v/>
      </c>
      <c r="C94" s="106"/>
      <c r="D94" s="106"/>
      <c r="E94" s="106"/>
      <c r="F94" s="106"/>
      <c r="G94" s="106"/>
      <c r="H94" s="106"/>
      <c r="I94" s="106"/>
      <c r="J94" s="106"/>
      <c r="K94" s="106"/>
      <c r="L94" s="106"/>
      <c r="M94" s="47">
        <f>SUM(C94:L94)</f>
        <v>0</v>
      </c>
      <c r="N94" s="171" t="s">
        <v>330</v>
      </c>
    </row>
    <row r="95" spans="1:14" x14ac:dyDescent="0.35">
      <c r="A95" s="154" t="str">
        <f>IF(A94="","",$A$63)</f>
        <v/>
      </c>
      <c r="C95" s="49" t="str">
        <f t="shared" ref="C95:M95" si="39">IF(OR(C$28="",$A95=""),"",C$116)</f>
        <v/>
      </c>
      <c r="D95" s="49" t="str">
        <f t="shared" si="39"/>
        <v/>
      </c>
      <c r="E95" s="49" t="str">
        <f t="shared" si="39"/>
        <v/>
      </c>
      <c r="F95" s="49" t="str">
        <f t="shared" si="39"/>
        <v/>
      </c>
      <c r="G95" s="49" t="str">
        <f t="shared" si="39"/>
        <v/>
      </c>
      <c r="H95" s="49" t="str">
        <f t="shared" si="39"/>
        <v/>
      </c>
      <c r="I95" s="49" t="str">
        <f t="shared" si="39"/>
        <v/>
      </c>
      <c r="J95" s="49" t="str">
        <f t="shared" si="39"/>
        <v/>
      </c>
      <c r="K95" s="49" t="str">
        <f t="shared" si="39"/>
        <v/>
      </c>
      <c r="L95" s="49" t="str">
        <f t="shared" si="39"/>
        <v/>
      </c>
      <c r="M95" t="str">
        <f t="shared" si="39"/>
        <v/>
      </c>
      <c r="N95" s="167" t="s">
        <v>331</v>
      </c>
    </row>
    <row r="96" spans="1:14" x14ac:dyDescent="0.35">
      <c r="A96" s="1" t="str">
        <f>IF(A94="","","   Available Water [maf]")</f>
        <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67" t="s">
        <v>332</v>
      </c>
    </row>
    <row r="97" spans="1:14" x14ac:dyDescent="0.35">
      <c r="A97" s="147" t="str">
        <f>IF(A96="","",$A$65)</f>
        <v/>
      </c>
      <c r="C97" s="107"/>
      <c r="D97" s="107"/>
      <c r="E97" s="107"/>
      <c r="F97" s="107"/>
      <c r="G97" s="107"/>
      <c r="H97" s="107"/>
      <c r="I97" s="107"/>
      <c r="J97" s="107"/>
      <c r="K97" s="107"/>
      <c r="L97" s="107"/>
      <c r="N97" s="167" t="s">
        <v>345</v>
      </c>
    </row>
    <row r="98" spans="1:14" x14ac:dyDescent="0.35">
      <c r="A98" s="21" t="str">
        <f>IF(A97="","","   End of Year Balance [maf]")</f>
        <v/>
      </c>
      <c r="C98" s="48" t="str">
        <f>IF(OR(C$28="",$A98=""),"",C96-C97)</f>
        <v/>
      </c>
      <c r="D98" s="48" t="str">
        <f t="shared" ref="D98:L98" si="41">IF(OR(D$28="",$A98=""),"",D96-D97)</f>
        <v/>
      </c>
      <c r="E98" s="48" t="str">
        <f t="shared" si="41"/>
        <v/>
      </c>
      <c r="F98" s="48" t="str">
        <f t="shared" si="41"/>
        <v/>
      </c>
      <c r="G98" s="48" t="str">
        <f t="shared" si="41"/>
        <v/>
      </c>
      <c r="H98" s="48" t="str">
        <f t="shared" si="41"/>
        <v/>
      </c>
      <c r="I98" s="48" t="str">
        <f t="shared" si="41"/>
        <v/>
      </c>
      <c r="J98" s="48" t="str">
        <f t="shared" si="41"/>
        <v/>
      </c>
      <c r="K98" s="48" t="str">
        <f t="shared" si="41"/>
        <v/>
      </c>
      <c r="L98" s="48" t="str">
        <f t="shared" si="41"/>
        <v/>
      </c>
      <c r="N98" s="167" t="s">
        <v>333</v>
      </c>
    </row>
    <row r="99" spans="1:14" x14ac:dyDescent="0.35">
      <c r="C99"/>
      <c r="N99" s="168"/>
    </row>
    <row r="100" spans="1:14" x14ac:dyDescent="0.35">
      <c r="A100" s="139" t="str">
        <f>IF(A$10="","[Unused]",A10)</f>
        <v>Shared, Reserve</v>
      </c>
      <c r="B100" s="113"/>
      <c r="C100" s="113"/>
      <c r="D100" s="113"/>
      <c r="E100" s="113"/>
      <c r="F100" s="113"/>
      <c r="G100" s="113"/>
      <c r="H100" s="113"/>
      <c r="I100" s="113"/>
      <c r="J100" s="113"/>
      <c r="K100" s="113"/>
      <c r="L100" s="113"/>
      <c r="M100" s="114" t="s">
        <v>82</v>
      </c>
      <c r="N100" s="167" t="s">
        <v>343</v>
      </c>
    </row>
    <row r="101" spans="1:14" x14ac:dyDescent="0.35">
      <c r="A101" s="148" t="str">
        <f>IF(A100="[Unused]","",$A$61)</f>
        <v xml:space="preserve">   Enter volume to Buy(+) or Sell(-) [maf]</v>
      </c>
      <c r="C101" s="18"/>
      <c r="D101" s="18"/>
      <c r="E101" s="18"/>
      <c r="F101" s="18"/>
      <c r="G101" s="18"/>
      <c r="H101" s="18"/>
      <c r="I101" s="18"/>
      <c r="J101" s="18"/>
      <c r="K101" s="18"/>
      <c r="L101" s="18"/>
      <c r="M101" s="49">
        <f>SUM(C101:L101)</f>
        <v>0</v>
      </c>
      <c r="N101" s="172"/>
    </row>
    <row r="102" spans="1:14" x14ac:dyDescent="0.35">
      <c r="A102" s="148" t="str">
        <f>IF(A101="","",$A$62)</f>
        <v xml:space="preserve">   Enter compensation to Buy(-) or Sell(+) [$ Mill]</v>
      </c>
      <c r="C102" s="130"/>
      <c r="D102" s="130"/>
      <c r="E102" s="130"/>
      <c r="F102" s="130"/>
      <c r="G102" s="130"/>
      <c r="H102" s="130"/>
      <c r="I102" s="130"/>
      <c r="J102" s="130"/>
      <c r="K102" s="130"/>
      <c r="L102" s="130"/>
      <c r="M102" s="47">
        <f>SUM(C102:L102)</f>
        <v>0</v>
      </c>
      <c r="N102" s="173"/>
    </row>
    <row r="103" spans="1:14" x14ac:dyDescent="0.35">
      <c r="A103" s="154" t="str">
        <f>IF(A102="","",$A$63)</f>
        <v xml:space="preserve">   Net trade volume all players (should be zero)</v>
      </c>
      <c r="C103" s="49">
        <f t="shared" ref="C103:M103" ca="1" si="42">IF(OR(C$28="",$A103=""),"",C$116)</f>
        <v>0</v>
      </c>
      <c r="D103" s="49">
        <f t="shared" ca="1" si="42"/>
        <v>0</v>
      </c>
      <c r="E103" s="49">
        <f t="shared" ca="1" si="42"/>
        <v>0</v>
      </c>
      <c r="F103" s="49" t="str">
        <f t="shared" si="42"/>
        <v/>
      </c>
      <c r="G103" s="49" t="str">
        <f t="shared" si="42"/>
        <v/>
      </c>
      <c r="H103" s="49" t="str">
        <f t="shared" si="42"/>
        <v/>
      </c>
      <c r="I103" s="49" t="str">
        <f t="shared" si="42"/>
        <v/>
      </c>
      <c r="J103" s="49" t="str">
        <f t="shared" si="42"/>
        <v/>
      </c>
      <c r="K103" s="49" t="str">
        <f t="shared" si="42"/>
        <v/>
      </c>
      <c r="L103" s="49" t="str">
        <f t="shared" si="42"/>
        <v/>
      </c>
      <c r="M103" t="str">
        <f t="shared" si="42"/>
        <v/>
      </c>
      <c r="N103" s="168"/>
    </row>
    <row r="104" spans="1:14" x14ac:dyDescent="0.35">
      <c r="A104" s="1" t="str">
        <f>IF(A102="","","   Available Water [maf]")</f>
        <v xml:space="preserve">   Available Water [maf]</v>
      </c>
      <c r="C104" s="13">
        <f>IF(OR(C$28="",$A104=""),"",C38+C56-C48+C101)</f>
        <v>11.59116925</v>
      </c>
      <c r="D104" s="13">
        <f t="shared" ref="D104:L104" ca="1" si="43">IF(OR(D$28="",$A104=""),"",D38+D56-D48+D101)</f>
        <v>11.59116925</v>
      </c>
      <c r="E104" s="13">
        <f t="shared" ca="1" si="43"/>
        <v>11.59116925</v>
      </c>
      <c r="F104" s="13" t="str">
        <f t="shared" si="43"/>
        <v/>
      </c>
      <c r="G104" s="13" t="str">
        <f t="shared" si="43"/>
        <v/>
      </c>
      <c r="H104" s="13" t="str">
        <f t="shared" si="43"/>
        <v/>
      </c>
      <c r="I104" s="13" t="str">
        <f t="shared" si="43"/>
        <v/>
      </c>
      <c r="J104" s="13" t="str">
        <f t="shared" si="43"/>
        <v/>
      </c>
      <c r="K104" s="13" t="str">
        <f t="shared" si="43"/>
        <v/>
      </c>
      <c r="L104" s="13" t="str">
        <f t="shared" si="43"/>
        <v/>
      </c>
      <c r="N104" s="168"/>
    </row>
    <row r="105" spans="1:14" x14ac:dyDescent="0.35">
      <c r="A105" s="147" t="str">
        <f>IF(A104="","",$A$65)</f>
        <v xml:space="preserve">   Enter withdraw [maf] within available water</v>
      </c>
      <c r="C105" s="29"/>
      <c r="D105" s="29"/>
      <c r="E105" s="29"/>
      <c r="F105" s="29"/>
      <c r="G105" s="29"/>
      <c r="H105" s="29"/>
      <c r="I105" s="29"/>
      <c r="J105" s="29"/>
      <c r="K105" s="29"/>
      <c r="L105" s="29"/>
      <c r="N105" s="168"/>
    </row>
    <row r="106" spans="1:14" x14ac:dyDescent="0.35">
      <c r="A106" s="21" t="str">
        <f>IF(A105="","","   End of Year Balance [maf]")</f>
        <v xml:space="preserve">   End of Year Balance [maf]</v>
      </c>
      <c r="C106" s="48">
        <f>IF(OR(C$28="",$A106=""),"",C104-C105)</f>
        <v>11.59116925</v>
      </c>
      <c r="D106" s="48">
        <f t="shared" ref="D106:L106" ca="1" si="44">IF(OR(D$28="",$A106=""),"",D104-D105)</f>
        <v>11.59116925</v>
      </c>
      <c r="E106" s="48">
        <f t="shared" ca="1" si="44"/>
        <v>11.59116925</v>
      </c>
      <c r="F106" s="48" t="str">
        <f t="shared" si="44"/>
        <v/>
      </c>
      <c r="G106" s="48" t="str">
        <f t="shared" si="44"/>
        <v/>
      </c>
      <c r="H106" s="48" t="str">
        <f t="shared" si="44"/>
        <v/>
      </c>
      <c r="I106" s="48" t="str">
        <f t="shared" si="44"/>
        <v/>
      </c>
      <c r="J106" s="48" t="str">
        <f t="shared" si="44"/>
        <v/>
      </c>
      <c r="K106" s="48" t="str">
        <f t="shared" si="44"/>
        <v/>
      </c>
      <c r="L106" s="48" t="str">
        <f t="shared" si="44"/>
        <v/>
      </c>
      <c r="N106" s="168"/>
    </row>
    <row r="107" spans="1:14" x14ac:dyDescent="0.35">
      <c r="C107"/>
      <c r="N107" s="168"/>
    </row>
    <row r="108" spans="1:14" x14ac:dyDescent="0.35">
      <c r="A108" s="115" t="s">
        <v>307</v>
      </c>
      <c r="B108" s="115"/>
      <c r="C108" s="115"/>
      <c r="D108" s="115"/>
      <c r="E108" s="115"/>
      <c r="F108" s="115"/>
      <c r="G108" s="115"/>
      <c r="H108" s="115"/>
      <c r="I108" s="115"/>
      <c r="J108" s="115"/>
      <c r="K108" s="115"/>
      <c r="L108" s="115"/>
      <c r="M108" s="115"/>
      <c r="N108" s="167" t="s">
        <v>334</v>
      </c>
    </row>
    <row r="109" spans="1:14" x14ac:dyDescent="0.35">
      <c r="A109" s="1" t="s">
        <v>255</v>
      </c>
      <c r="C109"/>
      <c r="M109" t="s">
        <v>129</v>
      </c>
      <c r="N109" s="168"/>
    </row>
    <row r="110" spans="1:14" x14ac:dyDescent="0.35">
      <c r="A110" t="str">
        <f t="shared" ref="A110:A115" si="45">IF(A5="","","    "&amp;A5)</f>
        <v xml:space="preserve">    Upper Basin</v>
      </c>
      <c r="B110" s="1"/>
      <c r="C110" s="49">
        <f t="shared" ref="C110:L110" ca="1" si="46">IF(OR(C$28="",$A110=""),"",OFFSET(C$61,8*(ROW(B110)-ROW(B$110)),0))</f>
        <v>0</v>
      </c>
      <c r="D110" s="49">
        <f t="shared" ca="1" si="46"/>
        <v>0</v>
      </c>
      <c r="E110" s="49">
        <f t="shared" ca="1" si="46"/>
        <v>0</v>
      </c>
      <c r="F110" s="49" t="str">
        <f t="shared" ca="1" si="46"/>
        <v/>
      </c>
      <c r="G110" s="49" t="str">
        <f t="shared" ca="1" si="46"/>
        <v/>
      </c>
      <c r="H110" s="49" t="str">
        <f t="shared" ca="1" si="46"/>
        <v/>
      </c>
      <c r="I110" s="49" t="str">
        <f t="shared" ca="1" si="46"/>
        <v/>
      </c>
      <c r="J110" s="49" t="str">
        <f t="shared" ca="1" si="46"/>
        <v/>
      </c>
      <c r="K110" s="49" t="str">
        <f t="shared" ca="1" si="46"/>
        <v/>
      </c>
      <c r="L110" s="158" t="str">
        <f t="shared" ca="1" si="46"/>
        <v/>
      </c>
      <c r="M110" s="159">
        <f ca="1">IF(OR($A110=""),"",SUM(C110:L110))</f>
        <v>0</v>
      </c>
      <c r="N110" s="172"/>
    </row>
    <row r="111" spans="1:14" x14ac:dyDescent="0.35">
      <c r="A111" t="str">
        <f t="shared" si="45"/>
        <v xml:space="preserve">    Lower Basin</v>
      </c>
      <c r="B111" s="1"/>
      <c r="C111" s="49">
        <f t="shared" ref="C111:L111" ca="1" si="47">IF(OR(C$28="",$A111=""),"",OFFSET(C$61,8*(ROW(B111)-ROW(B$110)),0))</f>
        <v>0</v>
      </c>
      <c r="D111" s="49">
        <f t="shared" ca="1" si="47"/>
        <v>0</v>
      </c>
      <c r="E111" s="49">
        <f t="shared" ca="1" si="47"/>
        <v>0</v>
      </c>
      <c r="F111" s="49" t="str">
        <f t="shared" ca="1" si="47"/>
        <v/>
      </c>
      <c r="G111" s="49" t="str">
        <f t="shared" ca="1" si="47"/>
        <v/>
      </c>
      <c r="H111" s="49" t="str">
        <f t="shared" ca="1" si="47"/>
        <v/>
      </c>
      <c r="I111" s="49" t="str">
        <f t="shared" ca="1" si="47"/>
        <v/>
      </c>
      <c r="J111" s="49" t="str">
        <f t="shared" ca="1" si="47"/>
        <v/>
      </c>
      <c r="K111" s="49" t="str">
        <f t="shared" ca="1" si="47"/>
        <v/>
      </c>
      <c r="L111" s="158" t="str">
        <f t="shared" ca="1" si="47"/>
        <v/>
      </c>
      <c r="M111" s="159">
        <f t="shared" ref="M111:M115" ca="1" si="48">IF(OR($A111=""),"",SUM(C111:L111))</f>
        <v>0</v>
      </c>
      <c r="N111" s="172"/>
    </row>
    <row r="112" spans="1:14" x14ac:dyDescent="0.35">
      <c r="A112" t="str">
        <f t="shared" si="45"/>
        <v xml:space="preserve">    Mexico</v>
      </c>
      <c r="B112" s="1"/>
      <c r="C112" s="49">
        <f t="shared" ref="C112:L112" ca="1" si="49">IF(OR(C$28="",$A112=""),"",OFFSET(C$61,8*(ROW(B112)-ROW(B$110)),0))</f>
        <v>0</v>
      </c>
      <c r="D112" s="49">
        <f t="shared" ca="1" si="49"/>
        <v>0</v>
      </c>
      <c r="E112" s="49">
        <f t="shared" ca="1" si="49"/>
        <v>0</v>
      </c>
      <c r="F112" s="49" t="str">
        <f t="shared" ca="1" si="49"/>
        <v/>
      </c>
      <c r="G112" s="49" t="str">
        <f t="shared" ca="1" si="49"/>
        <v/>
      </c>
      <c r="H112" s="49" t="str">
        <f t="shared" ca="1" si="49"/>
        <v/>
      </c>
      <c r="I112" s="49" t="str">
        <f t="shared" ca="1" si="49"/>
        <v/>
      </c>
      <c r="J112" s="49" t="str">
        <f t="shared" ca="1" si="49"/>
        <v/>
      </c>
      <c r="K112" s="49" t="str">
        <f t="shared" ca="1" si="49"/>
        <v/>
      </c>
      <c r="L112" s="158" t="str">
        <f t="shared" ca="1" si="49"/>
        <v/>
      </c>
      <c r="M112" s="159">
        <f t="shared" ca="1" si="48"/>
        <v>0</v>
      </c>
      <c r="N112" s="172"/>
    </row>
    <row r="113" spans="1:14" x14ac:dyDescent="0.35">
      <c r="A113" t="str">
        <f t="shared" si="45"/>
        <v xml:space="preserve">    Colorado River Delta</v>
      </c>
      <c r="B113" s="1"/>
      <c r="C113" s="49">
        <f t="shared" ref="C113:L113" ca="1" si="50">IF(OR(C$28="",$A113=""),"",OFFSET(C$61,8*(ROW(B113)-ROW(B$110)),0))</f>
        <v>0</v>
      </c>
      <c r="D113" s="49">
        <f t="shared" ca="1" si="50"/>
        <v>0</v>
      </c>
      <c r="E113" s="49">
        <f t="shared" ca="1" si="50"/>
        <v>0</v>
      </c>
      <c r="F113" s="49" t="str">
        <f t="shared" ca="1" si="50"/>
        <v/>
      </c>
      <c r="G113" s="49" t="str">
        <f t="shared" ca="1" si="50"/>
        <v/>
      </c>
      <c r="H113" s="49" t="str">
        <f t="shared" ca="1" si="50"/>
        <v/>
      </c>
      <c r="I113" s="49" t="str">
        <f t="shared" ca="1" si="50"/>
        <v/>
      </c>
      <c r="J113" s="49" t="str">
        <f t="shared" ca="1" si="50"/>
        <v/>
      </c>
      <c r="K113" s="49" t="str">
        <f t="shared" ca="1" si="50"/>
        <v/>
      </c>
      <c r="L113" s="158" t="str">
        <f t="shared" ca="1" si="50"/>
        <v/>
      </c>
      <c r="M113" s="159">
        <f t="shared" ca="1" si="48"/>
        <v>0</v>
      </c>
      <c r="N113" s="172"/>
    </row>
    <row r="114" spans="1:14" x14ac:dyDescent="0.35">
      <c r="A114" t="str">
        <f t="shared" si="45"/>
        <v/>
      </c>
      <c r="B114" s="1"/>
      <c r="C114" s="49" t="str">
        <f t="shared" ref="C114:L114" ca="1" si="51">IF(OR(C$28="",$A114=""),"",OFFSET(C$61,8*(ROW(B114)-ROW(B$110)),0))</f>
        <v/>
      </c>
      <c r="D114" s="49" t="str">
        <f t="shared" ca="1" si="51"/>
        <v/>
      </c>
      <c r="E114" s="49" t="str">
        <f t="shared" ca="1" si="51"/>
        <v/>
      </c>
      <c r="F114" s="49" t="str">
        <f t="shared" ca="1" si="51"/>
        <v/>
      </c>
      <c r="G114" s="49" t="str">
        <f t="shared" ca="1" si="51"/>
        <v/>
      </c>
      <c r="H114" s="49" t="str">
        <f t="shared" ca="1" si="51"/>
        <v/>
      </c>
      <c r="I114" s="49" t="str">
        <f t="shared" ca="1" si="51"/>
        <v/>
      </c>
      <c r="J114" s="49" t="str">
        <f t="shared" ca="1" si="51"/>
        <v/>
      </c>
      <c r="K114" s="49" t="str">
        <f t="shared" ca="1" si="51"/>
        <v/>
      </c>
      <c r="L114" s="158" t="str">
        <f t="shared" ca="1" si="51"/>
        <v/>
      </c>
      <c r="M114" s="159" t="str">
        <f t="shared" si="48"/>
        <v/>
      </c>
      <c r="N114" s="172"/>
    </row>
    <row r="115" spans="1:14" x14ac:dyDescent="0.35">
      <c r="A115" t="str">
        <f t="shared" si="45"/>
        <v xml:space="preserve">    Shared, Reserve</v>
      </c>
      <c r="B115" s="1"/>
      <c r="C115" s="49">
        <f t="shared" ref="C115:L115" ca="1" si="52">IF(OR(C$28="",$A115=""),"",OFFSET(C$61,8*(ROW(B115)-ROW(B$110)),0))</f>
        <v>0</v>
      </c>
      <c r="D115" s="49">
        <f t="shared" ca="1" si="52"/>
        <v>0</v>
      </c>
      <c r="E115" s="49">
        <f t="shared" ca="1" si="52"/>
        <v>0</v>
      </c>
      <c r="F115" s="49" t="str">
        <f t="shared" ca="1" si="52"/>
        <v/>
      </c>
      <c r="G115" s="49" t="str">
        <f t="shared" ca="1" si="52"/>
        <v/>
      </c>
      <c r="H115" s="49" t="str">
        <f t="shared" ca="1" si="52"/>
        <v/>
      </c>
      <c r="I115" s="49" t="str">
        <f t="shared" ca="1" si="52"/>
        <v/>
      </c>
      <c r="J115" s="49" t="str">
        <f t="shared" ca="1" si="52"/>
        <v/>
      </c>
      <c r="K115" s="49" t="str">
        <f t="shared" ca="1" si="52"/>
        <v/>
      </c>
      <c r="L115" s="158" t="str">
        <f t="shared" ca="1" si="52"/>
        <v/>
      </c>
      <c r="M115" s="159">
        <f t="shared" ca="1" si="48"/>
        <v>0</v>
      </c>
      <c r="N115" s="172"/>
    </row>
    <row r="116" spans="1:14" x14ac:dyDescent="0.35">
      <c r="A116" t="s">
        <v>100</v>
      </c>
      <c r="B116" s="1"/>
      <c r="C116" s="35">
        <f ca="1">IF(C$28&lt;&gt;"",SUM(C110:C115),"")</f>
        <v>0</v>
      </c>
      <c r="D116" s="35">
        <f t="shared" ref="D116:L116" ca="1" si="53">IF(D$28&lt;&gt;"",SUM(D110:D115),"")</f>
        <v>0</v>
      </c>
      <c r="E116" s="95">
        <f t="shared" ca="1" si="53"/>
        <v>0</v>
      </c>
      <c r="F116" s="35" t="str">
        <f t="shared" si="53"/>
        <v/>
      </c>
      <c r="G116" s="35" t="str">
        <f t="shared" si="53"/>
        <v/>
      </c>
      <c r="H116" s="35" t="str">
        <f t="shared" si="53"/>
        <v/>
      </c>
      <c r="I116" s="35" t="str">
        <f t="shared" si="53"/>
        <v/>
      </c>
      <c r="J116" s="35" t="str">
        <f t="shared" si="53"/>
        <v/>
      </c>
      <c r="K116" s="35" t="str">
        <f t="shared" si="53"/>
        <v/>
      </c>
      <c r="L116" s="35" t="str">
        <f t="shared" si="53"/>
        <v/>
      </c>
      <c r="M116" s="22"/>
      <c r="N116" s="174"/>
    </row>
    <row r="117" spans="1:14" x14ac:dyDescent="0.35">
      <c r="A117" s="1" t="s">
        <v>256</v>
      </c>
      <c r="B117" s="1"/>
      <c r="C117" s="38"/>
      <c r="D117" s="2"/>
      <c r="E117" s="38"/>
      <c r="F117" s="2"/>
      <c r="G117" s="2"/>
      <c r="H117" s="2"/>
      <c r="I117" s="2"/>
      <c r="J117" s="2"/>
      <c r="K117" s="2"/>
      <c r="L117" s="2"/>
      <c r="N117" s="168"/>
    </row>
    <row r="118" spans="1:14" x14ac:dyDescent="0.35">
      <c r="A118" t="str">
        <f>IF(A5="","","    "&amp;A5&amp;" - Consumptive Use and Headwaters Losses")</f>
        <v xml:space="preserve">    Upper Basin - Consumptive Use and Headwaters Losses</v>
      </c>
      <c r="C118" s="49">
        <f t="shared" ref="C118:L118" ca="1" si="54">IF(OR(C$28="",$A118=""),"",OFFSET(C$65,8*(ROW(B118)-ROW(B$118)),0))</f>
        <v>4</v>
      </c>
      <c r="D118" s="49">
        <f t="shared" ca="1" si="54"/>
        <v>3.5</v>
      </c>
      <c r="E118" s="49">
        <f t="shared" ca="1" si="54"/>
        <v>2</v>
      </c>
      <c r="F118" s="49" t="str">
        <f t="shared" ca="1" si="54"/>
        <v/>
      </c>
      <c r="G118" s="49" t="str">
        <f t="shared" ca="1" si="54"/>
        <v/>
      </c>
      <c r="H118" s="49" t="str">
        <f t="shared" ca="1" si="54"/>
        <v/>
      </c>
      <c r="I118" s="49" t="str">
        <f t="shared" ca="1" si="54"/>
        <v/>
      </c>
      <c r="J118" s="49" t="str">
        <f t="shared" ca="1" si="54"/>
        <v/>
      </c>
      <c r="K118" s="49" t="str">
        <f t="shared" ca="1" si="54"/>
        <v/>
      </c>
      <c r="L118" s="49" t="str">
        <f t="shared" ca="1" si="54"/>
        <v/>
      </c>
      <c r="N118" s="168"/>
    </row>
    <row r="119" spans="1:14" x14ac:dyDescent="0.35">
      <c r="A119" t="str">
        <f>IF(A6="","","    "&amp;A6&amp;" - Release from Mead")</f>
        <v xml:space="preserve">    Lower Basin - Release from Mead</v>
      </c>
      <c r="C119" s="49">
        <f t="shared" ref="C119:L119" ca="1" si="55">IF(OR(C$28="",$A119=""),"",OFFSET(C$65,8*(ROW(B119)-ROW(B$118)),0))</f>
        <v>7</v>
      </c>
      <c r="D119" s="49">
        <f t="shared" ca="1" si="55"/>
        <v>6</v>
      </c>
      <c r="E119" s="49">
        <f t="shared" ca="1" si="55"/>
        <v>3.75</v>
      </c>
      <c r="F119" s="49" t="str">
        <f t="shared" ca="1" si="55"/>
        <v/>
      </c>
      <c r="G119" s="49" t="str">
        <f t="shared" ca="1" si="55"/>
        <v/>
      </c>
      <c r="H119" s="49" t="str">
        <f t="shared" ca="1" si="55"/>
        <v/>
      </c>
      <c r="I119" s="49" t="str">
        <f t="shared" ca="1" si="55"/>
        <v/>
      </c>
      <c r="J119" s="49" t="str">
        <f t="shared" ca="1" si="55"/>
        <v/>
      </c>
      <c r="K119" s="49" t="str">
        <f t="shared" ca="1" si="55"/>
        <v/>
      </c>
      <c r="L119" s="49" t="str">
        <f t="shared" ca="1" si="55"/>
        <v/>
      </c>
      <c r="N119" s="168"/>
    </row>
    <row r="120" spans="1:14" x14ac:dyDescent="0.35">
      <c r="A120" t="str">
        <f>IF(A7="","","    "&amp;A7&amp;" - Release from Mead")</f>
        <v xml:space="preserve">    Mexico - Release from Mead</v>
      </c>
      <c r="C120" s="49">
        <f t="shared" ref="C120:L120" ca="1" si="56">IF(OR(C$28="",$A120=""),"",OFFSET(C$65,8*(ROW(B120)-ROW(B$118)),0))</f>
        <v>1.5</v>
      </c>
      <c r="D120" s="49">
        <f t="shared" ca="1" si="56"/>
        <v>1.2</v>
      </c>
      <c r="E120" s="49">
        <f t="shared" ca="1" si="56"/>
        <v>1.1599999999999999</v>
      </c>
      <c r="F120" s="49" t="str">
        <f t="shared" ca="1" si="56"/>
        <v/>
      </c>
      <c r="G120" s="49" t="str">
        <f t="shared" ca="1" si="56"/>
        <v/>
      </c>
      <c r="H120" s="49" t="str">
        <f t="shared" ca="1" si="56"/>
        <v/>
      </c>
      <c r="I120" s="49" t="str">
        <f t="shared" ca="1" si="56"/>
        <v/>
      </c>
      <c r="J120" s="49" t="str">
        <f t="shared" ca="1" si="56"/>
        <v/>
      </c>
      <c r="K120" s="49" t="str">
        <f t="shared" ca="1" si="56"/>
        <v/>
      </c>
      <c r="L120" s="49" t="str">
        <f t="shared" ca="1" si="56"/>
        <v/>
      </c>
      <c r="N120" s="168"/>
    </row>
    <row r="121" spans="1:14" x14ac:dyDescent="0.35">
      <c r="A121" t="str">
        <f>IF(A8="","","    "&amp;A8&amp;" - Release from Mead")</f>
        <v xml:space="preserve">    Colorado River Delta - Release from Mead</v>
      </c>
      <c r="C121" s="49">
        <f t="shared" ref="C121:L121" ca="1" si="57">IF(OR(C$28="",$A121=""),"",OFFSET(C$65,8*(ROW(B121)-ROW(B$118)),0))</f>
        <v>0</v>
      </c>
      <c r="D121" s="49">
        <f t="shared" ca="1" si="57"/>
        <v>0</v>
      </c>
      <c r="E121" s="49">
        <f t="shared" ca="1" si="57"/>
        <v>0</v>
      </c>
      <c r="F121" s="49" t="str">
        <f t="shared" ca="1" si="57"/>
        <v/>
      </c>
      <c r="G121" s="49" t="str">
        <f t="shared" ca="1" si="57"/>
        <v/>
      </c>
      <c r="H121" s="49" t="str">
        <f t="shared" ca="1" si="57"/>
        <v/>
      </c>
      <c r="I121" s="49" t="str">
        <f t="shared" ca="1" si="57"/>
        <v/>
      </c>
      <c r="J121" s="49" t="str">
        <f t="shared" ca="1" si="57"/>
        <v/>
      </c>
      <c r="K121" s="49" t="str">
        <f t="shared" ca="1" si="57"/>
        <v/>
      </c>
      <c r="L121" s="49" t="str">
        <f t="shared" ca="1" si="57"/>
        <v/>
      </c>
      <c r="N121" s="168"/>
    </row>
    <row r="122" spans="1:14" x14ac:dyDescent="0.35">
      <c r="A122" t="str">
        <f>IF(A9="","","    "&amp;A9&amp;" - Release from Mead")</f>
        <v/>
      </c>
      <c r="C122" s="49" t="str">
        <f t="shared" ref="C122:L122" ca="1" si="58">IF(OR(C$28="",$A122=""),"",OFFSET(C$65,8*(ROW(B122)-ROW(B$118)),0))</f>
        <v/>
      </c>
      <c r="D122" s="49" t="str">
        <f t="shared" ca="1" si="58"/>
        <v/>
      </c>
      <c r="E122" s="49" t="str">
        <f t="shared" ca="1" si="58"/>
        <v/>
      </c>
      <c r="F122" s="49" t="str">
        <f t="shared" ca="1" si="58"/>
        <v/>
      </c>
      <c r="G122" s="49" t="str">
        <f t="shared" ca="1" si="58"/>
        <v/>
      </c>
      <c r="H122" s="49" t="str">
        <f t="shared" ca="1" si="58"/>
        <v/>
      </c>
      <c r="I122" s="49" t="str">
        <f t="shared" ca="1" si="58"/>
        <v/>
      </c>
      <c r="J122" s="49" t="str">
        <f t="shared" ca="1" si="58"/>
        <v/>
      </c>
      <c r="K122" s="49" t="str">
        <f t="shared" ca="1" si="58"/>
        <v/>
      </c>
      <c r="L122" s="49" t="str">
        <f t="shared" ca="1" si="58"/>
        <v/>
      </c>
      <c r="N122" s="168"/>
    </row>
    <row r="123" spans="1:14" x14ac:dyDescent="0.35">
      <c r="A123" t="str">
        <f>IF(A10="","","    "&amp;A10&amp;" - Release from Mead")</f>
        <v xml:space="preserve">    Shared, Reserve - Release from Mead</v>
      </c>
      <c r="C123" s="49">
        <f t="shared" ref="C123:L123" ca="1" si="59">IF(OR(C$28="",$A123=""),"",OFFSET(C$65,8*(ROW(B123)-ROW(B$118)),0))</f>
        <v>0</v>
      </c>
      <c r="D123" s="49">
        <f t="shared" ca="1" si="59"/>
        <v>0</v>
      </c>
      <c r="E123" s="49">
        <f t="shared" ca="1" si="59"/>
        <v>0</v>
      </c>
      <c r="F123" s="49" t="str">
        <f t="shared" ca="1" si="59"/>
        <v/>
      </c>
      <c r="G123" s="49" t="str">
        <f t="shared" ca="1" si="59"/>
        <v/>
      </c>
      <c r="H123" s="49" t="str">
        <f t="shared" ca="1" si="59"/>
        <v/>
      </c>
      <c r="I123" s="49" t="str">
        <f t="shared" ca="1" si="59"/>
        <v/>
      </c>
      <c r="J123" s="49" t="str">
        <f t="shared" ca="1" si="59"/>
        <v/>
      </c>
      <c r="K123" s="49" t="str">
        <f t="shared" ca="1" si="59"/>
        <v/>
      </c>
      <c r="L123" s="49" t="str">
        <f t="shared" ca="1" si="59"/>
        <v/>
      </c>
      <c r="N123" s="168"/>
    </row>
    <row r="124" spans="1:14" x14ac:dyDescent="0.35">
      <c r="A124" s="1" t="s">
        <v>96</v>
      </c>
      <c r="B124" s="1"/>
      <c r="D124" s="2"/>
      <c r="E124" s="2"/>
      <c r="F124" s="2"/>
      <c r="G124" s="2"/>
      <c r="H124" s="2"/>
      <c r="I124" s="2"/>
      <c r="J124" s="2"/>
      <c r="K124" s="2"/>
      <c r="L124" s="2"/>
      <c r="N124" s="168"/>
    </row>
    <row r="125" spans="1:14" x14ac:dyDescent="0.35">
      <c r="A125" t="str">
        <f t="shared" ref="A125:A130" si="60">IF(A5="","","    "&amp;A5)</f>
        <v xml:space="preserve">    Upper Basin</v>
      </c>
      <c r="C125" s="49">
        <f t="shared" ref="C125:L125" ca="1" si="61">IF(OR(C$28="",$A125=""),"",OFFSET(C$66,8*(ROW(B125)-ROW(B$125)),0))</f>
        <v>3.8673046547513863</v>
      </c>
      <c r="D125" s="49">
        <f t="shared" ca="1" si="61"/>
        <v>3.2185773713728452</v>
      </c>
      <c r="E125" s="49">
        <f t="shared" ca="1" si="61"/>
        <v>4.1575573770854142</v>
      </c>
      <c r="F125" s="49" t="str">
        <f t="shared" ca="1" si="61"/>
        <v/>
      </c>
      <c r="G125" s="49" t="str">
        <f t="shared" ca="1" si="61"/>
        <v/>
      </c>
      <c r="H125" s="49" t="str">
        <f t="shared" ca="1" si="61"/>
        <v/>
      </c>
      <c r="I125" s="49" t="str">
        <f t="shared" ca="1" si="61"/>
        <v/>
      </c>
      <c r="J125" s="49" t="str">
        <f t="shared" ca="1" si="61"/>
        <v/>
      </c>
      <c r="K125" s="49" t="str">
        <f t="shared" ca="1" si="61"/>
        <v/>
      </c>
      <c r="L125" s="49" t="str">
        <f t="shared" ca="1" si="61"/>
        <v/>
      </c>
      <c r="N125" s="168"/>
    </row>
    <row r="126" spans="1:14" x14ac:dyDescent="0.35">
      <c r="A126" t="str">
        <f t="shared" si="60"/>
        <v xml:space="preserve">    Lower Basin</v>
      </c>
      <c r="C126" s="49">
        <f t="shared" ref="C126:L126" ca="1" si="62">IF(OR(C$28="",$A126=""),"",OFFSET(C$66,8*(ROW(B126)-ROW(B$125)),0))</f>
        <v>3.5023926035218711</v>
      </c>
      <c r="D126" s="49">
        <f t="shared" ca="1" si="62"/>
        <v>0.77989121191754229</v>
      </c>
      <c r="E126" s="49">
        <f t="shared" ca="1" si="62"/>
        <v>1.1458703989160046E-2</v>
      </c>
      <c r="F126" s="49" t="str">
        <f t="shared" ca="1" si="62"/>
        <v/>
      </c>
      <c r="G126" s="49" t="str">
        <f t="shared" ca="1" si="62"/>
        <v/>
      </c>
      <c r="H126" s="49" t="str">
        <f t="shared" ca="1" si="62"/>
        <v/>
      </c>
      <c r="I126" s="49" t="str">
        <f t="shared" ca="1" si="62"/>
        <v/>
      </c>
      <c r="J126" s="49" t="str">
        <f t="shared" ca="1" si="62"/>
        <v/>
      </c>
      <c r="K126" s="49" t="str">
        <f t="shared" ca="1" si="62"/>
        <v/>
      </c>
      <c r="L126" s="49" t="str">
        <f t="shared" ca="1" si="62"/>
        <v/>
      </c>
      <c r="N126" s="168"/>
    </row>
    <row r="127" spans="1:14" x14ac:dyDescent="0.35">
      <c r="A127" t="str">
        <f t="shared" si="60"/>
        <v xml:space="preserve">    Mexico</v>
      </c>
      <c r="C127" s="49">
        <f t="shared" ref="C127:L127" ca="1" si="63">IF(OR(C$28="",$A127=""),"",OFFSET(C$66,8*(ROW(B127)-ROW(B$125)),0))</f>
        <v>1.6802561712117026E-3</v>
      </c>
      <c r="D127" s="49">
        <f t="shared" ca="1" si="63"/>
        <v>9.8702590581895677E-2</v>
      </c>
      <c r="E127" s="49">
        <f t="shared" ca="1" si="63"/>
        <v>3.5353625969007929E-2</v>
      </c>
      <c r="F127" s="49" t="str">
        <f t="shared" ca="1" si="63"/>
        <v/>
      </c>
      <c r="G127" s="49" t="str">
        <f t="shared" ca="1" si="63"/>
        <v/>
      </c>
      <c r="H127" s="49" t="str">
        <f t="shared" ca="1" si="63"/>
        <v/>
      </c>
      <c r="I127" s="49" t="str">
        <f t="shared" ca="1" si="63"/>
        <v/>
      </c>
      <c r="J127" s="49" t="str">
        <f t="shared" ca="1" si="63"/>
        <v/>
      </c>
      <c r="K127" s="49" t="str">
        <f t="shared" ca="1" si="63"/>
        <v/>
      </c>
      <c r="L127" s="49" t="str">
        <f t="shared" ca="1" si="63"/>
        <v/>
      </c>
      <c r="N127" s="168"/>
    </row>
    <row r="128" spans="1:14" x14ac:dyDescent="0.35">
      <c r="A128" t="str">
        <f t="shared" si="60"/>
        <v xml:space="preserve">    Colorado River Delta</v>
      </c>
      <c r="C128" s="49">
        <f t="shared" ref="C128:L128" ca="1" si="64">IF(OR(C$28="",$A128=""),"",OFFSET(C$66,8*(ROW(B128)-ROW(B$125)),0))</f>
        <v>1.5555555555555553E-2</v>
      </c>
      <c r="D128" s="49">
        <f t="shared" ca="1" si="64"/>
        <v>3.0324700628914465E-2</v>
      </c>
      <c r="E128" s="49">
        <f t="shared" ca="1" si="64"/>
        <v>4.4203917456443038E-2</v>
      </c>
      <c r="F128" s="49" t="str">
        <f t="shared" ca="1" si="64"/>
        <v/>
      </c>
      <c r="G128" s="49" t="str">
        <f t="shared" ca="1" si="64"/>
        <v/>
      </c>
      <c r="H128" s="49" t="str">
        <f t="shared" ca="1" si="64"/>
        <v/>
      </c>
      <c r="I128" s="49" t="str">
        <f t="shared" ca="1" si="64"/>
        <v/>
      </c>
      <c r="J128" s="49" t="str">
        <f t="shared" ca="1" si="64"/>
        <v/>
      </c>
      <c r="K128" s="49" t="str">
        <f t="shared" ca="1" si="64"/>
        <v/>
      </c>
      <c r="L128" s="49" t="str">
        <f t="shared" ca="1" si="64"/>
        <v/>
      </c>
      <c r="N128" s="168"/>
    </row>
    <row r="129" spans="1:14" x14ac:dyDescent="0.35">
      <c r="A129" t="str">
        <f t="shared" si="60"/>
        <v/>
      </c>
      <c r="C129" s="49" t="str">
        <f t="shared" ref="C129:L129" ca="1" si="65">IF(OR(C$28="",$A129=""),"",OFFSET(C$66,8*(ROW(B129)-ROW(B$125)),0))</f>
        <v/>
      </c>
      <c r="D129" s="49" t="str">
        <f t="shared" ca="1" si="65"/>
        <v/>
      </c>
      <c r="E129" s="49" t="str">
        <f t="shared" ca="1" si="65"/>
        <v/>
      </c>
      <c r="F129" s="49" t="str">
        <f t="shared" ca="1" si="65"/>
        <v/>
      </c>
      <c r="G129" s="49" t="str">
        <f t="shared" ca="1" si="65"/>
        <v/>
      </c>
      <c r="H129" s="49" t="str">
        <f t="shared" ca="1" si="65"/>
        <v/>
      </c>
      <c r="I129" s="49" t="str">
        <f t="shared" ca="1" si="65"/>
        <v/>
      </c>
      <c r="J129" s="49" t="str">
        <f t="shared" ca="1" si="65"/>
        <v/>
      </c>
      <c r="K129" s="49" t="str">
        <f t="shared" ca="1" si="65"/>
        <v/>
      </c>
      <c r="L129" s="49" t="str">
        <f t="shared" ca="1" si="65"/>
        <v/>
      </c>
      <c r="N129" s="168"/>
    </row>
    <row r="130" spans="1:14" x14ac:dyDescent="0.35">
      <c r="A130" t="str">
        <f t="shared" si="60"/>
        <v xml:space="preserve">    Shared, Reserve</v>
      </c>
      <c r="C130" s="49">
        <f t="shared" ref="C130:L130" ca="1" si="66">IF(OR(C$28="",$A130=""),"",OFFSET(C$66,8*(ROW(B130)-ROW(B$125)),0))</f>
        <v>11.59116925</v>
      </c>
      <c r="D130" s="49">
        <f t="shared" ca="1" si="66"/>
        <v>11.59116925</v>
      </c>
      <c r="E130" s="49">
        <f t="shared" ca="1" si="66"/>
        <v>11.59116925</v>
      </c>
      <c r="F130" s="49" t="str">
        <f t="shared" ca="1" si="66"/>
        <v/>
      </c>
      <c r="G130" s="49" t="str">
        <f t="shared" ca="1" si="66"/>
        <v/>
      </c>
      <c r="H130" s="49" t="str">
        <f t="shared" ca="1" si="66"/>
        <v/>
      </c>
      <c r="I130" s="49" t="str">
        <f t="shared" ca="1" si="66"/>
        <v/>
      </c>
      <c r="J130" s="49" t="str">
        <f t="shared" ca="1" si="66"/>
        <v/>
      </c>
      <c r="K130" s="49" t="str">
        <f t="shared" ca="1" si="66"/>
        <v/>
      </c>
      <c r="L130" s="49" t="str">
        <f t="shared" ca="1" si="66"/>
        <v/>
      </c>
      <c r="N130" s="168"/>
    </row>
    <row r="131" spans="1:14" x14ac:dyDescent="0.35">
      <c r="A131" s="1" t="s">
        <v>257</v>
      </c>
      <c r="B131" s="1"/>
      <c r="C131" s="13">
        <f ca="1">IF(C$28&lt;&gt;"",SUM(C125:C130),"")</f>
        <v>18.978102320000026</v>
      </c>
      <c r="D131" s="13">
        <f t="shared" ref="D131:L131" ca="1" si="67">IF(D$28&lt;&gt;"",SUM(D125:D130),"")</f>
        <v>15.718665124501197</v>
      </c>
      <c r="E131" s="13">
        <f t="shared" ca="1" si="67"/>
        <v>15.839742874500025</v>
      </c>
      <c r="F131" s="13" t="str">
        <f t="shared" si="67"/>
        <v/>
      </c>
      <c r="G131" s="13" t="str">
        <f t="shared" si="67"/>
        <v/>
      </c>
      <c r="H131" s="13" t="str">
        <f t="shared" si="67"/>
        <v/>
      </c>
      <c r="I131" s="13" t="str">
        <f t="shared" si="67"/>
        <v/>
      </c>
      <c r="J131" s="13" t="str">
        <f t="shared" si="67"/>
        <v/>
      </c>
      <c r="K131" s="13" t="str">
        <f t="shared" si="67"/>
        <v/>
      </c>
      <c r="L131" s="13" t="str">
        <f t="shared" si="67"/>
        <v/>
      </c>
      <c r="N131" s="167" t="s">
        <v>335</v>
      </c>
    </row>
    <row r="132" spans="1:14" ht="29.5" customHeight="1" x14ac:dyDescent="0.35">
      <c r="A132" s="206" t="s">
        <v>308</v>
      </c>
      <c r="B132" s="207"/>
      <c r="C132" s="149">
        <v>0.5</v>
      </c>
      <c r="D132" s="149">
        <v>0.65</v>
      </c>
      <c r="E132" s="149">
        <v>0.75</v>
      </c>
      <c r="F132" s="149"/>
      <c r="G132" s="149"/>
      <c r="H132" s="149"/>
      <c r="I132" s="149"/>
      <c r="J132" s="149"/>
      <c r="K132" s="149"/>
      <c r="L132" s="149"/>
      <c r="N132" s="164" t="s">
        <v>336</v>
      </c>
    </row>
    <row r="133" spans="1:14" x14ac:dyDescent="0.35">
      <c r="A133" s="1" t="s">
        <v>268</v>
      </c>
      <c r="B133" s="1"/>
      <c r="C133" s="13">
        <f ca="1">IF(C28="","",C$132*C$131)</f>
        <v>9.4890511600000131</v>
      </c>
      <c r="D133" s="13">
        <f t="shared" ref="D133:L133" ca="1" si="68">IF(D28="","",D$132*D$131)</f>
        <v>10.217132330925779</v>
      </c>
      <c r="E133" s="13">
        <f t="shared" ca="1" si="68"/>
        <v>11.879807155875019</v>
      </c>
      <c r="F133" s="13" t="str">
        <f t="shared" si="68"/>
        <v/>
      </c>
      <c r="G133" s="13" t="str">
        <f t="shared" si="68"/>
        <v/>
      </c>
      <c r="H133" s="13" t="str">
        <f t="shared" si="68"/>
        <v/>
      </c>
      <c r="I133" s="13" t="str">
        <f t="shared" si="68"/>
        <v/>
      </c>
      <c r="J133" s="13" t="str">
        <f t="shared" si="68"/>
        <v/>
      </c>
      <c r="K133" s="13" t="str">
        <f t="shared" si="68"/>
        <v/>
      </c>
      <c r="L133" s="13" t="str">
        <f t="shared" si="68"/>
        <v/>
      </c>
      <c r="N133" s="167" t="s">
        <v>347</v>
      </c>
    </row>
    <row r="134" spans="1:14" x14ac:dyDescent="0.35">
      <c r="A134" s="1" t="s">
        <v>269</v>
      </c>
      <c r="B134" s="1"/>
      <c r="C134" s="13">
        <f ca="1">IF(C29="","",(1-C$132)*C$131)</f>
        <v>9.4890511600000131</v>
      </c>
      <c r="D134" s="13">
        <f t="shared" ref="D134:L134" ca="1" si="69">IF(D29="","",(1-D$132)*D$131)</f>
        <v>5.5015327935754188</v>
      </c>
      <c r="E134" s="13">
        <f t="shared" ca="1" si="69"/>
        <v>3.9599357186250064</v>
      </c>
      <c r="F134" s="13" t="str">
        <f t="shared" si="69"/>
        <v/>
      </c>
      <c r="G134" s="13" t="str">
        <f t="shared" si="69"/>
        <v/>
      </c>
      <c r="H134" s="13" t="str">
        <f t="shared" si="69"/>
        <v/>
      </c>
      <c r="I134" s="13" t="str">
        <f t="shared" si="69"/>
        <v/>
      </c>
      <c r="J134" s="13" t="str">
        <f t="shared" si="69"/>
        <v/>
      </c>
      <c r="K134" s="13" t="str">
        <f t="shared" si="69"/>
        <v/>
      </c>
      <c r="L134" s="13" t="str">
        <f t="shared" si="69"/>
        <v/>
      </c>
      <c r="N134" s="167" t="s">
        <v>347</v>
      </c>
    </row>
    <row r="135" spans="1:14" x14ac:dyDescent="0.35">
      <c r="A135" s="21" t="s">
        <v>186</v>
      </c>
      <c r="B135" s="1"/>
      <c r="C135" s="65">
        <f ca="1">IF(C$28&lt;&gt;"",VLOOKUP(C133*1000000,'Powell-Elevation-Area'!$B$5:$H$689,7),"")</f>
        <v>3574.5</v>
      </c>
      <c r="D135" s="65">
        <f ca="1">IF(D$28&lt;&gt;"",VLOOKUP(D133*1000000,'Powell-Elevation-Area'!$B$5:$H$689,7),"")</f>
        <v>3583</v>
      </c>
      <c r="E135" s="65">
        <f ca="1">IF(E$28&lt;&gt;"",VLOOKUP(E133*1000000,'Powell-Elevation-Area'!$B$5:$H$689,7),"")</f>
        <v>3601</v>
      </c>
      <c r="F135" s="65" t="str">
        <f>IF(F$28&lt;&gt;"",VLOOKUP(F133*1000000,'Powell-Elevation-Area'!$B$5:$H$689,7),"")</f>
        <v/>
      </c>
      <c r="G135" s="65" t="str">
        <f>IF(G$28&lt;&gt;"",VLOOKUP(G133*1000000,'Powell-Elevation-Area'!$B$5:$H$689,7),"")</f>
        <v/>
      </c>
      <c r="H135" s="65" t="str">
        <f>IF(H$28&lt;&gt;"",VLOOKUP(H133*1000000,'Powell-Elevation-Area'!$B$5:$H$689,7),"")</f>
        <v/>
      </c>
      <c r="I135" s="65" t="str">
        <f>IF(I$28&lt;&gt;"",VLOOKUP(I133*1000000,'Powell-Elevation-Area'!$B$5:$H$689,7),"")</f>
        <v/>
      </c>
      <c r="J135" s="65" t="str">
        <f>IF(J$28&lt;&gt;"",VLOOKUP(J133*1000000,'Powell-Elevation-Area'!$B$5:$H$689,7),"")</f>
        <v/>
      </c>
      <c r="K135" s="65" t="str">
        <f>IF(K$28&lt;&gt;"",VLOOKUP(K133*1000000,'Powell-Elevation-Area'!$B$5:$H$689,7),"")</f>
        <v/>
      </c>
      <c r="L135" s="65" t="str">
        <f>IF(L$28&lt;&gt;"",VLOOKUP(L133*1000000,'Powell-Elevation-Area'!$B$5:$H$689,7),"")</f>
        <v/>
      </c>
      <c r="N135" s="167" t="s">
        <v>347</v>
      </c>
    </row>
    <row r="136" spans="1:14" x14ac:dyDescent="0.35">
      <c r="A136" s="21" t="s">
        <v>187</v>
      </c>
      <c r="B136" s="1"/>
      <c r="C136" s="65">
        <f ca="1">IF(C$28&lt;&gt;"",VLOOKUP(C134*1000000,'Mead-Elevation-Area'!$B$5:$H$689,7),"")</f>
        <v>1073.5</v>
      </c>
      <c r="D136" s="65">
        <f ca="1">IF(D$28&lt;&gt;"",VLOOKUP(D134*1000000,'Mead-Elevation-Area'!$B$5:$H$689,7),"")</f>
        <v>1017</v>
      </c>
      <c r="E136" s="65">
        <f ca="1">IF(E$28&lt;&gt;"",VLOOKUP(E134*1000000,'Mead-Elevation-Area'!$B$5:$H$689,7),"")</f>
        <v>990.5</v>
      </c>
      <c r="F136" s="65" t="str">
        <f>IF(F$28&lt;&gt;"",VLOOKUP(F134*1000000,'Mead-Elevation-Area'!$B$5:$H$689,7),"")</f>
        <v/>
      </c>
      <c r="G136" s="65" t="str">
        <f>IF(G$28&lt;&gt;"",VLOOKUP(G134*1000000,'Mead-Elevation-Area'!$B$5:$H$689,7),"")</f>
        <v/>
      </c>
      <c r="H136" s="65" t="str">
        <f>IF(H$28&lt;&gt;"",VLOOKUP(H134*1000000,'Mead-Elevation-Area'!$B$5:$H$689,7),"")</f>
        <v/>
      </c>
      <c r="I136" s="65" t="str">
        <f>IF(I$28&lt;&gt;"",VLOOKUP(I134*1000000,'Mead-Elevation-Area'!$B$5:$H$689,7),"")</f>
        <v/>
      </c>
      <c r="J136" s="65" t="str">
        <f>IF(J$28&lt;&gt;"",VLOOKUP(J134*1000000,'Mead-Elevation-Area'!$B$5:$H$689,7),"")</f>
        <v/>
      </c>
      <c r="K136" s="65" t="str">
        <f>IF(K$28&lt;&gt;"",VLOOKUP(K134*1000000,'Mead-Elevation-Area'!$B$5:$H$689,7),"")</f>
        <v/>
      </c>
      <c r="L136" s="65" t="str">
        <f>IF(L$28&lt;&gt;"",VLOOKUP(L134*1000000,'Mead-Elevation-Area'!$B$5:$H$689,7),"")</f>
        <v/>
      </c>
      <c r="N136" s="167" t="s">
        <v>347</v>
      </c>
    </row>
    <row r="137" spans="1:14" x14ac:dyDescent="0.35">
      <c r="A137" s="1" t="s">
        <v>270</v>
      </c>
      <c r="B137" s="1"/>
      <c r="N137" s="167" t="s">
        <v>337</v>
      </c>
    </row>
    <row r="138" spans="1:14" x14ac:dyDescent="0.35">
      <c r="A138" s="21" t="s">
        <v>271</v>
      </c>
      <c r="B138" s="1"/>
      <c r="C138" s="13">
        <f ca="1">IF(C$28&lt;&gt;"",-C133+C40+C28-C65-VLOOKUP(C40*1000000,'Powell-Elevation-Area'!$B$5:$D$689,3)*$B$18/1000000,"")</f>
        <v>7.9880519599994138</v>
      </c>
      <c r="D138" s="13">
        <f ca="1">IF(D$28&lt;&gt;"",-D133+D40+D28-D65-VLOOKUP(D40*1000000,'Powell-Elevation-Area'!$B$5:$D$689,3)*$B$18/1000000,"")</f>
        <v>3.2963096335748072</v>
      </c>
      <c r="E138" s="13">
        <f ca="1">IF(E$28&lt;&gt;"",-E133+E40+E28-E65-VLOOKUP(E40*1000000,'Powell-Elevation-Area'!$B$5:$D$689,3)*$B$18/1000000,"")</f>
        <v>3.3380989250501862</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67" t="s">
        <v>338</v>
      </c>
    </row>
    <row r="139" spans="1:14" x14ac:dyDescent="0.35">
      <c r="A139" s="21" t="s">
        <v>258</v>
      </c>
      <c r="B139" s="1"/>
      <c r="C139" s="65" t="str">
        <f ca="1">IF(C$28&lt;&gt;"",VLOOKUP(C135,PowellReleaseTemperature!$A$5:$B$11,2),"")</f>
        <v>&lt; 18</v>
      </c>
      <c r="D139" s="65" t="str">
        <f ca="1">IF(D$28&lt;&gt;"",VLOOKUP(D135,PowellReleaseTemperature!$A$5:$B$11,2),"")</f>
        <v>&lt; 18</v>
      </c>
      <c r="E139" s="65" t="str">
        <f ca="1">IF(E$28&lt;&gt;"",VLOOKUP(E135,PowellReleaseTemperature!$A$5:$B$11,2),"")</f>
        <v>&lt; 15</v>
      </c>
      <c r="F139" s="65" t="str">
        <f>IF(F$28&lt;&gt;"",VLOOKUP(F135,PowellReleaseTemperature!$A$5:$B$11,2),"")</f>
        <v/>
      </c>
      <c r="G139" s="65" t="str">
        <f>IF(G$28&lt;&gt;"",VLOOKUP(G135,PowellReleaseTemperature!$A$5:$B$11,2),"")</f>
        <v/>
      </c>
      <c r="H139" s="65" t="str">
        <f>IF(H$28&lt;&gt;"",VLOOKUP(H135,PowellReleaseTemperature!$A$5:$B$11,2),"")</f>
        <v/>
      </c>
      <c r="I139" s="65" t="str">
        <f>IF(I$28&lt;&gt;"",VLOOKUP(I135,PowellReleaseTemperature!$A$5:$B$11,2),"")</f>
        <v/>
      </c>
      <c r="J139" s="65" t="str">
        <f>IF(J$28&lt;&gt;"",VLOOKUP(J135,PowellReleaseTemperature!$A$5:$B$11,2),"")</f>
        <v/>
      </c>
      <c r="K139" s="65" t="str">
        <f>IF(K$28&lt;&gt;"",VLOOKUP(K135,PowellReleaseTemperature!$A$5:$B$11,2),"")</f>
        <v/>
      </c>
      <c r="L139" s="65" t="str">
        <f>IF(L$28&lt;&gt;"",VLOOKUP(L135,PowellReleaseTemperature!$A$5:$B$11,2),"")</f>
        <v/>
      </c>
      <c r="N139" s="167" t="s">
        <v>339</v>
      </c>
    </row>
    <row r="140" spans="1:14" s="67" customFormat="1" ht="62.5" customHeight="1" x14ac:dyDescent="0.35">
      <c r="A140" s="97" t="s">
        <v>259</v>
      </c>
      <c r="B140" s="66"/>
      <c r="C140" s="96" t="str">
        <f ca="1">IF(C$28&lt;&gt;"",VLOOKUP(C$135,PowellReleaseTemperature!$A$5:$E$11,5),"")</f>
        <v>May benefit or face invasion</v>
      </c>
      <c r="D140" s="96" t="str">
        <f ca="1">IF(D$28&lt;&gt;"",VLOOKUP(D$135,PowellReleaseTemperature!$A$5:$E$11,5),"")</f>
        <v>May benefit or face invasion</v>
      </c>
      <c r="E140" s="96" t="str">
        <f ca="1">IF(E$28&lt;&gt;"",VLOOKUP(E$135,PowellReleaseTemperature!$A$5:$E$11,5),"")</f>
        <v>Increased relative abundance</v>
      </c>
      <c r="F140" s="96" t="str">
        <f>IF(F$28&lt;&gt;"",VLOOKUP(F$135,PowellReleaseTemperature!$A$5:$E$11,5),"")</f>
        <v/>
      </c>
      <c r="G140" s="96" t="str">
        <f>IF(G$28&lt;&gt;"",VLOOKUP(G$135,PowellReleaseTemperature!$A$5:$E$11,5),"")</f>
        <v/>
      </c>
      <c r="H140" s="96" t="str">
        <f>IF(H$28&lt;&gt;"",VLOOKUP(H$135,PowellReleaseTemperature!$A$5:$E$11,5),"")</f>
        <v/>
      </c>
      <c r="I140" s="96" t="str">
        <f>IF(I$28&lt;&gt;"",VLOOKUP(I$135,PowellReleaseTemperature!$A$5:$E$11,5),"")</f>
        <v/>
      </c>
      <c r="J140" s="96" t="str">
        <f>IF(J$28&lt;&gt;"",VLOOKUP(J$135,PowellReleaseTemperature!$A$5:$E$11,5),"")</f>
        <v/>
      </c>
      <c r="K140" s="96" t="str">
        <f>IF(K$28&lt;&gt;"",VLOOKUP(K$135,PowellReleaseTemperature!$A$5:$E$11,5),"")</f>
        <v/>
      </c>
      <c r="L140" s="96" t="str">
        <f>IF(L$28&lt;&gt;"",VLOOKUP(L$135,PowellReleaseTemperature!$A$5:$E$11,5),"")</f>
        <v/>
      </c>
      <c r="N140" s="167" t="s">
        <v>341</v>
      </c>
    </row>
    <row r="141" spans="1:14" s="67" customFormat="1" ht="32.15" customHeight="1" x14ac:dyDescent="0.35">
      <c r="A141" s="97" t="s">
        <v>221</v>
      </c>
      <c r="B141" s="66"/>
      <c r="C141" s="96" t="str">
        <f ca="1">IF(C$28&lt;&gt;"",VLOOKUP(C$135,PowellReleaseTemperature!$A$5:$F$11,6),"")</f>
        <v>Help grow + incubate</v>
      </c>
      <c r="D141" s="96" t="str">
        <f ca="1">IF(D$28&lt;&gt;"",VLOOKUP(D$135,PowellReleaseTemperature!$A$5:$F$11,6),"")</f>
        <v>Help grow + incubate</v>
      </c>
      <c r="E141" s="96" t="str">
        <f ca="1">IF(E$28&lt;&gt;"",VLOOKUP(E$135,PowellReleaseTemperature!$A$5:$F$11,6),"")</f>
        <v>Help grow + incubate</v>
      </c>
      <c r="F141" s="96" t="str">
        <f>IF(F$28&lt;&gt;"",VLOOKUP(F$135,PowellReleaseTemperature!$A$5:$F$11,6),"")</f>
        <v/>
      </c>
      <c r="G141" s="96" t="str">
        <f>IF(G$28&lt;&gt;"",VLOOKUP(G$135,PowellReleaseTemperature!$A$5:$F$11,6),"")</f>
        <v/>
      </c>
      <c r="H141" s="96" t="str">
        <f>IF(H$28&lt;&gt;"",VLOOKUP(H$135,PowellReleaseTemperature!$A$5:$F$11,6),"")</f>
        <v/>
      </c>
      <c r="I141" s="96" t="str">
        <f>IF(I$28&lt;&gt;"",VLOOKUP(I$135,PowellReleaseTemperature!$A$5:$F$11,6),"")</f>
        <v/>
      </c>
      <c r="J141" s="96" t="str">
        <f>IF(J$28&lt;&gt;"",VLOOKUP(J$135,PowellReleaseTemperature!$A$5:$F$11,6),"")</f>
        <v/>
      </c>
      <c r="K141" s="96" t="str">
        <f>IF(K$28&lt;&gt;"",VLOOKUP(K$135,PowellReleaseTemperature!$A$5:$F$11,6),"")</f>
        <v/>
      </c>
      <c r="L141" s="96" t="str">
        <f>IF(L$28&lt;&gt;"",VLOOKUP(L$135,PowellReleaseTemperature!$A$5:$F$11,6),"")</f>
        <v/>
      </c>
      <c r="N141" s="167" t="s">
        <v>340</v>
      </c>
    </row>
    <row r="142" spans="1:14" x14ac:dyDescent="0.35">
      <c r="A142" s="160" t="s">
        <v>309</v>
      </c>
      <c r="C142" s="19"/>
      <c r="N142" s="167" t="s">
        <v>342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86" priority="85" operator="greaterThan">
      <formula>$H$64</formula>
    </cfRule>
  </conditionalFormatting>
  <conditionalFormatting sqref="I65">
    <cfRule type="cellIs" dxfId="85" priority="84" operator="greaterThan">
      <formula>$I$64</formula>
    </cfRule>
  </conditionalFormatting>
  <conditionalFormatting sqref="J65">
    <cfRule type="cellIs" dxfId="84" priority="83" operator="greaterThan">
      <formula>$J$64</formula>
    </cfRule>
  </conditionalFormatting>
  <conditionalFormatting sqref="K65">
    <cfRule type="cellIs" dxfId="83" priority="82" operator="greaterThan">
      <formula>$K$64</formula>
    </cfRule>
  </conditionalFormatting>
  <conditionalFormatting sqref="L65">
    <cfRule type="cellIs" dxfId="82" priority="81" operator="greaterThan">
      <formula>$L$64</formula>
    </cfRule>
  </conditionalFormatting>
  <conditionalFormatting sqref="H73">
    <cfRule type="cellIs" dxfId="81" priority="68" operator="greaterThan">
      <formula>$H$72</formula>
    </cfRule>
  </conditionalFormatting>
  <conditionalFormatting sqref="I73">
    <cfRule type="cellIs" dxfId="80" priority="67" operator="greaterThan">
      <formula>$I$72</formula>
    </cfRule>
  </conditionalFormatting>
  <conditionalFormatting sqref="J73">
    <cfRule type="cellIs" dxfId="79" priority="66" operator="greaterThan">
      <formula>$J$72</formula>
    </cfRule>
  </conditionalFormatting>
  <conditionalFormatting sqref="K73">
    <cfRule type="cellIs" dxfId="78" priority="65" operator="greaterThan">
      <formula>$K$72</formula>
    </cfRule>
  </conditionalFormatting>
  <conditionalFormatting sqref="L73">
    <cfRule type="cellIs" dxfId="77" priority="64" operator="greaterThan">
      <formula>$L$72</formula>
    </cfRule>
  </conditionalFormatting>
  <conditionalFormatting sqref="H81">
    <cfRule type="cellIs" dxfId="76" priority="58" operator="greaterThan">
      <formula>$H$80</formula>
    </cfRule>
  </conditionalFormatting>
  <conditionalFormatting sqref="I81">
    <cfRule type="cellIs" dxfId="75" priority="57" operator="greaterThan">
      <formula>$I$80</formula>
    </cfRule>
  </conditionalFormatting>
  <conditionalFormatting sqref="J81">
    <cfRule type="cellIs" dxfId="74" priority="56" operator="greaterThan">
      <formula>$J$80</formula>
    </cfRule>
  </conditionalFormatting>
  <conditionalFormatting sqref="K81">
    <cfRule type="cellIs" dxfId="73" priority="55" operator="greaterThan">
      <formula>$K$80</formula>
    </cfRule>
  </conditionalFormatting>
  <conditionalFormatting sqref="L81">
    <cfRule type="cellIs" dxfId="72" priority="54" operator="greaterThan">
      <formula>$L$80</formula>
    </cfRule>
  </conditionalFormatting>
  <conditionalFormatting sqref="C89:L89">
    <cfRule type="cellIs" dxfId="71" priority="53" operator="greaterThan">
      <formula>$C$88</formula>
    </cfRule>
  </conditionalFormatting>
  <conditionalFormatting sqref="C97">
    <cfRule type="cellIs" dxfId="70" priority="52" operator="greaterThan">
      <formula>$C$96</formula>
    </cfRule>
  </conditionalFormatting>
  <conditionalFormatting sqref="D97">
    <cfRule type="cellIs" dxfId="69" priority="51" operator="greaterThan">
      <formula>$D$96</formula>
    </cfRule>
  </conditionalFormatting>
  <conditionalFormatting sqref="E97">
    <cfRule type="cellIs" dxfId="68" priority="50" operator="greaterThan">
      <formula>$E$96</formula>
    </cfRule>
  </conditionalFormatting>
  <conditionalFormatting sqref="F97">
    <cfRule type="cellIs" dxfId="67" priority="49" operator="greaterThan">
      <formula>$F$96</formula>
    </cfRule>
  </conditionalFormatting>
  <conditionalFormatting sqref="G97">
    <cfRule type="cellIs" dxfId="66" priority="48" operator="greaterThan">
      <formula>$G$96</formula>
    </cfRule>
  </conditionalFormatting>
  <conditionalFormatting sqref="H97">
    <cfRule type="cellIs" dxfId="65" priority="47" operator="greaterThan">
      <formula>$H$96</formula>
    </cfRule>
  </conditionalFormatting>
  <conditionalFormatting sqref="I97">
    <cfRule type="cellIs" dxfId="64" priority="46" operator="greaterThan">
      <formula>$I$96</formula>
    </cfRule>
  </conditionalFormatting>
  <conditionalFormatting sqref="J97">
    <cfRule type="cellIs" dxfId="63" priority="45" operator="greaterThan">
      <formula>$J$96</formula>
    </cfRule>
  </conditionalFormatting>
  <conditionalFormatting sqref="K97">
    <cfRule type="cellIs" dxfId="62" priority="44" operator="greaterThan">
      <formula>$K$96</formula>
    </cfRule>
  </conditionalFormatting>
  <conditionalFormatting sqref="L97">
    <cfRule type="cellIs" dxfId="61" priority="43" operator="greaterThan">
      <formula>$L$96</formula>
    </cfRule>
  </conditionalFormatting>
  <conditionalFormatting sqref="C105">
    <cfRule type="cellIs" dxfId="60" priority="42" operator="greaterThan">
      <formula>$C$104</formula>
    </cfRule>
  </conditionalFormatting>
  <conditionalFormatting sqref="D105">
    <cfRule type="cellIs" dxfId="59" priority="41" operator="greaterThan">
      <formula>$D$104</formula>
    </cfRule>
  </conditionalFormatting>
  <conditionalFormatting sqref="E105">
    <cfRule type="cellIs" dxfId="58" priority="40" operator="greaterThan">
      <formula>$E$104</formula>
    </cfRule>
  </conditionalFormatting>
  <conditionalFormatting sqref="F105">
    <cfRule type="cellIs" dxfId="57" priority="39" operator="greaterThan">
      <formula>$F$104</formula>
    </cfRule>
  </conditionalFormatting>
  <conditionalFormatting sqref="G105">
    <cfRule type="cellIs" dxfId="56" priority="38" operator="greaterThan">
      <formula>$G$104</formula>
    </cfRule>
  </conditionalFormatting>
  <conditionalFormatting sqref="H105">
    <cfRule type="cellIs" dxfId="55" priority="37" operator="greaterThan">
      <formula>$H$104</formula>
    </cfRule>
  </conditionalFormatting>
  <conditionalFormatting sqref="I105">
    <cfRule type="cellIs" dxfId="54" priority="36" operator="greaterThan">
      <formula>$I$104</formula>
    </cfRule>
  </conditionalFormatting>
  <conditionalFormatting sqref="J105">
    <cfRule type="cellIs" dxfId="53" priority="35" operator="greaterThan">
      <formula>$J$104</formula>
    </cfRule>
  </conditionalFormatting>
  <conditionalFormatting sqref="K105">
    <cfRule type="cellIs" dxfId="52" priority="34" operator="greaterThan">
      <formula>$K$104</formula>
    </cfRule>
  </conditionalFormatting>
  <conditionalFormatting sqref="L105">
    <cfRule type="cellIs" dxfId="51" priority="33" operator="greaterThan">
      <formula>$L$104</formula>
    </cfRule>
  </conditionalFormatting>
  <conditionalFormatting sqref="D65">
    <cfRule type="cellIs" dxfId="50" priority="20" operator="greaterThan">
      <formula>$D$64</formula>
    </cfRule>
  </conditionalFormatting>
  <conditionalFormatting sqref="C65">
    <cfRule type="cellIs" dxfId="49" priority="18" operator="greaterThan">
      <formula>$C$64</formula>
    </cfRule>
  </conditionalFormatting>
  <conditionalFormatting sqref="E65">
    <cfRule type="cellIs" dxfId="48" priority="16" operator="greaterThan">
      <formula>$E$64</formula>
    </cfRule>
  </conditionalFormatting>
  <conditionalFormatting sqref="F65">
    <cfRule type="cellIs" dxfId="47" priority="15" operator="greaterThan">
      <formula>$F$64</formula>
    </cfRule>
  </conditionalFormatting>
  <conditionalFormatting sqref="G65">
    <cfRule type="cellIs" dxfId="46" priority="14" operator="greaterThan">
      <formula>$G$64</formula>
    </cfRule>
  </conditionalFormatting>
  <conditionalFormatting sqref="C73">
    <cfRule type="cellIs" dxfId="45" priority="10" operator="greaterThan">
      <formula>$C$72</formula>
    </cfRule>
  </conditionalFormatting>
  <conditionalFormatting sqref="D73">
    <cfRule type="cellIs" dxfId="44" priority="9" operator="greaterThan">
      <formula>$D$72</formula>
    </cfRule>
  </conditionalFormatting>
  <conditionalFormatting sqref="E73">
    <cfRule type="cellIs" dxfId="43" priority="8" operator="greaterThan">
      <formula>$E$72</formula>
    </cfRule>
  </conditionalFormatting>
  <conditionalFormatting sqref="F73">
    <cfRule type="cellIs" dxfId="42" priority="7" operator="greaterThan">
      <formula>$F$72</formula>
    </cfRule>
  </conditionalFormatting>
  <conditionalFormatting sqref="G73">
    <cfRule type="cellIs" dxfId="41" priority="6" operator="greaterThan">
      <formula>$G$72</formula>
    </cfRule>
  </conditionalFormatting>
  <conditionalFormatting sqref="C81">
    <cfRule type="cellIs" dxfId="40" priority="5" operator="greaterThan">
      <formula>$C$80</formula>
    </cfRule>
  </conditionalFormatting>
  <conditionalFormatting sqref="D81">
    <cfRule type="cellIs" dxfId="39" priority="4" operator="greaterThan">
      <formula>$D$80</formula>
    </cfRule>
  </conditionalFormatting>
  <conditionalFormatting sqref="E81">
    <cfRule type="cellIs" dxfId="38" priority="3" operator="greaterThan">
      <formula>$E$80</formula>
    </cfRule>
  </conditionalFormatting>
  <conditionalFormatting sqref="F81">
    <cfRule type="cellIs" dxfId="37" priority="2" operator="greaterThan">
      <formula>$F$80</formula>
    </cfRule>
  </conditionalFormatting>
  <conditionalFormatting sqref="G81">
    <cfRule type="cellIs" dxfId="3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abSelected="1" topLeftCell="A104" zoomScale="150" zoomScaleNormal="150" workbookViewId="0">
      <selection activeCell="C38" sqref="C3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22" t="s">
        <v>104</v>
      </c>
      <c r="B3" s="222"/>
      <c r="C3" s="222"/>
      <c r="D3" s="222"/>
      <c r="E3" s="222"/>
      <c r="F3" s="222"/>
      <c r="G3" s="222"/>
      <c r="H3" s="122"/>
      <c r="I3" s="122"/>
      <c r="J3" s="122"/>
      <c r="K3" s="122"/>
    </row>
    <row r="4" spans="1:13" x14ac:dyDescent="0.35">
      <c r="A4" s="37" t="s">
        <v>30</v>
      </c>
      <c r="B4" s="37" t="s">
        <v>34</v>
      </c>
      <c r="C4" s="223" t="s">
        <v>35</v>
      </c>
      <c r="D4" s="224"/>
      <c r="E4" s="224"/>
      <c r="F4" s="224"/>
      <c r="G4" s="225"/>
      <c r="M4" s="1" t="s">
        <v>225</v>
      </c>
    </row>
    <row r="5" spans="1:13" x14ac:dyDescent="0.35">
      <c r="A5" s="121" t="s">
        <v>31</v>
      </c>
      <c r="B5" s="121" t="str">
        <f>IF(Participants!B5="","",Participants!B5)</f>
        <v>XXX</v>
      </c>
      <c r="C5" s="213" t="s">
        <v>229</v>
      </c>
      <c r="D5" s="208"/>
      <c r="E5" s="208"/>
      <c r="F5" s="208"/>
      <c r="G5" s="208"/>
      <c r="M5" t="s">
        <v>226</v>
      </c>
    </row>
    <row r="6" spans="1:13" x14ac:dyDescent="0.35">
      <c r="A6" s="121" t="s">
        <v>32</v>
      </c>
      <c r="B6" s="121" t="str">
        <f>IF(Participants!B6="","",Participants!B6)</f>
        <v>XXX</v>
      </c>
      <c r="C6" s="213" t="s">
        <v>229</v>
      </c>
      <c r="D6" s="208"/>
      <c r="E6" s="208"/>
      <c r="F6" s="208"/>
      <c r="G6" s="208"/>
      <c r="M6" t="s">
        <v>227</v>
      </c>
    </row>
    <row r="7" spans="1:13" x14ac:dyDescent="0.35">
      <c r="A7" s="121" t="s">
        <v>33</v>
      </c>
      <c r="B7" s="121" t="str">
        <f>IF(Participants!B7="","",Participants!B7)</f>
        <v>XXX</v>
      </c>
      <c r="C7" s="213" t="s">
        <v>229</v>
      </c>
      <c r="D7" s="208"/>
      <c r="E7" s="208"/>
      <c r="F7" s="208"/>
      <c r="G7" s="208"/>
      <c r="M7" t="s">
        <v>228</v>
      </c>
    </row>
    <row r="8" spans="1:13" x14ac:dyDescent="0.35">
      <c r="A8" s="133" t="s">
        <v>102</v>
      </c>
      <c r="B8" s="132" t="str">
        <f>IF(Participants!B8="","",Participants!B8)</f>
        <v/>
      </c>
      <c r="C8" s="213" t="s">
        <v>152</v>
      </c>
      <c r="D8" s="208"/>
      <c r="E8" s="208"/>
      <c r="F8" s="208"/>
      <c r="G8" s="208"/>
    </row>
    <row r="9" spans="1:13" x14ac:dyDescent="0.35">
      <c r="A9" s="121" t="str">
        <f>IF(Participants!A9="","",Participants!A9)</f>
        <v/>
      </c>
      <c r="B9" s="121" t="str">
        <f>IF(Participants!B9="","",Participants!B9)</f>
        <v/>
      </c>
      <c r="C9" s="214"/>
      <c r="D9" s="214"/>
      <c r="E9" s="214"/>
      <c r="F9" s="214"/>
      <c r="G9" s="214"/>
    </row>
    <row r="10" spans="1:13" x14ac:dyDescent="0.35">
      <c r="A10" s="134" t="s">
        <v>106</v>
      </c>
      <c r="B10" s="134" t="str">
        <f>IF(Participants!B10="","",Participants!B10)</f>
        <v/>
      </c>
      <c r="C10" s="215" t="s">
        <v>250</v>
      </c>
      <c r="D10" s="215"/>
      <c r="E10" s="215"/>
      <c r="F10" s="215"/>
      <c r="G10" s="215"/>
    </row>
    <row r="11" spans="1:13" x14ac:dyDescent="0.35">
      <c r="A11" s="14"/>
      <c r="B11" s="2"/>
      <c r="C11"/>
    </row>
    <row r="12" spans="1:13" x14ac:dyDescent="0.35">
      <c r="A12" s="16" t="s">
        <v>276</v>
      </c>
      <c r="B12" s="216" t="s">
        <v>278</v>
      </c>
      <c r="C12" s="217"/>
      <c r="D12" s="218"/>
    </row>
    <row r="13" spans="1:13" x14ac:dyDescent="0.35">
      <c r="B13" s="219" t="s">
        <v>279</v>
      </c>
      <c r="C13" s="220"/>
      <c r="D13" s="221"/>
    </row>
    <row r="14" spans="1:13" x14ac:dyDescent="0.35">
      <c r="B14" s="200" t="s">
        <v>280</v>
      </c>
      <c r="C14" s="201"/>
      <c r="D14" s="202"/>
    </row>
    <row r="15" spans="1:13" x14ac:dyDescent="0.35">
      <c r="B15" s="203" t="s">
        <v>37</v>
      </c>
      <c r="C15" s="204"/>
      <c r="D15" s="205"/>
    </row>
    <row r="17" spans="1:14" x14ac:dyDescent="0.35">
      <c r="A17" s="1" t="s">
        <v>286</v>
      </c>
      <c r="B17" s="1" t="s">
        <v>84</v>
      </c>
      <c r="C17" s="12" t="s">
        <v>85</v>
      </c>
    </row>
    <row r="18" spans="1:14" x14ac:dyDescent="0.35">
      <c r="A18" t="s">
        <v>83</v>
      </c>
      <c r="B18" s="127">
        <f>Participants!B18</f>
        <v>5.73</v>
      </c>
      <c r="C18" s="127">
        <f>Participants!C18</f>
        <v>6</v>
      </c>
      <c r="D18" s="17" t="s">
        <v>86</v>
      </c>
    </row>
    <row r="19" spans="1:14" x14ac:dyDescent="0.35">
      <c r="A19" t="s">
        <v>97</v>
      </c>
      <c r="B19" s="127">
        <f>Participants!B19</f>
        <v>11</v>
      </c>
      <c r="C19" s="127">
        <f>Participants!C19</f>
        <v>10.1</v>
      </c>
      <c r="D19" s="11" t="s">
        <v>26</v>
      </c>
    </row>
    <row r="20" spans="1:14" x14ac:dyDescent="0.35">
      <c r="A20" t="s">
        <v>134</v>
      </c>
      <c r="B20" s="128">
        <f>Participants!B20</f>
        <v>3525</v>
      </c>
      <c r="C20" s="128">
        <f>Participants!C20</f>
        <v>1020</v>
      </c>
      <c r="D20" s="11"/>
    </row>
    <row r="21" spans="1:14" x14ac:dyDescent="0.35">
      <c r="A21" t="s">
        <v>122</v>
      </c>
      <c r="B21" s="127">
        <f>VLOOKUP(B20,'Powell-Elevation-Area'!$A$5:$B$689,2)/1000000</f>
        <v>5.9265762500000001</v>
      </c>
      <c r="C21" s="127">
        <f>VLOOKUP(C20,'Mead-Elevation-Area'!$A$5:$B$689,2)/1000000</f>
        <v>5.664593</v>
      </c>
      <c r="D21" s="11"/>
      <c r="E21" s="30"/>
    </row>
    <row r="22" spans="1:14" x14ac:dyDescent="0.35">
      <c r="A22" t="s">
        <v>240</v>
      </c>
      <c r="B22" s="135">
        <f>Participants!B22</f>
        <v>78.099999999999994</v>
      </c>
      <c r="C22"/>
      <c r="D22" s="129" t="s">
        <v>244</v>
      </c>
      <c r="E22" s="30"/>
    </row>
    <row r="24" spans="1:14" s="1" customFormat="1" x14ac:dyDescent="0.35">
      <c r="A24" s="116" t="s">
        <v>27</v>
      </c>
      <c r="B24" s="117" t="s">
        <v>38</v>
      </c>
      <c r="C24" s="117" t="s">
        <v>0</v>
      </c>
      <c r="D24" s="117" t="s">
        <v>1</v>
      </c>
      <c r="E24" s="117" t="s">
        <v>2</v>
      </c>
      <c r="F24" s="117" t="s">
        <v>3</v>
      </c>
      <c r="G24" s="117" t="s">
        <v>4</v>
      </c>
      <c r="H24" s="117" t="s">
        <v>5</v>
      </c>
      <c r="I24" s="117" t="s">
        <v>6</v>
      </c>
      <c r="J24" s="117" t="s">
        <v>7</v>
      </c>
      <c r="K24" s="117" t="s">
        <v>28</v>
      </c>
      <c r="L24" s="117" t="s">
        <v>29</v>
      </c>
      <c r="M24" s="117" t="s">
        <v>82</v>
      </c>
      <c r="N24" s="117" t="s">
        <v>119</v>
      </c>
    </row>
    <row r="25" spans="1:14" x14ac:dyDescent="0.35">
      <c r="A25" s="1" t="s">
        <v>36</v>
      </c>
      <c r="B25" s="1"/>
      <c r="C25" s="111">
        <f>IF(Participants!C28="","",Participants!C28)</f>
        <v>11</v>
      </c>
      <c r="D25" s="111">
        <f>IF(Participants!D28="","",Participants!D28)</f>
        <v>8</v>
      </c>
      <c r="E25" s="111">
        <f>IF(Participants!E28="","",Participants!E28)</f>
        <v>7.5</v>
      </c>
      <c r="F25" s="111" t="str">
        <f>IF(Participants!F28="","",Participants!F28)</f>
        <v/>
      </c>
      <c r="G25" s="111" t="str">
        <f>IF(Participants!G28="","",Participants!G28)</f>
        <v/>
      </c>
      <c r="H25" s="111" t="str">
        <f>IF(Participants!H28="","",Participants!H28)</f>
        <v/>
      </c>
      <c r="I25" s="111" t="str">
        <f>IF(Participants!I28="","",Participants!I28)</f>
        <v/>
      </c>
      <c r="J25" s="111" t="str">
        <f>IF(Participants!J28="","",Participants!J28)</f>
        <v/>
      </c>
      <c r="K25" s="111" t="str">
        <f>IF(Participants!K28="","",Participants!K28)</f>
        <v/>
      </c>
      <c r="L25" s="111" t="str">
        <f>IF(Participants!L28="","",Participants!L28)</f>
        <v/>
      </c>
    </row>
    <row r="26" spans="1:14" x14ac:dyDescent="0.35">
      <c r="A26" s="1" t="s">
        <v>91</v>
      </c>
      <c r="B26" s="1"/>
      <c r="C26" s="110">
        <f>IF(C$25&lt;&gt;"",0.8,"")</f>
        <v>0.8</v>
      </c>
      <c r="D26" s="110">
        <f t="shared" ref="D26:L26" si="0">IF(D$25&lt;&gt;"",0.8,"")</f>
        <v>0.8</v>
      </c>
      <c r="E26" s="110">
        <f t="shared" si="0"/>
        <v>0.8</v>
      </c>
      <c r="F26" s="110" t="str">
        <f t="shared" si="0"/>
        <v/>
      </c>
      <c r="G26" s="110" t="str">
        <f t="shared" si="0"/>
        <v/>
      </c>
      <c r="H26" s="110" t="str">
        <f t="shared" si="0"/>
        <v/>
      </c>
      <c r="I26" s="110" t="str">
        <f t="shared" si="0"/>
        <v/>
      </c>
      <c r="J26" s="110" t="str">
        <f t="shared" si="0"/>
        <v/>
      </c>
      <c r="K26" s="110" t="str">
        <f t="shared" si="0"/>
        <v/>
      </c>
      <c r="L26" s="110" t="str">
        <f t="shared" si="0"/>
        <v/>
      </c>
    </row>
    <row r="27" spans="1:14" x14ac:dyDescent="0.35">
      <c r="A27" s="1" t="s">
        <v>241</v>
      </c>
      <c r="B27" s="1"/>
      <c r="C27" s="110">
        <f>IF(C$25&lt;&gt;"",0.2,"")</f>
        <v>0.2</v>
      </c>
      <c r="D27" s="110">
        <f t="shared" ref="D27:L27" si="1">IF(D$25&lt;&gt;"",0.2,"")</f>
        <v>0.2</v>
      </c>
      <c r="E27" s="110">
        <f t="shared" si="1"/>
        <v>0.2</v>
      </c>
      <c r="F27" s="110" t="str">
        <f t="shared" si="1"/>
        <v/>
      </c>
      <c r="G27" s="110" t="str">
        <f t="shared" si="1"/>
        <v/>
      </c>
      <c r="H27" s="110" t="str">
        <f t="shared" si="1"/>
        <v/>
      </c>
      <c r="I27" s="110" t="str">
        <f t="shared" si="1"/>
        <v/>
      </c>
      <c r="J27" s="110" t="str">
        <f t="shared" si="1"/>
        <v/>
      </c>
      <c r="K27" s="110" t="str">
        <f t="shared" si="1"/>
        <v/>
      </c>
      <c r="L27" s="110" t="str">
        <f t="shared" si="1"/>
        <v/>
      </c>
    </row>
    <row r="28" spans="1:14" x14ac:dyDescent="0.35">
      <c r="A28" s="1" t="s">
        <v>209</v>
      </c>
      <c r="B28" s="1"/>
      <c r="C28" s="110">
        <f>IF(C$25&lt;&gt;"",0.6,"")</f>
        <v>0.6</v>
      </c>
      <c r="D28" s="110">
        <f t="shared" ref="D28:L28" si="2">IF(D$25&lt;&gt;"",0.6,"")</f>
        <v>0.6</v>
      </c>
      <c r="E28" s="110">
        <f t="shared" si="2"/>
        <v>0.6</v>
      </c>
      <c r="F28" s="110" t="str">
        <f t="shared" si="2"/>
        <v/>
      </c>
      <c r="G28" s="110" t="str">
        <f t="shared" si="2"/>
        <v/>
      </c>
      <c r="H28" s="110" t="str">
        <f t="shared" si="2"/>
        <v/>
      </c>
      <c r="I28" s="110" t="str">
        <f t="shared" si="2"/>
        <v/>
      </c>
      <c r="J28" s="110" t="str">
        <f t="shared" si="2"/>
        <v/>
      </c>
      <c r="K28" s="110" t="str">
        <f t="shared" si="2"/>
        <v/>
      </c>
      <c r="L28" s="110" t="str">
        <f t="shared" si="2"/>
        <v/>
      </c>
    </row>
    <row r="29" spans="1:14" x14ac:dyDescent="0.35">
      <c r="A29" s="1" t="s">
        <v>92</v>
      </c>
      <c r="B29" s="91">
        <f>SUM(B30:B35)-SUM(B19:C19)</f>
        <v>0</v>
      </c>
      <c r="C29" s="13">
        <f>IF(C$25&lt;&gt;"",SUM(B19:C19),"")</f>
        <v>21.1</v>
      </c>
      <c r="D29" s="13">
        <f ca="1">IF(D$25&lt;&gt;"",C127,"")</f>
        <v>18.91297866568258</v>
      </c>
      <c r="E29" s="13">
        <f t="shared" ref="E29:L29" ca="1" si="3">IF(E$25&lt;&gt;"",D127,"")</f>
        <v>14.358037906686292</v>
      </c>
      <c r="F29" s="13" t="str">
        <f t="shared" si="3"/>
        <v/>
      </c>
      <c r="G29" s="13" t="str">
        <f t="shared" si="3"/>
        <v/>
      </c>
      <c r="H29" s="13" t="str">
        <f t="shared" si="3"/>
        <v/>
      </c>
      <c r="I29" s="13" t="str">
        <f t="shared" si="3"/>
        <v/>
      </c>
      <c r="J29" s="13" t="str">
        <f t="shared" si="3"/>
        <v/>
      </c>
      <c r="K29" s="13" t="str">
        <f t="shared" si="3"/>
        <v/>
      </c>
      <c r="L29" s="13" t="str">
        <f t="shared" si="3"/>
        <v/>
      </c>
    </row>
    <row r="30" spans="1:14" x14ac:dyDescent="0.35">
      <c r="A30" t="str">
        <f t="shared" ref="A30:A35" si="4">IF(A5="","","    "&amp;A5&amp;" Balance")</f>
        <v xml:space="preserve">    Upper Basin Balance</v>
      </c>
      <c r="B30" s="92">
        <f>B19-B21</f>
        <v>5.0734237499999999</v>
      </c>
      <c r="C30" s="89">
        <f>IF(OR(C$25="",$A30=""),"",B30)</f>
        <v>5.0734237499999999</v>
      </c>
      <c r="D30" s="13">
        <f ca="1">IF(OR(D$25="",$A30=""),"",C121)</f>
        <v>7.1406808836493001</v>
      </c>
      <c r="E30" s="13">
        <f t="shared" ref="E30:L30" ca="1" si="5">IF(OR(E$25="",$A30=""),"",D121)</f>
        <v>2.5793499884314777</v>
      </c>
      <c r="F30" s="13" t="str">
        <f t="shared" si="5"/>
        <v/>
      </c>
      <c r="G30" s="13" t="str">
        <f t="shared" si="5"/>
        <v/>
      </c>
      <c r="H30" s="13" t="str">
        <f t="shared" si="5"/>
        <v/>
      </c>
      <c r="I30" s="13" t="str">
        <f t="shared" si="5"/>
        <v/>
      </c>
      <c r="J30" s="13" t="str">
        <f t="shared" si="5"/>
        <v/>
      </c>
      <c r="K30" s="13" t="str">
        <f t="shared" si="5"/>
        <v/>
      </c>
      <c r="L30" s="13" t="str">
        <f t="shared" si="5"/>
        <v/>
      </c>
      <c r="N30" t="s">
        <v>124</v>
      </c>
    </row>
    <row r="31" spans="1:14" x14ac:dyDescent="0.35">
      <c r="A31" t="str">
        <f t="shared" si="4"/>
        <v xml:space="preserve">    Lower Basin Balance</v>
      </c>
      <c r="B31" s="92">
        <f>C19-C21-B32</f>
        <v>4.2614069999999993</v>
      </c>
      <c r="C31" s="89">
        <f t="shared" ref="C31:C35" si="6">IF(OR(C$25="",$A31=""),"",B31)</f>
        <v>4.2614069999999993</v>
      </c>
      <c r="D31" s="13">
        <f t="shared" ref="D31:L35" ca="1" si="7">IF(OR(D$25="",$A31=""),"",C122)</f>
        <v>0</v>
      </c>
      <c r="E31" s="13">
        <f t="shared" ca="1" si="7"/>
        <v>0</v>
      </c>
      <c r="F31" s="13" t="str">
        <f t="shared" si="7"/>
        <v/>
      </c>
      <c r="G31" s="13" t="str">
        <f t="shared" si="7"/>
        <v/>
      </c>
      <c r="H31" s="13" t="str">
        <f t="shared" si="7"/>
        <v/>
      </c>
      <c r="I31" s="13" t="str">
        <f t="shared" si="7"/>
        <v/>
      </c>
      <c r="J31" s="13" t="str">
        <f t="shared" si="7"/>
        <v/>
      </c>
      <c r="K31" s="13" t="str">
        <f t="shared" si="7"/>
        <v/>
      </c>
      <c r="L31" s="13" t="str">
        <f t="shared" si="7"/>
        <v/>
      </c>
      <c r="N31" t="s">
        <v>121</v>
      </c>
    </row>
    <row r="32" spans="1:14" x14ac:dyDescent="0.35">
      <c r="A32" t="str">
        <f t="shared" si="4"/>
        <v xml:space="preserve">    Mexico Balance</v>
      </c>
      <c r="B32" s="93">
        <v>0.17399999999999999</v>
      </c>
      <c r="C32" s="90">
        <f t="shared" si="6"/>
        <v>0.17399999999999999</v>
      </c>
      <c r="D32" s="36">
        <f t="shared" ca="1" si="7"/>
        <v>0.16557297647772518</v>
      </c>
      <c r="E32" s="36">
        <f t="shared" ca="1" si="7"/>
        <v>0.15719469536008468</v>
      </c>
      <c r="F32" s="36" t="str">
        <f t="shared" si="7"/>
        <v/>
      </c>
      <c r="G32" s="36" t="str">
        <f t="shared" si="7"/>
        <v/>
      </c>
      <c r="H32" s="13" t="str">
        <f t="shared" si="7"/>
        <v/>
      </c>
      <c r="I32" s="13" t="str">
        <f t="shared" si="7"/>
        <v/>
      </c>
      <c r="J32" s="13" t="str">
        <f t="shared" si="7"/>
        <v/>
      </c>
      <c r="K32" s="13" t="str">
        <f t="shared" si="7"/>
        <v/>
      </c>
      <c r="L32" s="13" t="str">
        <f t="shared" si="7"/>
        <v/>
      </c>
      <c r="N32" t="s">
        <v>120</v>
      </c>
    </row>
    <row r="33" spans="1:14" x14ac:dyDescent="0.35">
      <c r="A33" t="str">
        <f t="shared" si="4"/>
        <v xml:space="preserve">    Colorado River Delta Balance</v>
      </c>
      <c r="B33" s="92"/>
      <c r="C33" s="89">
        <f t="shared" si="6"/>
        <v>0</v>
      </c>
      <c r="D33" s="13">
        <f t="shared" ca="1" si="7"/>
        <v>1.5555555555555553E-2</v>
      </c>
      <c r="E33" s="13">
        <f t="shared" ca="1" si="7"/>
        <v>3.0323972894730409E-2</v>
      </c>
      <c r="F33" s="13" t="str">
        <f t="shared" si="7"/>
        <v/>
      </c>
      <c r="G33" s="13" t="str">
        <f t="shared" si="7"/>
        <v/>
      </c>
      <c r="H33" s="13" t="str">
        <f t="shared" si="7"/>
        <v/>
      </c>
      <c r="I33" s="13" t="str">
        <f t="shared" si="7"/>
        <v/>
      </c>
      <c r="J33" s="13" t="str">
        <f t="shared" si="7"/>
        <v/>
      </c>
      <c r="K33" s="13" t="str">
        <f t="shared" si="7"/>
        <v/>
      </c>
      <c r="L33" s="13" t="str">
        <f t="shared" si="7"/>
        <v/>
      </c>
    </row>
    <row r="34" spans="1:14" x14ac:dyDescent="0.35">
      <c r="A34" t="str">
        <f t="shared" si="4"/>
        <v/>
      </c>
      <c r="B34" s="92"/>
      <c r="C34" s="89" t="str">
        <f t="shared" si="6"/>
        <v/>
      </c>
      <c r="D34" s="13" t="str">
        <f t="shared" si="7"/>
        <v/>
      </c>
      <c r="E34" s="13" t="str">
        <f t="shared" si="7"/>
        <v/>
      </c>
      <c r="F34" s="13" t="str">
        <f t="shared" si="7"/>
        <v/>
      </c>
      <c r="G34" s="13" t="str">
        <f t="shared" si="7"/>
        <v/>
      </c>
      <c r="H34" s="13" t="str">
        <f t="shared" si="7"/>
        <v/>
      </c>
      <c r="I34" s="13" t="str">
        <f t="shared" si="7"/>
        <v/>
      </c>
      <c r="J34" s="13" t="str">
        <f t="shared" si="7"/>
        <v/>
      </c>
      <c r="K34" s="13" t="str">
        <f t="shared" si="7"/>
        <v/>
      </c>
      <c r="L34" s="13" t="str">
        <f t="shared" si="7"/>
        <v/>
      </c>
      <c r="N34" t="s">
        <v>123</v>
      </c>
    </row>
    <row r="35" spans="1:14" x14ac:dyDescent="0.35">
      <c r="A35" t="str">
        <f t="shared" si="4"/>
        <v xml:space="preserve">    Shared, Reserve Balance</v>
      </c>
      <c r="B35" s="92">
        <f>SUM($B$21:$C$21)</f>
        <v>11.59116925</v>
      </c>
      <c r="C35" s="89">
        <f t="shared" si="6"/>
        <v>11.59116925</v>
      </c>
      <c r="D35" s="13">
        <f t="shared" ca="1" si="7"/>
        <v>11.59116925</v>
      </c>
      <c r="E35" s="13">
        <f t="shared" ca="1" si="7"/>
        <v>11.59116925</v>
      </c>
      <c r="F35" s="13" t="str">
        <f t="shared" si="7"/>
        <v/>
      </c>
      <c r="G35" s="13" t="str">
        <f t="shared" si="7"/>
        <v/>
      </c>
      <c r="H35" s="13" t="str">
        <f t="shared" si="7"/>
        <v/>
      </c>
      <c r="I35" s="13" t="str">
        <f t="shared" si="7"/>
        <v/>
      </c>
      <c r="J35" s="13" t="str">
        <f t="shared" si="7"/>
        <v/>
      </c>
      <c r="K35" s="13" t="str">
        <f t="shared" si="7"/>
        <v/>
      </c>
      <c r="L35" s="13" t="str">
        <f t="shared" si="7"/>
        <v/>
      </c>
    </row>
    <row r="36" spans="1:14" x14ac:dyDescent="0.35">
      <c r="A36" s="1" t="s">
        <v>141</v>
      </c>
      <c r="C36"/>
    </row>
    <row r="37" spans="1:14" x14ac:dyDescent="0.35">
      <c r="A37" t="s">
        <v>87</v>
      </c>
      <c r="C37" s="13">
        <f>IF(C$25&lt;&gt;"",B19,"")</f>
        <v>11</v>
      </c>
      <c r="D37" s="13">
        <f ca="1">IF(D$25&lt;&gt;"",C129,"")</f>
        <v>9.45648933284129</v>
      </c>
      <c r="E37" s="13">
        <f t="shared" ref="E37:L38" ca="1" si="8">IF(E$25&lt;&gt;"",D129,"")</f>
        <v>7.1790189533431459</v>
      </c>
      <c r="F37" s="13" t="str">
        <f t="shared" si="8"/>
        <v/>
      </c>
      <c r="G37" s="13" t="str">
        <f t="shared" si="8"/>
        <v/>
      </c>
      <c r="H37" s="13" t="str">
        <f t="shared" si="8"/>
        <v/>
      </c>
      <c r="I37" s="13" t="str">
        <f t="shared" si="8"/>
        <v/>
      </c>
      <c r="J37" s="13" t="str">
        <f t="shared" si="8"/>
        <v/>
      </c>
      <c r="K37" s="13" t="str">
        <f t="shared" si="8"/>
        <v/>
      </c>
      <c r="L37" s="13" t="str">
        <f t="shared" si="8"/>
        <v/>
      </c>
    </row>
    <row r="38" spans="1:14" x14ac:dyDescent="0.35">
      <c r="A38" t="s">
        <v>88</v>
      </c>
      <c r="C38" s="13">
        <f>IF(C$25&lt;&gt;"",C19,"")</f>
        <v>10.1</v>
      </c>
      <c r="D38" s="13">
        <f ca="1">IF(D$25&lt;&gt;"",C130,"")</f>
        <v>9.45648933284129</v>
      </c>
      <c r="E38" s="13">
        <f t="shared" ca="1" si="8"/>
        <v>7.1790189533431459</v>
      </c>
      <c r="F38" s="13" t="str">
        <f t="shared" si="8"/>
        <v/>
      </c>
      <c r="G38" s="13" t="str">
        <f t="shared" si="8"/>
        <v/>
      </c>
      <c r="H38" s="13" t="str">
        <f t="shared" si="8"/>
        <v/>
      </c>
      <c r="I38" s="13" t="str">
        <f t="shared" si="8"/>
        <v/>
      </c>
      <c r="J38" s="13" t="str">
        <f t="shared" si="8"/>
        <v/>
      </c>
      <c r="K38" s="13" t="str">
        <f t="shared" si="8"/>
        <v/>
      </c>
      <c r="L38" s="13" t="str">
        <f t="shared" si="8"/>
        <v/>
      </c>
    </row>
    <row r="39" spans="1:14" x14ac:dyDescent="0.35">
      <c r="A39" s="1" t="s">
        <v>89</v>
      </c>
      <c r="B39" s="1"/>
      <c r="C39" s="13">
        <f>IF(C$25&lt;&gt;"",VLOOKUP(C37*1000000,'Powell-Elevation-Area'!$B$5:$D$689,3)*$B$18/1000000 + VLOOKUP(C38*1000000,'Mead-Elevation-Area'!$B$5:$D$676,3)*$C$18/1000000,"")</f>
        <v>1.0218976799999733</v>
      </c>
      <c r="D39" s="13">
        <f ca="1">IF(D$25&lt;&gt;"",VLOOKUP(D37*1000000,'Powell-Elevation-Area'!$B$5:$D$689,3)*$B$18/1000000 + VLOOKUP(D38*1000000,'Mead-Elevation-Area'!$B$5:$D$676,3)*$C$18/1000000,"")</f>
        <v>0.95702967600117295</v>
      </c>
      <c r="E39" s="13">
        <f ca="1">IF(E$25&lt;&gt;"",VLOOKUP(E37*1000000,'Powell-Elevation-Area'!$B$5:$D$689,3)*$B$18/1000000 + VLOOKUP(E38*1000000,'Mead-Elevation-Area'!$B$5:$D$676,3)*$C$18/1000000,"")</f>
        <v>0.81320853000060001</v>
      </c>
      <c r="F39" s="13" t="str">
        <f>IF(F$25&lt;&gt;"",VLOOKUP(F37*1000000,'Powell-Elevation-Area'!$B$5:$D$689,3)*$B$18/1000000 + VLOOKUP(F38*1000000,'Mead-Elevation-Area'!$B$5:$D$676,3)*$C$18/1000000,"")</f>
        <v/>
      </c>
      <c r="G39" s="13" t="str">
        <f>IF(G$25&lt;&gt;"",VLOOKUP(G37*1000000,'Powell-Elevation-Area'!$B$5:$D$689,3)*$B$18/1000000 + VLOOKUP(G38*1000000,'Mead-Elevation-Area'!$B$5:$D$676,3)*$C$18/1000000,"")</f>
        <v/>
      </c>
      <c r="H39" s="13" t="str">
        <f>IF(H$25&lt;&gt;"",VLOOKUP(H37*1000000,'Powell-Elevation-Area'!$B$5:$D$689,3)*$B$18/1000000 + VLOOKUP(H38*1000000,'Mead-Elevation-Area'!$B$5:$D$676,3)*$C$18/1000000,"")</f>
        <v/>
      </c>
      <c r="I39" s="13" t="str">
        <f>IF(I$25&lt;&gt;"",VLOOKUP(I37*1000000,'Powell-Elevation-Area'!$B$5:$D$689,3)*$B$18/1000000 + VLOOKUP(I38*1000000,'Mead-Elevation-Area'!$B$5:$D$676,3)*$C$18/1000000,"")</f>
        <v/>
      </c>
      <c r="J39" s="13" t="str">
        <f>IF(J$25&lt;&gt;"",VLOOKUP(J37*1000000,'Powell-Elevation-Area'!$B$5:$D$689,3)*$B$18/1000000 + VLOOKUP(J38*1000000,'Mead-Elevation-Area'!$B$5:$D$676,3)*$C$18/1000000,"")</f>
        <v/>
      </c>
      <c r="K39" s="13" t="str">
        <f>IF(K$25&lt;&gt;"",VLOOKUP(K37*1000000,'Powell-Elevation-Area'!$B$5:$D$689,3)*$B$18/1000000 + VLOOKUP(K38*1000000,'Mead-Elevation-Area'!$B$5:$D$676,3)*$C$18/1000000,"")</f>
        <v/>
      </c>
      <c r="L39" s="13"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3">
        <f t="shared" ref="C40:L40" si="10">IF(OR(C$25="",$A40=""),"",C$39*C30/C$29)</f>
        <v>0.24571184643515467</v>
      </c>
      <c r="D40" s="13">
        <f t="shared" ca="1" si="10"/>
        <v>0.36133089521782219</v>
      </c>
      <c r="E40" s="13">
        <f t="shared" ca="1" si="10"/>
        <v>0.14608886158969073</v>
      </c>
      <c r="F40" s="13" t="str">
        <f t="shared" si="10"/>
        <v/>
      </c>
      <c r="G40" s="13" t="str">
        <f t="shared" si="10"/>
        <v/>
      </c>
      <c r="H40" s="13" t="str">
        <f t="shared" si="10"/>
        <v/>
      </c>
      <c r="I40" s="13" t="str">
        <f t="shared" si="10"/>
        <v/>
      </c>
      <c r="J40" s="13" t="str">
        <f t="shared" si="10"/>
        <v/>
      </c>
      <c r="K40" s="13" t="str">
        <f t="shared" si="10"/>
        <v/>
      </c>
      <c r="L40" s="13" t="str">
        <f t="shared" si="10"/>
        <v/>
      </c>
    </row>
    <row r="41" spans="1:14" x14ac:dyDescent="0.35">
      <c r="A41" t="str">
        <f t="shared" si="9"/>
        <v xml:space="preserve">    Lower Basin Share</v>
      </c>
      <c r="B41" s="1"/>
      <c r="C41" s="13">
        <f t="shared" ref="C41:L41" si="11">IF(OR(C$25="",$A41=""),"",C$39*C31/C$29)</f>
        <v>0.20638492544244763</v>
      </c>
      <c r="D41" s="13">
        <f t="shared" ca="1" si="11"/>
        <v>0</v>
      </c>
      <c r="E41" s="13">
        <f t="shared" ca="1" si="11"/>
        <v>0</v>
      </c>
      <c r="F41" s="13" t="str">
        <f t="shared" si="11"/>
        <v/>
      </c>
      <c r="G41" s="13" t="str">
        <f t="shared" si="11"/>
        <v/>
      </c>
      <c r="H41" s="13" t="str">
        <f t="shared" si="11"/>
        <v/>
      </c>
      <c r="I41" s="13" t="str">
        <f t="shared" si="11"/>
        <v/>
      </c>
      <c r="J41" s="13" t="str">
        <f t="shared" si="11"/>
        <v/>
      </c>
      <c r="K41" s="13" t="str">
        <f t="shared" si="11"/>
        <v/>
      </c>
      <c r="L41" s="13" t="str">
        <f t="shared" si="11"/>
        <v/>
      </c>
    </row>
    <row r="42" spans="1:14" x14ac:dyDescent="0.35">
      <c r="A42" t="str">
        <f t="shared" si="9"/>
        <v xml:space="preserve">    Mexico Share</v>
      </c>
      <c r="B42" s="1"/>
      <c r="C42" s="13">
        <f t="shared" ref="C42:L42" si="12">IF(OR(C$25="",$A42=""),"",C$39*C32/C$29)</f>
        <v>8.4270235222746598E-3</v>
      </c>
      <c r="D42" s="13">
        <f t="shared" ca="1" si="12"/>
        <v>8.3782811176405618E-3</v>
      </c>
      <c r="E42" s="13">
        <f t="shared" ca="1" si="12"/>
        <v>8.9031710299453514E-3</v>
      </c>
      <c r="F42" s="13" t="str">
        <f t="shared" si="12"/>
        <v/>
      </c>
      <c r="G42" s="13" t="str">
        <f t="shared" si="12"/>
        <v/>
      </c>
      <c r="H42" s="13" t="str">
        <f t="shared" si="12"/>
        <v/>
      </c>
      <c r="I42" s="13" t="str">
        <f t="shared" si="12"/>
        <v/>
      </c>
      <c r="J42" s="13" t="str">
        <f t="shared" si="12"/>
        <v/>
      </c>
      <c r="K42" s="13" t="str">
        <f t="shared" si="12"/>
        <v/>
      </c>
      <c r="L42" s="13" t="str">
        <f t="shared" si="12"/>
        <v/>
      </c>
    </row>
    <row r="43" spans="1:14" x14ac:dyDescent="0.35">
      <c r="A43" t="str">
        <f t="shared" si="9"/>
        <v xml:space="preserve">    Colorado River Delta Share</v>
      </c>
      <c r="B43" s="1"/>
      <c r="C43" s="13">
        <f t="shared" ref="C43:L43" si="13">IF(OR(C$25="",$A43=""),"",C$39*C33/C$29)</f>
        <v>0</v>
      </c>
      <c r="D43" s="13">
        <f t="shared" ca="1" si="13"/>
        <v>7.8713821638069781E-4</v>
      </c>
      <c r="E43" s="13">
        <f t="shared" ca="1" si="13"/>
        <v>1.7174849085764112E-3</v>
      </c>
      <c r="F43" s="13" t="str">
        <f t="shared" si="13"/>
        <v/>
      </c>
      <c r="G43" s="13" t="str">
        <f t="shared" si="13"/>
        <v/>
      </c>
      <c r="H43" s="13" t="str">
        <f t="shared" si="13"/>
        <v/>
      </c>
      <c r="I43" s="13" t="str">
        <f t="shared" si="13"/>
        <v/>
      </c>
      <c r="J43" s="13" t="str">
        <f t="shared" si="13"/>
        <v/>
      </c>
      <c r="K43" s="13" t="str">
        <f t="shared" si="13"/>
        <v/>
      </c>
      <c r="L43" s="13" t="str">
        <f t="shared" si="13"/>
        <v/>
      </c>
    </row>
    <row r="44" spans="1:14" x14ac:dyDescent="0.35">
      <c r="A44" t="str">
        <f t="shared" si="9"/>
        <v/>
      </c>
      <c r="B44" s="1"/>
      <c r="C44" s="13" t="str">
        <f t="shared" ref="C44:L44" si="14">IF(OR(C$25="",$A44=""),"",C$39*C34/C$29)</f>
        <v/>
      </c>
      <c r="D44" s="13" t="str">
        <f t="shared" si="14"/>
        <v/>
      </c>
      <c r="E44" s="13" t="str">
        <f t="shared" si="14"/>
        <v/>
      </c>
      <c r="F44" s="13" t="str">
        <f t="shared" si="14"/>
        <v/>
      </c>
      <c r="G44" s="13" t="str">
        <f t="shared" si="14"/>
        <v/>
      </c>
      <c r="H44" s="13" t="str">
        <f t="shared" si="14"/>
        <v/>
      </c>
      <c r="I44" s="13" t="str">
        <f t="shared" si="14"/>
        <v/>
      </c>
      <c r="J44" s="13" t="str">
        <f t="shared" si="14"/>
        <v/>
      </c>
      <c r="K44" s="13" t="str">
        <f t="shared" si="14"/>
        <v/>
      </c>
      <c r="L44" s="13" t="str">
        <f t="shared" si="14"/>
        <v/>
      </c>
    </row>
    <row r="45" spans="1:14" x14ac:dyDescent="0.35">
      <c r="A45" t="str">
        <f t="shared" si="9"/>
        <v xml:space="preserve">    Shared, Reserve Share</v>
      </c>
      <c r="B45" s="1"/>
      <c r="C45" s="13">
        <f t="shared" ref="C45:L45" si="15">IF(OR(C$25="",$A45=""),"",C$39*C35/C$29)</f>
        <v>0.56137388460009618</v>
      </c>
      <c r="D45" s="13">
        <f t="shared" ca="1" si="15"/>
        <v>0.58653336144932955</v>
      </c>
      <c r="E45" s="13">
        <f t="shared" ca="1" si="15"/>
        <v>0.65649901247238762</v>
      </c>
      <c r="F45" s="13" t="str">
        <f t="shared" si="15"/>
        <v/>
      </c>
      <c r="G45" s="13" t="str">
        <f t="shared" si="15"/>
        <v/>
      </c>
      <c r="H45" s="13" t="str">
        <f t="shared" si="15"/>
        <v/>
      </c>
      <c r="I45" s="13" t="str">
        <f t="shared" si="15"/>
        <v/>
      </c>
      <c r="J45" s="13" t="str">
        <f t="shared" si="15"/>
        <v/>
      </c>
      <c r="K45" s="13" t="str">
        <f t="shared" si="15"/>
        <v/>
      </c>
      <c r="L45" s="13" t="str">
        <f t="shared" si="15"/>
        <v/>
      </c>
    </row>
    <row r="46" spans="1:14" x14ac:dyDescent="0.35">
      <c r="A46" s="1" t="s">
        <v>178</v>
      </c>
      <c r="B46" s="56"/>
      <c r="C46" s="33">
        <f>IF(C$25&lt;&gt;"",1.5-0.21/9/2-VLOOKUP(C38,MandatoryConservation!$C$5:$P$13,13),"")</f>
        <v>1.4473333333333334</v>
      </c>
      <c r="D46" s="33">
        <f ca="1">IF(D$25&lt;&gt;"",1.5-0.21/9/2-VLOOKUP(D38,MandatoryConservation!$C$5:$P$13,13),"")</f>
        <v>1.4083333333333332</v>
      </c>
      <c r="E46" s="33">
        <f ca="1">IF(E$25&lt;&gt;"",1.5-0.21/9/2-VLOOKUP(E38,MandatoryConservation!$C$5:$P$13,13),"")</f>
        <v>1.3423333333333334</v>
      </c>
      <c r="F46" s="33" t="str">
        <f>IF(F$25&lt;&gt;"",1.5-0.21/9/2-VLOOKUP(F38,MandatoryConservation!$C$5:$P$13,13),"")</f>
        <v/>
      </c>
      <c r="G46" s="33" t="str">
        <f>IF(G$25&lt;&gt;"",1.5-0.21/9/2-VLOOKUP(G38,MandatoryConservation!$C$5:$P$13,13),"")</f>
        <v/>
      </c>
      <c r="H46" s="33" t="str">
        <f>IF(H$25&lt;&gt;"",1.5-0.21/9/2-VLOOKUP(H38,MandatoryConservation!$C$5:$P$13,13),"")</f>
        <v/>
      </c>
      <c r="I46" s="33" t="str">
        <f>IF(I$25&lt;&gt;"",1.5-0.21/9/2-VLOOKUP(I38,MandatoryConservation!$C$5:$P$13,13),"")</f>
        <v/>
      </c>
      <c r="J46" s="33" t="str">
        <f>IF(J$25&lt;&gt;"",1.5-0.21/9/2-VLOOKUP(J38,MandatoryConservation!$C$5:$P$13,13),"")</f>
        <v/>
      </c>
      <c r="K46" s="33" t="str">
        <f>IF(K$25&lt;&gt;"",1.5-0.21/9/2-VLOOKUP(K38,MandatoryConservation!$C$5:$P$13,13),"")</f>
        <v/>
      </c>
      <c r="L46" s="33" t="str">
        <f>IF(L$25&lt;&gt;"",1.5-0.21/9/2-VLOOKUP(L38,MandatoryConservation!$C$5:$P$13,13),"")</f>
        <v/>
      </c>
    </row>
    <row r="47" spans="1:14" x14ac:dyDescent="0.35">
      <c r="A47" s="1" t="s">
        <v>210</v>
      </c>
      <c r="B47" s="1"/>
      <c r="C47" s="35">
        <f>IF(C25="","",SUM(C25:C27)-C28)</f>
        <v>11.4</v>
      </c>
      <c r="D47" s="35">
        <f t="shared" ref="D47:E47" si="16">IF(D25="","",SUM(D25:D27)-D28)</f>
        <v>8.4</v>
      </c>
      <c r="E47" s="35">
        <f t="shared" si="16"/>
        <v>7.9</v>
      </c>
      <c r="F47" s="35" t="str">
        <f t="shared" ref="F47:L47" si="17">IF(F25="","",SUM(F25:F27)-F28)</f>
        <v/>
      </c>
      <c r="G47" s="35" t="str">
        <f t="shared" si="17"/>
        <v/>
      </c>
      <c r="H47" s="35" t="str">
        <f t="shared" si="17"/>
        <v/>
      </c>
      <c r="I47" s="35" t="str">
        <f t="shared" si="17"/>
        <v/>
      </c>
      <c r="J47" s="35" t="str">
        <f t="shared" si="17"/>
        <v/>
      </c>
      <c r="K47" s="35" t="str">
        <f t="shared" si="17"/>
        <v/>
      </c>
      <c r="L47" s="35" t="str">
        <f t="shared" si="17"/>
        <v/>
      </c>
      <c r="M47" s="30"/>
      <c r="N47" s="30"/>
    </row>
    <row r="48" spans="1:14" x14ac:dyDescent="0.35">
      <c r="A48" t="str">
        <f t="shared" ref="A48:A53" si="18">IF(A5="","","    To "&amp;A5)</f>
        <v xml:space="preserve">    To Upper Basin</v>
      </c>
      <c r="B48" s="108" t="s">
        <v>101</v>
      </c>
      <c r="C48" s="89">
        <f>IF(OR(C$25="",$A48=""),"",MAX(C25-(82.3-$B$22)-C53*$B$21/SUM($B$21:$C$21),0))</f>
        <v>6.5129689800844552</v>
      </c>
      <c r="D48" s="89">
        <f ca="1">IF(OR(D$25="",$A48=""),"",MAX(0,D25-$B$49-D46/2-D53*$B$21/SUM($B$21:$C$21)))</f>
        <v>0</v>
      </c>
      <c r="E48" s="89">
        <f t="shared" ref="E48" ca="1" si="19">IF(OR(E$25="",$A48=""),"",MAX(0,E25-$B$49-E46/2-E53*$B$21/SUM($B$21:$C$21)))</f>
        <v>0</v>
      </c>
      <c r="F48" s="89" t="str">
        <f t="shared" ref="F48:L48" si="20">IF(OR(F$25="",$A48=""),"",MAX(0,F25-$B$49-F46/2-F53*$B$21/SUM($B$21:$C$21)))</f>
        <v/>
      </c>
      <c r="G48" s="89" t="str">
        <f t="shared" si="20"/>
        <v/>
      </c>
      <c r="H48" s="89" t="str">
        <f t="shared" si="20"/>
        <v/>
      </c>
      <c r="I48" s="89" t="str">
        <f t="shared" si="20"/>
        <v/>
      </c>
      <c r="J48" s="89" t="str">
        <f t="shared" si="20"/>
        <v/>
      </c>
      <c r="K48" s="89" t="str">
        <f t="shared" si="20"/>
        <v/>
      </c>
      <c r="L48" s="89" t="str">
        <f t="shared" si="20"/>
        <v/>
      </c>
      <c r="M48" s="19"/>
      <c r="N48" s="19"/>
    </row>
    <row r="49" spans="1:14" x14ac:dyDescent="0.35">
      <c r="A49" t="str">
        <f t="shared" si="18"/>
        <v xml:space="preserve">    To Lower Basin</v>
      </c>
      <c r="B49" s="109">
        <f>7.5</f>
        <v>7.5</v>
      </c>
      <c r="C49" s="89">
        <f>IF(OR(C$25="",$A49=""),"",C26+C27-C28-C53*$C$21/SUM($B$21:$C$21)-C50+MIN(82.3-$B$22,C25))</f>
        <v>2.8783238019821153</v>
      </c>
      <c r="D49" s="89">
        <f ca="1">IF(OR(D$25="",$A49=""),"",D26+D27-D28-D53*IF($B49&lt;D25-D50/2,$C$21/SUM($B$21:$C$21),1)-D50/2+MIN($B49,D25-D50/2))</f>
        <v>6.4051333052173369</v>
      </c>
      <c r="E49" s="89">
        <f ca="1">IF(OR(E$25="",$A49=""),"",E26+E27-E28-E53*IF($B49&lt;E25-E50/2,$C$21/SUM($B$21:$C$21),1)-E50/2+MIN($B49,E25-E50/2))</f>
        <v>5.9011676541942792</v>
      </c>
      <c r="F49" s="89" t="str">
        <f t="shared" ref="F49:L49" si="21">IF(OR(F$25="",$A49=""),"",F26+F27-F28-F53*IF($B49&lt;F25-F50/2,$C$21/SUM($B$21:$C$21),1)-F50/2+MIN($B49,F25-F50/2))</f>
        <v/>
      </c>
      <c r="G49" s="89" t="str">
        <f t="shared" si="21"/>
        <v/>
      </c>
      <c r="H49" s="89" t="str">
        <f t="shared" si="21"/>
        <v/>
      </c>
      <c r="I49" s="89" t="str">
        <f t="shared" si="21"/>
        <v/>
      </c>
      <c r="J49" s="89" t="str">
        <f t="shared" si="21"/>
        <v/>
      </c>
      <c r="K49" s="89" t="str">
        <f t="shared" si="21"/>
        <v/>
      </c>
      <c r="L49" s="89" t="str">
        <f t="shared" si="21"/>
        <v/>
      </c>
      <c r="M49" s="19"/>
      <c r="N49" s="19"/>
    </row>
    <row r="50" spans="1:14" x14ac:dyDescent="0.35">
      <c r="A50" t="str">
        <f t="shared" si="18"/>
        <v xml:space="preserve">    To Mexico</v>
      </c>
      <c r="B50" s="109" t="s">
        <v>245</v>
      </c>
      <c r="C50" s="90">
        <f>IF(OR(C$25="",$A50=""),"",IF(C$47&gt;SUM(C51:C53,C46),C46,C$47-SUM(C51:C53)))</f>
        <v>1.4473333333333334</v>
      </c>
      <c r="D50" s="89">
        <f ca="1">IF(OR(D$25="",$A50=""),"",IF(D$47&gt;SUM(D51:D53,D46),D46,D$47-SUM(D51:D52)))</f>
        <v>1.4083333333333332</v>
      </c>
      <c r="E50" s="89">
        <f t="shared" ref="E50" ca="1" si="22">IF(OR(E$25="",$A50=""),"",IF(E$47&gt;SUM(E51:E53,E46),E46,E$47-SUM(E51:E52)))</f>
        <v>1.3423333333333334</v>
      </c>
      <c r="F50" s="89" t="str">
        <f t="shared" ref="F50" si="23">IF(OR(F$25="",$A50=""),"",IF(F$47&gt;SUM(F51:F53,F46),F46,F$47-SUM(F51:F52)))</f>
        <v/>
      </c>
      <c r="G50" s="89" t="str">
        <f t="shared" ref="G50" si="24">IF(OR(G$25="",$A50=""),"",IF(G$47&gt;SUM(G51:G53,G46),G46,G$47-SUM(G51:G52)))</f>
        <v/>
      </c>
      <c r="H50" s="89" t="str">
        <f t="shared" ref="H50" si="25">IF(OR(H$25="",$A50=""),"",IF(H$47&gt;SUM(H51:H53,H46),H46,H$47-SUM(H51:H52)))</f>
        <v/>
      </c>
      <c r="I50" s="89" t="str">
        <f t="shared" ref="I50" si="26">IF(OR(I$25="",$A50=""),"",IF(I$47&gt;SUM(I51:I53,I46),I46,I$47-SUM(I51:I52)))</f>
        <v/>
      </c>
      <c r="J50" s="89" t="str">
        <f t="shared" ref="J50" si="27">IF(OR(J$25="",$A50=""),"",IF(J$47&gt;SUM(J51:J53,J46),J46,J$47-SUM(J51:J52)))</f>
        <v/>
      </c>
      <c r="K50" s="89" t="str">
        <f t="shared" ref="K50" si="28">IF(OR(K$25="",$A50=""),"",IF(K$47&gt;SUM(K51:K53,K46),K46,K$47-SUM(K51:K52)))</f>
        <v/>
      </c>
      <c r="L50" s="89" t="str">
        <f t="shared" ref="L50" si="29">IF(OR(L$25="",$A50=""),"",IF(L$47&gt;SUM(L51:L53,L46),L46,L$47-SUM(L51:L52)))</f>
        <v/>
      </c>
      <c r="M50" s="19"/>
      <c r="N50" s="19"/>
    </row>
    <row r="51" spans="1:14" x14ac:dyDescent="0.35">
      <c r="A51" t="str">
        <f t="shared" si="18"/>
        <v xml:space="preserve">    To Colorado River Delta</v>
      </c>
      <c r="B51" s="118">
        <f>0.21/9*(2/3)</f>
        <v>1.5555555555555553E-2</v>
      </c>
      <c r="C51" s="119">
        <f>IF(OR(C$25="",$A51=""),"",MIN($B51,C$47-SUM(C52:C53)))</f>
        <v>1.5555555555555553E-2</v>
      </c>
      <c r="D51" s="119">
        <f t="shared" ref="D51:L51" ca="1" si="30">IF(OR(D$25="",$A51=""),"",MIN($B51,D$47-SUM(D52:D53)))</f>
        <v>1.5555555555555553E-2</v>
      </c>
      <c r="E51" s="119">
        <f t="shared" ca="1" si="30"/>
        <v>1.5555555555555553E-2</v>
      </c>
      <c r="F51" s="119" t="str">
        <f t="shared" si="30"/>
        <v/>
      </c>
      <c r="G51" s="119" t="str">
        <f t="shared" si="30"/>
        <v/>
      </c>
      <c r="H51" s="119" t="str">
        <f t="shared" si="30"/>
        <v/>
      </c>
      <c r="I51" s="119" t="str">
        <f t="shared" si="30"/>
        <v/>
      </c>
      <c r="J51" s="119" t="str">
        <f t="shared" si="30"/>
        <v/>
      </c>
      <c r="K51" s="119" t="str">
        <f t="shared" si="30"/>
        <v/>
      </c>
      <c r="L51" s="119" t="str">
        <f t="shared" si="30"/>
        <v/>
      </c>
      <c r="M51" s="19"/>
      <c r="N51" s="19"/>
    </row>
    <row r="52" spans="1:14" x14ac:dyDescent="0.35">
      <c r="A52" t="str">
        <f t="shared" si="18"/>
        <v/>
      </c>
      <c r="B52" s="109"/>
      <c r="C52" s="89"/>
      <c r="D52" s="89"/>
      <c r="E52" s="89"/>
      <c r="F52" s="89"/>
      <c r="G52" s="89"/>
      <c r="H52" s="89"/>
      <c r="I52" s="89"/>
      <c r="J52" s="89"/>
      <c r="K52" s="89"/>
      <c r="L52" s="89"/>
      <c r="M52" s="19"/>
      <c r="N52" s="19"/>
    </row>
    <row r="53" spans="1:14" x14ac:dyDescent="0.35">
      <c r="A53" t="str">
        <f t="shared" si="18"/>
        <v xml:space="preserve">    To Shared, Reserve</v>
      </c>
      <c r="B53" s="109" t="s">
        <v>249</v>
      </c>
      <c r="C53" s="89">
        <f>IF(OR(C$25="",$A53=""),"",IF(C$47&gt;C45,C45,C$47))</f>
        <v>0.56137388460009618</v>
      </c>
      <c r="D53" s="89">
        <f ca="1">IF(OR(D$25="",$A53=""),"",IF(D$47&gt;D45,D45,D47))</f>
        <v>0.58653336144932955</v>
      </c>
      <c r="E53" s="89">
        <f t="shared" ref="E53" ca="1" si="31">IF(OR(E$25="",$A53=""),"",IF(E$47&gt;E45,E45,E47))</f>
        <v>0.65649901247238762</v>
      </c>
      <c r="F53" s="89" t="str">
        <f t="shared" ref="F53:L53" si="32">IF(OR(F$25="",$A53=""),"",IF(F$47&gt;F45,F45,F47))</f>
        <v/>
      </c>
      <c r="G53" s="89" t="str">
        <f t="shared" si="32"/>
        <v/>
      </c>
      <c r="H53" s="89" t="str">
        <f t="shared" si="32"/>
        <v/>
      </c>
      <c r="I53" s="89" t="str">
        <f t="shared" si="32"/>
        <v/>
      </c>
      <c r="J53" s="89" t="str">
        <f t="shared" si="32"/>
        <v/>
      </c>
      <c r="K53" s="89" t="str">
        <f t="shared" si="32"/>
        <v/>
      </c>
      <c r="L53" s="89" t="str">
        <f t="shared" si="32"/>
        <v/>
      </c>
      <c r="M53" s="19"/>
      <c r="N53" s="19"/>
    </row>
    <row r="54" spans="1:14" x14ac:dyDescent="0.35">
      <c r="C54" s="30"/>
      <c r="D54" s="30"/>
      <c r="E54" s="30"/>
      <c r="F54" s="30"/>
      <c r="G54" s="30"/>
    </row>
    <row r="55" spans="1:14" x14ac:dyDescent="0.35">
      <c r="A55" s="112" t="s">
        <v>128</v>
      </c>
      <c r="B55" s="112"/>
      <c r="C55" s="112"/>
      <c r="D55" s="112"/>
      <c r="E55" s="112"/>
      <c r="F55" s="112"/>
      <c r="G55" s="112"/>
      <c r="H55" s="112"/>
      <c r="I55" s="112"/>
      <c r="J55" s="112"/>
      <c r="K55" s="112"/>
      <c r="L55" s="112"/>
      <c r="M55" s="112"/>
      <c r="N55" s="112"/>
    </row>
    <row r="56" spans="1:14" x14ac:dyDescent="0.35">
      <c r="A56" s="113" t="str">
        <f>IF(A$5="[Unused]","",A5)</f>
        <v>Upper Basin</v>
      </c>
      <c r="B56" s="113"/>
      <c r="C56" s="113"/>
      <c r="D56" s="113"/>
      <c r="E56" s="113"/>
      <c r="F56" s="113"/>
      <c r="G56" s="113"/>
      <c r="H56" s="113"/>
      <c r="I56" s="113"/>
      <c r="J56" s="113"/>
      <c r="K56" s="113"/>
      <c r="L56" s="113"/>
      <c r="M56" s="114" t="s">
        <v>82</v>
      </c>
      <c r="N56" s="113" t="s">
        <v>119</v>
      </c>
    </row>
    <row r="57" spans="1:14" x14ac:dyDescent="0.35">
      <c r="A57" s="21" t="str">
        <f>IF(A56="[Unused]","","   Volume of Purchases(+) and Sales(-) [maf]")</f>
        <v xml:space="preserve">   Volume of Purchases(+) and Sales(-) [maf]</v>
      </c>
      <c r="C57" s="105"/>
      <c r="D57" s="105"/>
      <c r="E57" s="105"/>
      <c r="F57" s="105"/>
      <c r="G57" s="105"/>
      <c r="H57" s="105"/>
      <c r="I57" s="105"/>
      <c r="J57" s="105"/>
      <c r="K57" s="105"/>
      <c r="L57" s="105"/>
      <c r="M57" s="49">
        <f>SUM(C57:L57)</f>
        <v>0</v>
      </c>
      <c r="N57" t="str">
        <f>IF(A57="","","Add if multiple transactions, e.g.: 0.5 + 0.25")</f>
        <v>Add if multiple transactions, e.g.: 0.5 + 0.25</v>
      </c>
    </row>
    <row r="58" spans="1:14" x14ac:dyDescent="0.35">
      <c r="A58" s="21" t="str">
        <f>IF(A57="","","   Cash Payments(-) and Income(+) [$ Mill]")</f>
        <v xml:space="preserve">   Cash Payments(-) and Income(+) [$ Mill]</v>
      </c>
      <c r="C58" s="106"/>
      <c r="D58" s="106"/>
      <c r="E58" s="106"/>
      <c r="F58" s="105"/>
      <c r="G58" s="106"/>
      <c r="H58" s="106"/>
      <c r="I58" s="106"/>
      <c r="J58" s="106"/>
      <c r="K58" s="106"/>
      <c r="L58" s="106"/>
      <c r="M58" s="47">
        <f>SUM(C58:L58)</f>
        <v>0</v>
      </c>
      <c r="N58" t="str">
        <f>IF(A58="","","Add if multiple transactions, e.g.: $350*0.5 + $450*0.25")</f>
        <v>Add if multiple transactions, e.g.: $350*0.5 + $450*0.25</v>
      </c>
    </row>
    <row r="59" spans="1:14" x14ac:dyDescent="0.35">
      <c r="A59" s="21" t="str">
        <f>IF(A58="","","   Volume of all players (should be zero)")</f>
        <v xml:space="preserve">   Volume of all players (should be zero)</v>
      </c>
      <c r="C59" s="49">
        <f t="shared" ref="C59:M59" ca="1" si="33">IF(OR(C$25="",$A59=""),"",C$112)</f>
        <v>0</v>
      </c>
      <c r="D59" s="49">
        <f t="shared" ca="1" si="33"/>
        <v>0</v>
      </c>
      <c r="E59" s="49">
        <f t="shared" ca="1" si="33"/>
        <v>0</v>
      </c>
      <c r="F59" s="49" t="str">
        <f t="shared" si="33"/>
        <v/>
      </c>
      <c r="G59" s="49" t="str">
        <f t="shared" si="33"/>
        <v/>
      </c>
      <c r="H59" s="49" t="str">
        <f t="shared" si="33"/>
        <v/>
      </c>
      <c r="I59" s="49" t="str">
        <f t="shared" si="33"/>
        <v/>
      </c>
      <c r="J59" s="49" t="str">
        <f t="shared" si="33"/>
        <v/>
      </c>
      <c r="K59" s="49" t="str">
        <f t="shared" si="33"/>
        <v/>
      </c>
      <c r="L59" s="49"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3">
        <f>IF(OR(C$25="",$A60=""),"",C30+C48-C40+C57)</f>
        <v>11.3406808836493</v>
      </c>
      <c r="D60" s="13">
        <f t="shared" ref="D60:L60" ca="1" si="34">IF(OR(D$25="",$A60=""),"",D30+D48-D40+D57)</f>
        <v>6.7793499884314778</v>
      </c>
      <c r="E60" s="13">
        <f t="shared" ca="1" si="34"/>
        <v>2.4332611268417867</v>
      </c>
      <c r="F60" s="13" t="str">
        <f t="shared" si="34"/>
        <v/>
      </c>
      <c r="G60" s="13" t="str">
        <f t="shared" si="34"/>
        <v/>
      </c>
      <c r="H60" s="13" t="str">
        <f t="shared" si="34"/>
        <v/>
      </c>
      <c r="I60" s="13" t="str">
        <f t="shared" si="34"/>
        <v/>
      </c>
      <c r="J60" s="13" t="str">
        <f t="shared" si="34"/>
        <v/>
      </c>
      <c r="K60" s="13" t="str">
        <f t="shared" si="34"/>
        <v/>
      </c>
      <c r="L60" s="13"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07">
        <f>IF(C26&lt;&gt;"",IF(C60&gt;4.2,4.2,MAX(C60,0)),"")</f>
        <v>4.2</v>
      </c>
      <c r="D61" s="107">
        <f ca="1">IF(D26&lt;&gt;"",IF(D60&gt;4.2,4.2,MAX(D60,0)),"")</f>
        <v>4.2</v>
      </c>
      <c r="E61" s="107">
        <f ca="1">IF(E26&lt;&gt;"",IF(E60&gt;4.2,4.2,MAX(E60,0)),"")</f>
        <v>2.4332611268417867</v>
      </c>
      <c r="F61" s="107" t="str">
        <f>IF(F26&lt;&gt;"",IF(F60&gt;4.2,4.2,MAX(F60,0)),"")</f>
        <v/>
      </c>
      <c r="G61" s="107" t="str">
        <f>IF(G26&lt;&gt;"",IF(G60&gt;4.2,4.2,MAX(G60,0)),"")</f>
        <v/>
      </c>
      <c r="H61" s="107"/>
      <c r="I61" s="107"/>
      <c r="J61" s="107"/>
      <c r="K61" s="107"/>
      <c r="L61" s="107"/>
      <c r="N61" t="str">
        <f>IF(A61="","","Must be less than Available water")</f>
        <v>Must be less than Available water</v>
      </c>
    </row>
    <row r="62" spans="1:14" x14ac:dyDescent="0.35">
      <c r="A62" s="21" t="str">
        <f>IF(A61="","","   End of Year Balance [maf]")</f>
        <v xml:space="preserve">   End of Year Balance [maf]</v>
      </c>
      <c r="C62" s="48">
        <f>IF(OR(C$25="",$A62=""),"",C60-C61)</f>
        <v>7.1406808836493001</v>
      </c>
      <c r="D62" s="48">
        <f t="shared" ref="D62:L62" ca="1" si="35">IF(OR(D$25="",$A62=""),"",D60-D61)</f>
        <v>2.5793499884314777</v>
      </c>
      <c r="E62" s="48">
        <f t="shared" ca="1" si="35"/>
        <v>0</v>
      </c>
      <c r="F62" s="48" t="str">
        <f t="shared" si="35"/>
        <v/>
      </c>
      <c r="G62" s="48" t="str">
        <f t="shared" si="35"/>
        <v/>
      </c>
      <c r="H62" s="48" t="str">
        <f t="shared" si="35"/>
        <v/>
      </c>
      <c r="I62" s="48" t="str">
        <f t="shared" si="35"/>
        <v/>
      </c>
      <c r="J62" s="48" t="str">
        <f t="shared" si="35"/>
        <v/>
      </c>
      <c r="K62" s="48" t="str">
        <f t="shared" si="35"/>
        <v/>
      </c>
      <c r="L62" s="48" t="str">
        <f t="shared" si="35"/>
        <v/>
      </c>
      <c r="N62" t="str">
        <f>IF(A62="","","Available water - Account Withdraw")</f>
        <v>Available water - Account Withdraw</v>
      </c>
    </row>
    <row r="63" spans="1:14" x14ac:dyDescent="0.35">
      <c r="C63"/>
    </row>
    <row r="64" spans="1:14" x14ac:dyDescent="0.35">
      <c r="A64" s="113" t="str">
        <f>IF(A$6="","[Unused]",A6)</f>
        <v>Lower Basin</v>
      </c>
      <c r="B64" s="113"/>
      <c r="C64" s="113"/>
      <c r="D64" s="113"/>
      <c r="E64" s="113"/>
      <c r="F64" s="113"/>
      <c r="G64" s="113"/>
      <c r="H64" s="113"/>
      <c r="I64" s="113"/>
      <c r="J64" s="113"/>
      <c r="K64" s="113"/>
      <c r="L64" s="113"/>
      <c r="M64" s="114" t="s">
        <v>82</v>
      </c>
      <c r="N64" s="113" t="s">
        <v>119</v>
      </c>
    </row>
    <row r="65" spans="1:14" x14ac:dyDescent="0.35">
      <c r="A65" s="21" t="str">
        <f>IF(A64="[Unused]","",$A$57)</f>
        <v xml:space="preserve">   Volume of Purchases(+) and Sales(-) [maf]</v>
      </c>
      <c r="C65" s="105"/>
      <c r="D65" s="105"/>
      <c r="E65" s="105"/>
      <c r="F65" s="105"/>
      <c r="G65" s="105"/>
      <c r="H65" s="105"/>
      <c r="I65" s="105"/>
      <c r="J65" s="105"/>
      <c r="K65" s="105"/>
      <c r="L65" s="105"/>
      <c r="M65" s="49">
        <f>SUM(C65:L65)</f>
        <v>0</v>
      </c>
      <c r="N65" t="str">
        <f>IF(A65="","",N57)</f>
        <v>Add if multiple transactions, e.g.: 0.5 + 0.25</v>
      </c>
    </row>
    <row r="66" spans="1:14" x14ac:dyDescent="0.35">
      <c r="A66" s="21" t="str">
        <f>IF(A65="","",$A$58)</f>
        <v xml:space="preserve">   Cash Payments(-) and Income(+) [$ Mill]</v>
      </c>
      <c r="C66" s="106"/>
      <c r="D66" s="106"/>
      <c r="E66" s="106"/>
      <c r="F66" s="106"/>
      <c r="G66" s="106"/>
      <c r="H66" s="106"/>
      <c r="I66" s="106"/>
      <c r="J66" s="106"/>
      <c r="K66" s="106"/>
      <c r="L66" s="106"/>
      <c r="M66" s="47">
        <f>SUM(C66:L66)</f>
        <v>0</v>
      </c>
      <c r="N66" t="str">
        <f t="shared" ref="N66:N70" si="36">IF(A66="","",N58)</f>
        <v>Add if multiple transactions, e.g.: $350*0.5 + $450*0.25</v>
      </c>
    </row>
    <row r="67" spans="1:14" x14ac:dyDescent="0.35">
      <c r="A67" s="21" t="str">
        <f>IF(A66="","","   Volume all players (should be zero)")</f>
        <v xml:space="preserve">   Volume all players (should be zero)</v>
      </c>
      <c r="C67" s="49">
        <f t="shared" ref="C67:M67" ca="1" si="37">IF(OR(C$25="",$A67=""),"",C$112)</f>
        <v>0</v>
      </c>
      <c r="D67" s="49">
        <f t="shared" ca="1" si="37"/>
        <v>0</v>
      </c>
      <c r="E67" s="49">
        <f t="shared" ca="1" si="37"/>
        <v>0</v>
      </c>
      <c r="F67" s="49" t="str">
        <f t="shared" si="37"/>
        <v/>
      </c>
      <c r="G67" s="49" t="str">
        <f t="shared" si="37"/>
        <v/>
      </c>
      <c r="H67" s="49" t="str">
        <f t="shared" si="37"/>
        <v/>
      </c>
      <c r="I67" s="49" t="str">
        <f t="shared" si="37"/>
        <v/>
      </c>
      <c r="J67" s="49" t="str">
        <f t="shared" si="37"/>
        <v/>
      </c>
      <c r="K67" s="49" t="str">
        <f t="shared" si="37"/>
        <v/>
      </c>
      <c r="L67" s="49" t="str">
        <f t="shared" si="37"/>
        <v/>
      </c>
      <c r="M67" t="str">
        <f t="shared" si="37"/>
        <v/>
      </c>
      <c r="N67" t="str">
        <f t="shared" si="36"/>
        <v>If non-zero, players need to change amount(s)</v>
      </c>
    </row>
    <row r="68" spans="1:14" x14ac:dyDescent="0.35">
      <c r="A68" s="1" t="str">
        <f>IF(A66="","","   Available Water [maf]")</f>
        <v xml:space="preserve">   Available Water [maf]</v>
      </c>
      <c r="C68" s="13">
        <f>IF(OR(C$25="",$A68=""),"",C31+C49-C41+C65)</f>
        <v>6.9333458765396667</v>
      </c>
      <c r="D68" s="13">
        <f t="shared" ref="D68:L68" ca="1" si="38">IF(OR(D$25="",$A68=""),"",D31+D49-D41+D65)</f>
        <v>6.4051333052173369</v>
      </c>
      <c r="E68" s="13">
        <f t="shared" ca="1" si="38"/>
        <v>5.9011676541942792</v>
      </c>
      <c r="F68" s="13" t="str">
        <f t="shared" si="38"/>
        <v/>
      </c>
      <c r="G68" s="13" t="str">
        <f t="shared" si="38"/>
        <v/>
      </c>
      <c r="H68" s="13" t="str">
        <f t="shared" si="38"/>
        <v/>
      </c>
      <c r="I68" s="13" t="str">
        <f t="shared" si="38"/>
        <v/>
      </c>
      <c r="J68" s="13" t="str">
        <f t="shared" si="38"/>
        <v/>
      </c>
      <c r="K68" s="13" t="str">
        <f t="shared" si="38"/>
        <v/>
      </c>
      <c r="L68" s="13" t="str">
        <f t="shared" si="38"/>
        <v/>
      </c>
      <c r="N68" t="str">
        <f t="shared" si="36"/>
        <v>Available water = Account Balance + Available Inflow - Evaporation + Sales - Purchases</v>
      </c>
    </row>
    <row r="69" spans="1:14" x14ac:dyDescent="0.35">
      <c r="A69" s="1" t="str">
        <f>IF(A68="","","   Account Withdraw [maf]")</f>
        <v xml:space="preserve">   Account Withdraw [maf]</v>
      </c>
      <c r="C69" s="107">
        <f>IF(C26&lt;&gt;"",MIN(7.5-VLOOKUP(C38,MandatoryConservation!$C$5:$P$13,14),C68),"")</f>
        <v>6.9333458765396667</v>
      </c>
      <c r="D69" s="107">
        <f ca="1">IF(D26&lt;&gt;"",MIN(7.5-VLOOKUP(D38,MandatoryConservation!$C$5:$P$13,14),D68),"")</f>
        <v>6.4051333052173369</v>
      </c>
      <c r="E69" s="107">
        <f ca="1">IF(E26&lt;&gt;"",MIN(7.5-VLOOKUP(E38,MandatoryConservation!$C$5:$P$13,14),E68),"")</f>
        <v>5.9011676541942792</v>
      </c>
      <c r="F69" s="107" t="str">
        <f>IF(F26&lt;&gt;"",MIN(7.5-VLOOKUP(F38,MandatoryConservation!$C$5:$P$13,14),F68),"")</f>
        <v/>
      </c>
      <c r="G69" s="107" t="str">
        <f>IF(G26&lt;&gt;"",MIN(7.5-VLOOKUP(G38,MandatoryConservation!$C$5:$P$13,14),G68),"")</f>
        <v/>
      </c>
      <c r="H69" s="107" t="str">
        <f>IF(H26&lt;&gt;"",MIN(7.5-VLOOKUP(H38,MandatoryConservation!$C$5:$P$13,14),H68),"")</f>
        <v/>
      </c>
      <c r="I69" s="107" t="str">
        <f>IF(I26&lt;&gt;"",MIN(7.5-VLOOKUP(I38,MandatoryConservation!$C$5:$P$13,14),I68),"")</f>
        <v/>
      </c>
      <c r="J69" s="107" t="str">
        <f>IF(J26&lt;&gt;"",MIN(7.5-VLOOKUP(J38,MandatoryConservation!$C$5:$P$13,14),J68),"")</f>
        <v/>
      </c>
      <c r="K69" s="107" t="str">
        <f>IF(K26&lt;&gt;"",MIN(7.5-VLOOKUP(K38,MandatoryConservation!$C$5:$P$13,14),K68),"")</f>
        <v/>
      </c>
      <c r="L69" s="107" t="str">
        <f>IF(L26&lt;&gt;"",MIN(7.5-VLOOKUP(L38,MandatoryConservation!$C$5:$P$13,14),L68),"")</f>
        <v/>
      </c>
      <c r="N69" t="str">
        <f t="shared" si="36"/>
        <v>Must be less than Available water</v>
      </c>
    </row>
    <row r="70" spans="1:14" x14ac:dyDescent="0.35">
      <c r="A70" s="21" t="str">
        <f>IF(A69="","","   End of Year Balance [maf]")</f>
        <v xml:space="preserve">   End of Year Balance [maf]</v>
      </c>
      <c r="C70" s="48">
        <f>IF(OR(C$25="",$A70=""),"",C68-C69)</f>
        <v>0</v>
      </c>
      <c r="D70" s="48">
        <f t="shared" ref="D70:L70" ca="1" si="39">IF(OR(D$25="",$A70=""),"",D68-D69)</f>
        <v>0</v>
      </c>
      <c r="E70" s="48">
        <f t="shared" ca="1" si="39"/>
        <v>0</v>
      </c>
      <c r="F70" s="48" t="str">
        <f t="shared" si="39"/>
        <v/>
      </c>
      <c r="G70" s="48" t="str">
        <f t="shared" si="39"/>
        <v/>
      </c>
      <c r="H70" s="48" t="str">
        <f t="shared" si="39"/>
        <v/>
      </c>
      <c r="I70" s="48" t="str">
        <f t="shared" si="39"/>
        <v/>
      </c>
      <c r="J70" s="48" t="str">
        <f t="shared" si="39"/>
        <v/>
      </c>
      <c r="K70" s="48" t="str">
        <f t="shared" si="39"/>
        <v/>
      </c>
      <c r="L70" s="48" t="str">
        <f t="shared" si="39"/>
        <v/>
      </c>
      <c r="N70" t="str">
        <f t="shared" si="36"/>
        <v>Available water - Account Withdraw</v>
      </c>
    </row>
    <row r="71" spans="1:14" x14ac:dyDescent="0.35">
      <c r="C71"/>
    </row>
    <row r="72" spans="1:14" x14ac:dyDescent="0.35">
      <c r="A72" s="113" t="str">
        <f>IF(A$7="","[Unused]",A7)</f>
        <v>Mexico</v>
      </c>
      <c r="B72" s="113"/>
      <c r="C72" s="113"/>
      <c r="D72" s="113"/>
      <c r="E72" s="113"/>
      <c r="F72" s="113"/>
      <c r="G72" s="113"/>
      <c r="H72" s="113"/>
      <c r="I72" s="113"/>
      <c r="J72" s="113"/>
      <c r="K72" s="113"/>
      <c r="L72" s="113"/>
      <c r="M72" s="114" t="s">
        <v>82</v>
      </c>
      <c r="N72" s="113" t="s">
        <v>119</v>
      </c>
    </row>
    <row r="73" spans="1:14" x14ac:dyDescent="0.35">
      <c r="A73" s="21" t="str">
        <f>IF(A72="[Unused]","",$A$57)</f>
        <v xml:space="preserve">   Volume of Purchases(+) and Sales(-) [maf]</v>
      </c>
      <c r="C73" s="105"/>
      <c r="D73" s="105"/>
      <c r="E73" s="105"/>
      <c r="F73" s="105"/>
      <c r="G73" s="105"/>
      <c r="H73" s="105"/>
      <c r="I73" s="105"/>
      <c r="J73" s="105"/>
      <c r="K73" s="105"/>
      <c r="L73" s="105"/>
      <c r="M73" s="49">
        <f>SUM(C73:L73)</f>
        <v>0</v>
      </c>
      <c r="N73" t="str">
        <f>IF(A73="","",N65)</f>
        <v>Add if multiple transactions, e.g.: 0.5 + 0.25</v>
      </c>
    </row>
    <row r="74" spans="1:14" x14ac:dyDescent="0.35">
      <c r="A74" s="21" t="str">
        <f>IF(A73="","",$A$58)</f>
        <v xml:space="preserve">   Cash Payments(-) and Income(+) [$ Mill]</v>
      </c>
      <c r="C74" s="106"/>
      <c r="D74" s="106"/>
      <c r="E74" s="106"/>
      <c r="F74" s="106"/>
      <c r="G74" s="106"/>
      <c r="H74" s="106"/>
      <c r="I74" s="106"/>
      <c r="J74" s="106"/>
      <c r="K74" s="106"/>
      <c r="L74" s="106"/>
      <c r="M74" s="47">
        <f>SUM(C74:L74)</f>
        <v>0</v>
      </c>
      <c r="N74" t="str">
        <f t="shared" ref="N74:N78" si="40">IF(A74="","",N66)</f>
        <v>Add if multiple transactions, e.g.: $350*0.5 + $450*0.25</v>
      </c>
    </row>
    <row r="75" spans="1:14" x14ac:dyDescent="0.35">
      <c r="A75" s="21" t="str">
        <f>IF(A74="","","   Volume all players (should be zero)")</f>
        <v xml:space="preserve">   Volume all players (should be zero)</v>
      </c>
      <c r="C75" s="49">
        <f t="shared" ref="C75:M75" ca="1" si="41">IF(OR(C$25="",$A75=""),"",C$112)</f>
        <v>0</v>
      </c>
      <c r="D75" s="49">
        <f t="shared" ca="1" si="41"/>
        <v>0</v>
      </c>
      <c r="E75" s="49">
        <f t="shared" ca="1" si="41"/>
        <v>0</v>
      </c>
      <c r="F75" s="49" t="str">
        <f t="shared" si="41"/>
        <v/>
      </c>
      <c r="G75" s="49" t="str">
        <f t="shared" si="41"/>
        <v/>
      </c>
      <c r="H75" s="49" t="str">
        <f t="shared" si="41"/>
        <v/>
      </c>
      <c r="I75" s="49" t="str">
        <f t="shared" si="41"/>
        <v/>
      </c>
      <c r="J75" s="49" t="str">
        <f t="shared" si="41"/>
        <v/>
      </c>
      <c r="K75" s="49" t="str">
        <f t="shared" si="41"/>
        <v/>
      </c>
      <c r="L75" s="49" t="str">
        <f t="shared" si="41"/>
        <v/>
      </c>
      <c r="M75" t="str">
        <f t="shared" si="41"/>
        <v/>
      </c>
      <c r="N75" t="str">
        <f t="shared" si="40"/>
        <v>If non-zero, players need to change amount(s)</v>
      </c>
    </row>
    <row r="76" spans="1:14" x14ac:dyDescent="0.35">
      <c r="A76" s="1" t="str">
        <f>IF(A74="","","   Available Water [maf]")</f>
        <v xml:space="preserve">   Available Water [maf]</v>
      </c>
      <c r="C76" s="13">
        <f>IF(OR(C$25="",$A76=""),"",C32+C50-C42+C73)</f>
        <v>1.6129063098110585</v>
      </c>
      <c r="D76" s="13">
        <f t="shared" ref="D76:L76" ca="1" si="42">IF(OR(D$25="",$A76=""),"",D32+D50-D42+D73)</f>
        <v>1.5655280286934179</v>
      </c>
      <c r="E76" s="13">
        <f t="shared" ca="1" si="42"/>
        <v>1.4906248576634726</v>
      </c>
      <c r="F76" s="13" t="str">
        <f t="shared" si="42"/>
        <v/>
      </c>
      <c r="G76" s="13" t="str">
        <f t="shared" si="42"/>
        <v/>
      </c>
      <c r="H76" s="13" t="str">
        <f t="shared" si="42"/>
        <v/>
      </c>
      <c r="I76" s="13" t="str">
        <f t="shared" si="42"/>
        <v/>
      </c>
      <c r="J76" s="13" t="str">
        <f t="shared" si="42"/>
        <v/>
      </c>
      <c r="K76" s="13" t="str">
        <f t="shared" si="42"/>
        <v/>
      </c>
      <c r="L76" s="13" t="str">
        <f t="shared" si="42"/>
        <v/>
      </c>
      <c r="N76" t="str">
        <f t="shared" si="40"/>
        <v>Available water = Account Balance + Available Inflow - Evaporation + Sales - Purchases</v>
      </c>
    </row>
    <row r="77" spans="1:14" x14ac:dyDescent="0.35">
      <c r="A77" s="1" t="str">
        <f>IF(A76="","","   Account Withdraw [maf]")</f>
        <v xml:space="preserve">   Account Withdraw [maf]</v>
      </c>
      <c r="C77" s="107">
        <f>C46</f>
        <v>1.4473333333333334</v>
      </c>
      <c r="D77" s="107">
        <f t="shared" ref="D77:G77" ca="1" si="43">D46</f>
        <v>1.4083333333333332</v>
      </c>
      <c r="E77" s="107">
        <f t="shared" ca="1" si="43"/>
        <v>1.3423333333333334</v>
      </c>
      <c r="F77" s="107" t="str">
        <f t="shared" si="43"/>
        <v/>
      </c>
      <c r="G77" s="107" t="str">
        <f t="shared" si="43"/>
        <v/>
      </c>
      <c r="H77" s="107"/>
      <c r="I77" s="107"/>
      <c r="J77" s="107"/>
      <c r="K77" s="107"/>
      <c r="L77" s="107"/>
      <c r="N77" t="str">
        <f t="shared" si="40"/>
        <v>Must be less than Available water</v>
      </c>
    </row>
    <row r="78" spans="1:14" x14ac:dyDescent="0.35">
      <c r="A78" s="21" t="str">
        <f>IF(A77="","","   End of Year Balance [maf]")</f>
        <v xml:space="preserve">   End of Year Balance [maf]</v>
      </c>
      <c r="C78" s="48">
        <f>IF(OR(C$25="",$A78=""),"",C76-C77)</f>
        <v>0.16557297647772518</v>
      </c>
      <c r="D78" s="48">
        <f t="shared" ref="D78:L78" ca="1" si="44">IF(OR(D$25="",$A78=""),"",D76-D77)</f>
        <v>0.15719469536008468</v>
      </c>
      <c r="E78" s="48">
        <f t="shared" ca="1" si="44"/>
        <v>0.14829152433013926</v>
      </c>
      <c r="F78" s="48" t="str">
        <f t="shared" si="44"/>
        <v/>
      </c>
      <c r="G78" s="48" t="str">
        <f t="shared" si="44"/>
        <v/>
      </c>
      <c r="H78" s="48" t="str">
        <f t="shared" si="44"/>
        <v/>
      </c>
      <c r="I78" s="48" t="str">
        <f t="shared" si="44"/>
        <v/>
      </c>
      <c r="J78" s="48" t="str">
        <f t="shared" si="44"/>
        <v/>
      </c>
      <c r="K78" s="48" t="str">
        <f t="shared" si="44"/>
        <v/>
      </c>
      <c r="L78" s="48" t="str">
        <f t="shared" si="44"/>
        <v/>
      </c>
      <c r="N78" t="str">
        <f t="shared" si="40"/>
        <v>Available water - Account Withdraw</v>
      </c>
    </row>
    <row r="79" spans="1:14" x14ac:dyDescent="0.35">
      <c r="C79"/>
    </row>
    <row r="80" spans="1:14" x14ac:dyDescent="0.35">
      <c r="A80" s="113" t="str">
        <f>IF(A$8="","[Unused]",A8)</f>
        <v>Colorado River Delta</v>
      </c>
      <c r="B80" s="113"/>
      <c r="C80" s="113"/>
      <c r="D80" s="113"/>
      <c r="E80" s="113"/>
      <c r="F80" s="113"/>
      <c r="G80" s="113"/>
      <c r="H80" s="113"/>
      <c r="I80" s="113"/>
      <c r="J80" s="113"/>
      <c r="K80" s="113"/>
      <c r="L80" s="113"/>
      <c r="M80" s="114" t="s">
        <v>82</v>
      </c>
      <c r="N80" s="113" t="s">
        <v>119</v>
      </c>
    </row>
    <row r="81" spans="1:14" x14ac:dyDescent="0.35">
      <c r="A81" s="21" t="str">
        <f>IF(A80="[Unused]","",$A$57)</f>
        <v xml:space="preserve">   Volume of Purchases(+) and Sales(-) [maf]</v>
      </c>
      <c r="C81" s="105"/>
      <c r="D81" s="105"/>
      <c r="E81" s="105"/>
      <c r="F81" s="105"/>
      <c r="G81" s="105"/>
      <c r="H81" s="105"/>
      <c r="I81" s="105"/>
      <c r="J81" s="105"/>
      <c r="K81" s="105"/>
      <c r="L81" s="105"/>
      <c r="M81" s="49">
        <f>SUM(C81:L81)</f>
        <v>0</v>
      </c>
      <c r="N81" t="str">
        <f>IF(A81="","",N73)</f>
        <v>Add if multiple transactions, e.g.: 0.5 + 0.25</v>
      </c>
    </row>
    <row r="82" spans="1:14" x14ac:dyDescent="0.35">
      <c r="A82" s="21" t="str">
        <f>IF(A81="","",$A$58)</f>
        <v xml:space="preserve">   Cash Payments(-) and Income(+) [$ Mill]</v>
      </c>
      <c r="C82" s="106"/>
      <c r="D82" s="106"/>
      <c r="E82" s="106"/>
      <c r="F82" s="106"/>
      <c r="G82" s="106"/>
      <c r="H82" s="106"/>
      <c r="I82" s="106"/>
      <c r="J82" s="106"/>
      <c r="K82" s="106"/>
      <c r="L82" s="106"/>
      <c r="M82" s="47">
        <f>SUM(C82:L82)</f>
        <v>0</v>
      </c>
      <c r="N82" t="str">
        <f t="shared" ref="N82:N86" si="45">IF(A82="","",N74)</f>
        <v>Add if multiple transactions, e.g.: $350*0.5 + $450*0.25</v>
      </c>
    </row>
    <row r="83" spans="1:14" x14ac:dyDescent="0.35">
      <c r="A83" s="21" t="str">
        <f>IF(A82="","","   Volume all players (should be zero)")</f>
        <v xml:space="preserve">   Volume all players (should be zero)</v>
      </c>
      <c r="C83" s="49">
        <f t="shared" ref="C83:M83" ca="1" si="46">IF(OR(C$25="",$A83=""),"",C$112)</f>
        <v>0</v>
      </c>
      <c r="D83" s="49">
        <f t="shared" ca="1" si="46"/>
        <v>0</v>
      </c>
      <c r="E83" s="49">
        <f t="shared" ca="1" si="46"/>
        <v>0</v>
      </c>
      <c r="F83" s="49" t="str">
        <f t="shared" si="46"/>
        <v/>
      </c>
      <c r="G83" s="49" t="str">
        <f t="shared" si="46"/>
        <v/>
      </c>
      <c r="H83" s="49" t="str">
        <f t="shared" si="46"/>
        <v/>
      </c>
      <c r="I83" s="49" t="str">
        <f t="shared" si="46"/>
        <v/>
      </c>
      <c r="J83" s="49" t="str">
        <f t="shared" si="46"/>
        <v/>
      </c>
      <c r="K83" s="49" t="str">
        <f t="shared" si="46"/>
        <v/>
      </c>
      <c r="L83" s="49" t="str">
        <f t="shared" si="46"/>
        <v/>
      </c>
      <c r="M83" t="str">
        <f t="shared" si="46"/>
        <v/>
      </c>
      <c r="N83" t="str">
        <f t="shared" si="45"/>
        <v>If non-zero, players need to change amount(s)</v>
      </c>
    </row>
    <row r="84" spans="1:14" x14ac:dyDescent="0.35">
      <c r="A84" s="1" t="str">
        <f>IF(A82="","","   Available Water [maf]")</f>
        <v xml:space="preserve">   Available Water [maf]</v>
      </c>
      <c r="C84" s="137">
        <f>IF(OR(C$25="",$A84=""),"",C33+C51-C43+C81)</f>
        <v>1.5555555555555553E-2</v>
      </c>
      <c r="D84" s="137">
        <f t="shared" ref="D84:L84" ca="1" si="47">IF(OR(D$25="",$A84=""),"",D33+D51-D43+D81)</f>
        <v>3.0323972894730409E-2</v>
      </c>
      <c r="E84" s="137">
        <f t="shared" ca="1" si="47"/>
        <v>4.416204354170955E-2</v>
      </c>
      <c r="F84" s="137" t="str">
        <f t="shared" si="47"/>
        <v/>
      </c>
      <c r="G84" s="137" t="str">
        <f t="shared" si="47"/>
        <v/>
      </c>
      <c r="H84" s="137" t="str">
        <f t="shared" si="47"/>
        <v/>
      </c>
      <c r="I84" s="137" t="str">
        <f t="shared" si="47"/>
        <v/>
      </c>
      <c r="J84" s="137" t="str">
        <f t="shared" si="47"/>
        <v/>
      </c>
      <c r="K84" s="137" t="str">
        <f t="shared" si="47"/>
        <v/>
      </c>
      <c r="L84" s="137" t="str">
        <f t="shared" si="47"/>
        <v/>
      </c>
      <c r="N84" t="str">
        <f t="shared" si="45"/>
        <v>Available water = Account Balance + Available Inflow - Evaporation + Sales - Purchases</v>
      </c>
    </row>
    <row r="85" spans="1:14" x14ac:dyDescent="0.35">
      <c r="A85" s="1" t="str">
        <f>IF(A84="","","   Account Withdraw [maf]")</f>
        <v xml:space="preserve">   Account Withdraw [maf]</v>
      </c>
      <c r="C85" s="141">
        <f>IF(OR(C$25="",$A84=""),"",IF(C84&gt;=0.06,0.06,0))</f>
        <v>0</v>
      </c>
      <c r="D85" s="141">
        <f t="shared" ref="D85:L85" ca="1" si="48">IF(OR(D$25="",$A84=""),"",IF(D84&gt;=0.06,0.06,0))</f>
        <v>0</v>
      </c>
      <c r="E85" s="141">
        <f t="shared" ca="1" si="48"/>
        <v>0</v>
      </c>
      <c r="F85" s="141" t="str">
        <f t="shared" si="48"/>
        <v/>
      </c>
      <c r="G85" s="141" t="str">
        <f t="shared" si="48"/>
        <v/>
      </c>
      <c r="H85" s="141" t="str">
        <f t="shared" si="48"/>
        <v/>
      </c>
      <c r="I85" s="141" t="str">
        <f t="shared" si="48"/>
        <v/>
      </c>
      <c r="J85" s="141" t="str">
        <f t="shared" si="48"/>
        <v/>
      </c>
      <c r="K85" s="141" t="str">
        <f t="shared" si="48"/>
        <v/>
      </c>
      <c r="L85" s="141" t="str">
        <f t="shared" si="48"/>
        <v/>
      </c>
      <c r="N85" t="str">
        <f t="shared" si="45"/>
        <v>Must be less than Available water</v>
      </c>
    </row>
    <row r="86" spans="1:14" x14ac:dyDescent="0.35">
      <c r="A86" s="21" t="str">
        <f>IF(A85="","","   End of Year Balance [maf]")</f>
        <v xml:space="preserve">   End of Year Balance [maf]</v>
      </c>
      <c r="C86" s="140">
        <f>IF(OR(C$25="",$A86=""),"",C84-C85)</f>
        <v>1.5555555555555553E-2</v>
      </c>
      <c r="D86" s="140">
        <f t="shared" ref="D86:L86" ca="1" si="49">IF(OR(D$25="",$A86=""),"",D84-D85)</f>
        <v>3.0323972894730409E-2</v>
      </c>
      <c r="E86" s="140">
        <f t="shared" ca="1" si="49"/>
        <v>4.416204354170955E-2</v>
      </c>
      <c r="F86" s="140" t="str">
        <f t="shared" si="49"/>
        <v/>
      </c>
      <c r="G86" s="140" t="str">
        <f t="shared" si="49"/>
        <v/>
      </c>
      <c r="H86" s="140" t="str">
        <f t="shared" si="49"/>
        <v/>
      </c>
      <c r="I86" s="140" t="str">
        <f t="shared" si="49"/>
        <v/>
      </c>
      <c r="J86" s="140" t="str">
        <f t="shared" si="49"/>
        <v/>
      </c>
      <c r="K86" s="140" t="str">
        <f t="shared" si="49"/>
        <v/>
      </c>
      <c r="L86" s="140" t="str">
        <f t="shared" si="49"/>
        <v/>
      </c>
      <c r="N86" t="str">
        <f t="shared" si="45"/>
        <v>Available water - Account Withdraw</v>
      </c>
    </row>
    <row r="87" spans="1:14" x14ac:dyDescent="0.35">
      <c r="C87"/>
    </row>
    <row r="88" spans="1:14" x14ac:dyDescent="0.35">
      <c r="A88" s="139" t="str">
        <f>IF(A$9="","[Unused]",A9)</f>
        <v>[Unused]</v>
      </c>
      <c r="B88" s="113"/>
      <c r="C88" s="113"/>
      <c r="D88" s="113"/>
      <c r="E88" s="113"/>
      <c r="F88" s="113"/>
      <c r="G88" s="113"/>
      <c r="H88" s="113"/>
      <c r="I88" s="113"/>
      <c r="J88" s="113"/>
      <c r="K88" s="113"/>
      <c r="L88" s="113"/>
      <c r="M88" s="114" t="s">
        <v>82</v>
      </c>
      <c r="N88" s="113" t="s">
        <v>119</v>
      </c>
    </row>
    <row r="89" spans="1:14" x14ac:dyDescent="0.35">
      <c r="A89" s="21" t="str">
        <f>IF(A88="[Unused]","","   Volume of Sales(+) and Purchases(-) [maf]")</f>
        <v/>
      </c>
      <c r="C89" s="105"/>
      <c r="D89" s="105"/>
      <c r="E89" s="105"/>
      <c r="F89" s="105"/>
      <c r="G89" s="105"/>
      <c r="H89" s="105"/>
      <c r="I89" s="105"/>
      <c r="J89" s="105"/>
      <c r="K89" s="105"/>
      <c r="L89" s="105"/>
      <c r="M89" s="49">
        <f>SUM(C89:L89)</f>
        <v>0</v>
      </c>
      <c r="N89" t="str">
        <f>IF(A89="","",N81)</f>
        <v/>
      </c>
    </row>
    <row r="90" spans="1:14" x14ac:dyDescent="0.35">
      <c r="A90" s="21" t="str">
        <f>IF(A89="","","   Cash Intake(+) and Payments(-) [$ Mill]")</f>
        <v/>
      </c>
      <c r="C90" s="106"/>
      <c r="D90" s="106"/>
      <c r="E90" s="106"/>
      <c r="F90" s="106"/>
      <c r="G90" s="106"/>
      <c r="H90" s="106"/>
      <c r="I90" s="106"/>
      <c r="J90" s="106"/>
      <c r="K90" s="106"/>
      <c r="L90" s="106"/>
      <c r="M90" s="47">
        <f>SUM(C90:L90)</f>
        <v>0</v>
      </c>
      <c r="N90" t="str">
        <f t="shared" ref="N90:N94" si="50">IF(A90="","",N82)</f>
        <v/>
      </c>
    </row>
    <row r="91" spans="1:14" x14ac:dyDescent="0.35">
      <c r="A91" s="21" t="str">
        <f>IF(A90="","","   Volume all players (should be zero)")</f>
        <v/>
      </c>
      <c r="C91" s="49" t="str">
        <f t="shared" ref="C91:M91" si="51">IF(OR(C$25="",$A91=""),"",C$112)</f>
        <v/>
      </c>
      <c r="D91" s="49" t="str">
        <f t="shared" si="51"/>
        <v/>
      </c>
      <c r="E91" s="49" t="str">
        <f t="shared" si="51"/>
        <v/>
      </c>
      <c r="F91" s="49" t="str">
        <f t="shared" si="51"/>
        <v/>
      </c>
      <c r="G91" s="49" t="str">
        <f t="shared" si="51"/>
        <v/>
      </c>
      <c r="H91" s="49" t="str">
        <f t="shared" si="51"/>
        <v/>
      </c>
      <c r="I91" s="49" t="str">
        <f t="shared" si="51"/>
        <v/>
      </c>
      <c r="J91" s="49" t="str">
        <f t="shared" si="51"/>
        <v/>
      </c>
      <c r="K91" s="49" t="str">
        <f t="shared" si="51"/>
        <v/>
      </c>
      <c r="L91" s="49" t="str">
        <f t="shared" si="51"/>
        <v/>
      </c>
      <c r="M91" t="str">
        <f t="shared" si="51"/>
        <v/>
      </c>
      <c r="N91" t="str">
        <f t="shared" si="50"/>
        <v/>
      </c>
    </row>
    <row r="92" spans="1:14" x14ac:dyDescent="0.35">
      <c r="A92" s="1" t="str">
        <f>IF(A90="","","   Available Water [maf]")</f>
        <v/>
      </c>
      <c r="C92" s="13" t="str">
        <f>IF(OR(C$25="",$A92=""),"",C34+C52-C44+C89)</f>
        <v/>
      </c>
      <c r="D92" s="13" t="str">
        <f t="shared" ref="D92:L92" si="52">IF(OR(D$25="",$A92=""),"",D34+D52-D44+D89)</f>
        <v/>
      </c>
      <c r="E92" s="13" t="str">
        <f t="shared" si="52"/>
        <v/>
      </c>
      <c r="F92" s="13" t="str">
        <f t="shared" si="52"/>
        <v/>
      </c>
      <c r="G92" s="13" t="str">
        <f t="shared" si="52"/>
        <v/>
      </c>
      <c r="H92" s="13" t="str">
        <f t="shared" si="52"/>
        <v/>
      </c>
      <c r="I92" s="13" t="str">
        <f t="shared" si="52"/>
        <v/>
      </c>
      <c r="J92" s="13" t="str">
        <f t="shared" si="52"/>
        <v/>
      </c>
      <c r="K92" s="13" t="str">
        <f t="shared" si="52"/>
        <v/>
      </c>
      <c r="L92" s="13" t="str">
        <f t="shared" si="52"/>
        <v/>
      </c>
      <c r="N92" t="str">
        <f t="shared" si="50"/>
        <v/>
      </c>
    </row>
    <row r="93" spans="1:14" x14ac:dyDescent="0.35">
      <c r="A93" s="1" t="str">
        <f>IF(A92="","","   Account Withdraw [maf]")</f>
        <v/>
      </c>
      <c r="C93" s="107"/>
      <c r="D93" s="107"/>
      <c r="E93" s="107"/>
      <c r="F93" s="107"/>
      <c r="G93" s="107"/>
      <c r="H93" s="107"/>
      <c r="I93" s="107"/>
      <c r="J93" s="107"/>
      <c r="K93" s="107"/>
      <c r="L93" s="107"/>
      <c r="N93" t="str">
        <f t="shared" si="50"/>
        <v/>
      </c>
    </row>
    <row r="94" spans="1:14" x14ac:dyDescent="0.35">
      <c r="A94" s="21" t="str">
        <f>IF(A93="","","   End of Year Balance [maf]")</f>
        <v/>
      </c>
      <c r="C94" s="48" t="str">
        <f>IF(OR(C$25="",$A94=""),"",C92-C93)</f>
        <v/>
      </c>
      <c r="D94" s="48" t="str">
        <f t="shared" ref="D94:L94" si="53">IF(OR(D$25="",$A94=""),"",D92-D93)</f>
        <v/>
      </c>
      <c r="E94" s="48" t="str">
        <f t="shared" si="53"/>
        <v/>
      </c>
      <c r="F94" s="48" t="str">
        <f t="shared" si="53"/>
        <v/>
      </c>
      <c r="G94" s="48" t="str">
        <f t="shared" si="53"/>
        <v/>
      </c>
      <c r="H94" s="48" t="str">
        <f t="shared" si="53"/>
        <v/>
      </c>
      <c r="I94" s="48" t="str">
        <f t="shared" si="53"/>
        <v/>
      </c>
      <c r="J94" s="48" t="str">
        <f t="shared" si="53"/>
        <v/>
      </c>
      <c r="K94" s="48" t="str">
        <f t="shared" si="53"/>
        <v/>
      </c>
      <c r="L94" s="48" t="str">
        <f t="shared" si="53"/>
        <v/>
      </c>
      <c r="N94" t="str">
        <f t="shared" si="50"/>
        <v/>
      </c>
    </row>
    <row r="95" spans="1:14" x14ac:dyDescent="0.35">
      <c r="C95"/>
    </row>
    <row r="96" spans="1:14" x14ac:dyDescent="0.35">
      <c r="A96" s="139" t="str">
        <f>IF(A$10="","[Unused]",A10)</f>
        <v>Shared, Reserve</v>
      </c>
      <c r="B96" s="113"/>
      <c r="C96" s="113"/>
      <c r="D96" s="113"/>
      <c r="E96" s="113"/>
      <c r="F96" s="113"/>
      <c r="G96" s="113"/>
      <c r="H96" s="113"/>
      <c r="I96" s="113"/>
      <c r="J96" s="113"/>
      <c r="K96" s="113"/>
      <c r="L96" s="113"/>
      <c r="M96" s="114" t="s">
        <v>82</v>
      </c>
      <c r="N96" s="113" t="s">
        <v>119</v>
      </c>
    </row>
    <row r="97" spans="1:14" x14ac:dyDescent="0.35">
      <c r="A97" s="21" t="str">
        <f>IF(A96="[Unused]","",$A$57)</f>
        <v xml:space="preserve">   Volume of Purchases(+) and Sales(-) [maf]</v>
      </c>
      <c r="C97" s="105"/>
      <c r="D97" s="105"/>
      <c r="E97" s="105"/>
      <c r="F97" s="105"/>
      <c r="G97" s="105"/>
      <c r="H97" s="105"/>
      <c r="I97" s="105"/>
      <c r="J97" s="105"/>
      <c r="K97" s="105"/>
      <c r="L97" s="105"/>
      <c r="M97" s="49">
        <f>SUM(C97:L97)</f>
        <v>0</v>
      </c>
      <c r="N97" t="str">
        <f>IF(A97="","",N89)</f>
        <v/>
      </c>
    </row>
    <row r="98" spans="1:14" x14ac:dyDescent="0.35">
      <c r="A98" s="21" t="str">
        <f>IF(A97="","",$A$58)</f>
        <v xml:space="preserve">   Cash Payments(-) and Income(+) [$ Mill]</v>
      </c>
      <c r="C98" s="106"/>
      <c r="D98" s="106"/>
      <c r="E98" s="106"/>
      <c r="F98" s="106"/>
      <c r="G98" s="106"/>
      <c r="H98" s="106"/>
      <c r="I98" s="106"/>
      <c r="J98" s="106"/>
      <c r="K98" s="106"/>
      <c r="L98" s="106"/>
      <c r="M98" s="47">
        <f>SUM(C98:L98)</f>
        <v>0</v>
      </c>
      <c r="N98" t="str">
        <f t="shared" ref="N98:N102" si="54">IF(A98="","",N90)</f>
        <v/>
      </c>
    </row>
    <row r="99" spans="1:14" x14ac:dyDescent="0.35">
      <c r="A99" s="21" t="str">
        <f>IF(A98="","","   Volume all players (should be zero)")</f>
        <v xml:space="preserve">   Volume all players (should be zero)</v>
      </c>
      <c r="C99" s="49">
        <f t="shared" ref="C99:M99" ca="1" si="55">IF(OR(C$25="",$A99=""),"",C$112)</f>
        <v>0</v>
      </c>
      <c r="D99" s="49">
        <f t="shared" ca="1" si="55"/>
        <v>0</v>
      </c>
      <c r="E99" s="49">
        <f t="shared" ca="1" si="55"/>
        <v>0</v>
      </c>
      <c r="F99" s="49" t="str">
        <f t="shared" si="55"/>
        <v/>
      </c>
      <c r="G99" s="49" t="str">
        <f t="shared" si="55"/>
        <v/>
      </c>
      <c r="H99" s="49" t="str">
        <f t="shared" si="55"/>
        <v/>
      </c>
      <c r="I99" s="49" t="str">
        <f t="shared" si="55"/>
        <v/>
      </c>
      <c r="J99" s="49" t="str">
        <f t="shared" si="55"/>
        <v/>
      </c>
      <c r="K99" s="49" t="str">
        <f t="shared" si="55"/>
        <v/>
      </c>
      <c r="L99" s="49" t="str">
        <f t="shared" si="55"/>
        <v/>
      </c>
      <c r="M99" t="str">
        <f t="shared" si="55"/>
        <v/>
      </c>
      <c r="N99" t="str">
        <f t="shared" si="54"/>
        <v/>
      </c>
    </row>
    <row r="100" spans="1:14" x14ac:dyDescent="0.35">
      <c r="A100" s="1" t="str">
        <f>IF(A98="","","   Available Water [maf]")</f>
        <v xml:space="preserve">   Available Water [maf]</v>
      </c>
      <c r="C100" s="13">
        <f>IF(OR(C$25="",$A100=""),"",C35+C53-C45+C97)</f>
        <v>11.59116925</v>
      </c>
      <c r="D100" s="13">
        <f t="shared" ref="D100:L100" ca="1" si="56">IF(OR(D$25="",$A100=""),"",D35+D53-D45+D97)</f>
        <v>11.59116925</v>
      </c>
      <c r="E100" s="13">
        <f t="shared" ca="1" si="56"/>
        <v>11.59116925</v>
      </c>
      <c r="F100" s="13" t="str">
        <f t="shared" si="56"/>
        <v/>
      </c>
      <c r="G100" s="13" t="str">
        <f t="shared" si="56"/>
        <v/>
      </c>
      <c r="H100" s="13" t="str">
        <f t="shared" si="56"/>
        <v/>
      </c>
      <c r="I100" s="13" t="str">
        <f t="shared" si="56"/>
        <v/>
      </c>
      <c r="J100" s="13" t="str">
        <f t="shared" si="56"/>
        <v/>
      </c>
      <c r="K100" s="13" t="str">
        <f t="shared" si="56"/>
        <v/>
      </c>
      <c r="L100" s="13" t="str">
        <f t="shared" si="56"/>
        <v/>
      </c>
      <c r="N100" t="str">
        <f t="shared" si="54"/>
        <v/>
      </c>
    </row>
    <row r="101" spans="1:14" x14ac:dyDescent="0.35">
      <c r="A101" s="1" t="str">
        <f>IF(A100="","","   Account Withdraw [maf]")</f>
        <v xml:space="preserve">   Account Withdraw [maf]</v>
      </c>
      <c r="C101" s="107"/>
      <c r="D101" s="107"/>
      <c r="E101" s="107"/>
      <c r="F101" s="107"/>
      <c r="G101" s="107"/>
      <c r="H101" s="107"/>
      <c r="I101" s="107"/>
      <c r="J101" s="107"/>
      <c r="K101" s="107"/>
      <c r="L101" s="107"/>
      <c r="N101" t="str">
        <f t="shared" si="54"/>
        <v/>
      </c>
    </row>
    <row r="102" spans="1:14" x14ac:dyDescent="0.35">
      <c r="A102" s="21" t="str">
        <f>IF(A101="","","   End of Year Balance [maf]")</f>
        <v xml:space="preserve">   End of Year Balance [maf]</v>
      </c>
      <c r="C102" s="48">
        <f>IF(OR(C$25="",$A102=""),"",C100-C101)</f>
        <v>11.59116925</v>
      </c>
      <c r="D102" s="48">
        <f t="shared" ref="D102:L102" ca="1" si="57">IF(OR(D$25="",$A102=""),"",D100-D101)</f>
        <v>11.59116925</v>
      </c>
      <c r="E102" s="48">
        <f t="shared" ca="1" si="57"/>
        <v>11.59116925</v>
      </c>
      <c r="F102" s="48" t="str">
        <f t="shared" si="57"/>
        <v/>
      </c>
      <c r="G102" s="48" t="str">
        <f t="shared" si="57"/>
        <v/>
      </c>
      <c r="H102" s="48" t="str">
        <f t="shared" si="57"/>
        <v/>
      </c>
      <c r="I102" s="48" t="str">
        <f t="shared" si="57"/>
        <v/>
      </c>
      <c r="J102" s="48" t="str">
        <f t="shared" si="57"/>
        <v/>
      </c>
      <c r="K102" s="48" t="str">
        <f t="shared" si="57"/>
        <v/>
      </c>
      <c r="L102" s="48" t="str">
        <f t="shared" si="57"/>
        <v/>
      </c>
      <c r="N102" t="str">
        <f t="shared" si="54"/>
        <v/>
      </c>
    </row>
    <row r="103" spans="1:14" x14ac:dyDescent="0.35">
      <c r="C103"/>
    </row>
    <row r="104" spans="1:14" x14ac:dyDescent="0.35">
      <c r="A104" s="115" t="s">
        <v>130</v>
      </c>
      <c r="B104" s="115"/>
      <c r="C104" s="115"/>
      <c r="D104" s="115"/>
      <c r="E104" s="115"/>
      <c r="F104" s="115"/>
      <c r="G104" s="115"/>
      <c r="H104" s="115"/>
      <c r="I104" s="115"/>
      <c r="J104" s="115"/>
      <c r="K104" s="115"/>
      <c r="L104" s="115"/>
      <c r="M104" s="115"/>
      <c r="N104" s="115"/>
    </row>
    <row r="105" spans="1:14" x14ac:dyDescent="0.35">
      <c r="A105" s="1" t="s">
        <v>260</v>
      </c>
      <c r="C105"/>
      <c r="M105" t="s">
        <v>129</v>
      </c>
      <c r="N105" t="s">
        <v>103</v>
      </c>
    </row>
    <row r="106" spans="1:14" x14ac:dyDescent="0.35">
      <c r="A106" t="str">
        <f t="shared" ref="A106:A111" si="58">IF(A5="","","    "&amp;A5)</f>
        <v xml:space="preserve">    Upper Basin</v>
      </c>
      <c r="B106" s="1"/>
      <c r="C106" s="49">
        <f t="shared" ref="C106:L106" ca="1" si="59">IF(OR(C$25="",$A106=""),"",OFFSET(C$57,8*(ROW(B106)-ROW(B$106)),0))</f>
        <v>0</v>
      </c>
      <c r="D106" s="49">
        <f t="shared" ca="1" si="59"/>
        <v>0</v>
      </c>
      <c r="E106" s="49">
        <f t="shared" ca="1" si="59"/>
        <v>0</v>
      </c>
      <c r="F106" s="49" t="str">
        <f t="shared" ca="1" si="59"/>
        <v/>
      </c>
      <c r="G106" s="49" t="str">
        <f t="shared" ca="1" si="59"/>
        <v/>
      </c>
      <c r="H106" s="49" t="str">
        <f t="shared" ca="1" si="59"/>
        <v/>
      </c>
      <c r="I106" s="49" t="str">
        <f t="shared" ca="1" si="59"/>
        <v/>
      </c>
      <c r="J106" s="49" t="str">
        <f t="shared" ca="1" si="59"/>
        <v/>
      </c>
      <c r="K106" s="49" t="str">
        <f t="shared" ca="1" si="59"/>
        <v/>
      </c>
      <c r="L106" s="49" t="str">
        <f t="shared" ca="1" si="59"/>
        <v/>
      </c>
      <c r="M106" s="49">
        <f ca="1">IF(OR($A106=""),"",SUM(C106:L106))</f>
        <v>0</v>
      </c>
      <c r="N106" s="47">
        <f>IF(OR($A106=""),"",M58)</f>
        <v>0</v>
      </c>
    </row>
    <row r="107" spans="1:14" x14ac:dyDescent="0.35">
      <c r="A107" t="str">
        <f t="shared" si="58"/>
        <v xml:space="preserve">    Lower Basin</v>
      </c>
      <c r="B107" s="1"/>
      <c r="C107" s="49">
        <f t="shared" ref="C107:L107" ca="1" si="60">IF(OR(C$25="",$A107=""),"",OFFSET(C$57,8*(ROW(B107)-ROW(B$106)),0))</f>
        <v>0</v>
      </c>
      <c r="D107" s="49">
        <f t="shared" ca="1" si="60"/>
        <v>0</v>
      </c>
      <c r="E107" s="49">
        <f t="shared" ca="1" si="60"/>
        <v>0</v>
      </c>
      <c r="F107" s="49" t="str">
        <f t="shared" ca="1" si="60"/>
        <v/>
      </c>
      <c r="G107" s="49" t="str">
        <f t="shared" ca="1" si="60"/>
        <v/>
      </c>
      <c r="H107" s="49" t="str">
        <f t="shared" ca="1" si="60"/>
        <v/>
      </c>
      <c r="I107" s="49" t="str">
        <f t="shared" ca="1" si="60"/>
        <v/>
      </c>
      <c r="J107" s="49" t="str">
        <f t="shared" ca="1" si="60"/>
        <v/>
      </c>
      <c r="K107" s="49" t="str">
        <f t="shared" ca="1" si="60"/>
        <v/>
      </c>
      <c r="L107" s="49" t="str">
        <f t="shared" ca="1" si="60"/>
        <v/>
      </c>
      <c r="M107" s="49">
        <f t="shared" ref="M107:M111" ca="1" si="61">IF(OR($A107=""),"",SUM(C107:L107))</f>
        <v>0</v>
      </c>
      <c r="N107" s="47">
        <f>IF(OR($A107=""),"",M66)</f>
        <v>0</v>
      </c>
    </row>
    <row r="108" spans="1:14" x14ac:dyDescent="0.35">
      <c r="A108" t="str">
        <f t="shared" si="58"/>
        <v xml:space="preserve">    Mexico</v>
      </c>
      <c r="B108" s="1"/>
      <c r="C108" s="49">
        <f t="shared" ref="C108:L108" ca="1" si="62">IF(OR(C$25="",$A108=""),"",OFFSET(C$57,8*(ROW(B108)-ROW(B$106)),0))</f>
        <v>0</v>
      </c>
      <c r="D108" s="49">
        <f t="shared" ca="1" si="62"/>
        <v>0</v>
      </c>
      <c r="E108" s="49">
        <f t="shared" ca="1" si="62"/>
        <v>0</v>
      </c>
      <c r="F108" s="49" t="str">
        <f t="shared" ca="1" si="62"/>
        <v/>
      </c>
      <c r="G108" s="49" t="str">
        <f t="shared" ca="1" si="62"/>
        <v/>
      </c>
      <c r="H108" s="49" t="str">
        <f t="shared" ca="1" si="62"/>
        <v/>
      </c>
      <c r="I108" s="49" t="str">
        <f t="shared" ca="1" si="62"/>
        <v/>
      </c>
      <c r="J108" s="49" t="str">
        <f t="shared" ca="1" si="62"/>
        <v/>
      </c>
      <c r="K108" s="49" t="str">
        <f t="shared" ca="1" si="62"/>
        <v/>
      </c>
      <c r="L108" s="49" t="str">
        <f t="shared" ca="1" si="62"/>
        <v/>
      </c>
      <c r="M108" s="49">
        <f t="shared" ca="1" si="61"/>
        <v>0</v>
      </c>
      <c r="N108" s="47">
        <f>IF(OR($A108=""),"",M74)</f>
        <v>0</v>
      </c>
    </row>
    <row r="109" spans="1:14" x14ac:dyDescent="0.35">
      <c r="A109" t="str">
        <f t="shared" si="58"/>
        <v xml:space="preserve">    Colorado River Delta</v>
      </c>
      <c r="B109" s="1"/>
      <c r="C109" s="49">
        <f t="shared" ref="C109:L109" ca="1" si="63">IF(OR(C$25="",$A109=""),"",OFFSET(C$57,8*(ROW(B109)-ROW(B$106)),0))</f>
        <v>0</v>
      </c>
      <c r="D109" s="49">
        <f t="shared" ca="1" si="63"/>
        <v>0</v>
      </c>
      <c r="E109" s="49">
        <f t="shared" ca="1" si="63"/>
        <v>0</v>
      </c>
      <c r="F109" s="49" t="str">
        <f t="shared" ca="1" si="63"/>
        <v/>
      </c>
      <c r="G109" s="49" t="str">
        <f t="shared" ca="1" si="63"/>
        <v/>
      </c>
      <c r="H109" s="49" t="str">
        <f t="shared" ca="1" si="63"/>
        <v/>
      </c>
      <c r="I109" s="49" t="str">
        <f t="shared" ca="1" si="63"/>
        <v/>
      </c>
      <c r="J109" s="49" t="str">
        <f t="shared" ca="1" si="63"/>
        <v/>
      </c>
      <c r="K109" s="49" t="str">
        <f t="shared" ca="1" si="63"/>
        <v/>
      </c>
      <c r="L109" s="49" t="str">
        <f t="shared" ca="1" si="63"/>
        <v/>
      </c>
      <c r="M109" s="49">
        <f t="shared" ca="1" si="61"/>
        <v>0</v>
      </c>
      <c r="N109" s="47">
        <f>IF(OR($A109=""),"",M82)</f>
        <v>0</v>
      </c>
    </row>
    <row r="110" spans="1:14" x14ac:dyDescent="0.35">
      <c r="A110" t="str">
        <f t="shared" si="58"/>
        <v/>
      </c>
      <c r="B110" s="1"/>
      <c r="C110" s="49" t="str">
        <f t="shared" ref="C110:L110" ca="1" si="64">IF(OR(C$25="",$A110=""),"",OFFSET(C$57,8*(ROW(B110)-ROW(B$106)),0))</f>
        <v/>
      </c>
      <c r="D110" s="49" t="str">
        <f t="shared" ca="1" si="64"/>
        <v/>
      </c>
      <c r="E110" s="49" t="str">
        <f t="shared" ca="1" si="64"/>
        <v/>
      </c>
      <c r="F110" s="49" t="str">
        <f t="shared" ca="1" si="64"/>
        <v/>
      </c>
      <c r="G110" s="49" t="str">
        <f t="shared" ca="1" si="64"/>
        <v/>
      </c>
      <c r="H110" s="49" t="str">
        <f t="shared" ca="1" si="64"/>
        <v/>
      </c>
      <c r="I110" s="49" t="str">
        <f t="shared" ca="1" si="64"/>
        <v/>
      </c>
      <c r="J110" s="49" t="str">
        <f t="shared" ca="1" si="64"/>
        <v/>
      </c>
      <c r="K110" s="49" t="str">
        <f t="shared" ca="1" si="64"/>
        <v/>
      </c>
      <c r="L110" s="49" t="str">
        <f t="shared" ca="1" si="64"/>
        <v/>
      </c>
      <c r="M110" s="49" t="str">
        <f t="shared" si="61"/>
        <v/>
      </c>
      <c r="N110" s="47" t="str">
        <f>IF(OR($A110=""),"",M90)</f>
        <v/>
      </c>
    </row>
    <row r="111" spans="1:14" x14ac:dyDescent="0.35">
      <c r="A111" t="str">
        <f t="shared" si="58"/>
        <v xml:space="preserve">    Shared, Reserve</v>
      </c>
      <c r="B111" s="1"/>
      <c r="C111" s="49">
        <f t="shared" ref="C111:L111" ca="1" si="65">IF(OR(C$25="",$A111=""),"",OFFSET(C$57,8*(ROW(B111)-ROW(B$106)),0))</f>
        <v>0</v>
      </c>
      <c r="D111" s="49">
        <f t="shared" ca="1" si="65"/>
        <v>0</v>
      </c>
      <c r="E111" s="49">
        <f t="shared" ca="1" si="65"/>
        <v>0</v>
      </c>
      <c r="F111" s="49" t="str">
        <f t="shared" ca="1" si="65"/>
        <v/>
      </c>
      <c r="G111" s="49" t="str">
        <f t="shared" ca="1" si="65"/>
        <v/>
      </c>
      <c r="H111" s="49" t="str">
        <f t="shared" ca="1" si="65"/>
        <v/>
      </c>
      <c r="I111" s="49" t="str">
        <f t="shared" ca="1" si="65"/>
        <v/>
      </c>
      <c r="J111" s="49" t="str">
        <f t="shared" ca="1" si="65"/>
        <v/>
      </c>
      <c r="K111" s="49" t="str">
        <f t="shared" ca="1" si="65"/>
        <v/>
      </c>
      <c r="L111" s="49" t="str">
        <f t="shared" ca="1" si="65"/>
        <v/>
      </c>
      <c r="M111" s="49">
        <f t="shared" ca="1" si="61"/>
        <v>0</v>
      </c>
      <c r="N111" s="47">
        <f>IF(OR($A111=""),"",M98)</f>
        <v>0</v>
      </c>
    </row>
    <row r="112" spans="1:14" x14ac:dyDescent="0.35">
      <c r="A112" t="s">
        <v>100</v>
      </c>
      <c r="B112" s="1"/>
      <c r="C112" s="35">
        <f ca="1">IF(C$25&lt;&gt;"",SUM(C106:C111),"")</f>
        <v>0</v>
      </c>
      <c r="D112" s="35">
        <f t="shared" ref="D112:L112" ca="1" si="66">IF(D$25&lt;&gt;"",SUM(D106:D111),"")</f>
        <v>0</v>
      </c>
      <c r="E112" s="95">
        <f t="shared" ca="1" si="66"/>
        <v>0</v>
      </c>
      <c r="F112" s="35" t="str">
        <f t="shared" si="66"/>
        <v/>
      </c>
      <c r="G112" s="35" t="str">
        <f t="shared" si="66"/>
        <v/>
      </c>
      <c r="H112" s="35" t="str">
        <f t="shared" si="66"/>
        <v/>
      </c>
      <c r="I112" s="35" t="str">
        <f t="shared" si="66"/>
        <v/>
      </c>
      <c r="J112" s="35" t="str">
        <f t="shared" si="66"/>
        <v/>
      </c>
      <c r="K112" s="35" t="str">
        <f t="shared" si="66"/>
        <v/>
      </c>
      <c r="L112" s="35" t="str">
        <f t="shared" si="66"/>
        <v/>
      </c>
      <c r="M112" s="22"/>
    </row>
    <row r="113" spans="1:12" x14ac:dyDescent="0.35">
      <c r="A113" s="1" t="s">
        <v>261</v>
      </c>
      <c r="B113" s="1"/>
      <c r="C113" s="38"/>
      <c r="D113" s="2"/>
      <c r="E113" s="38"/>
      <c r="F113" s="2"/>
      <c r="G113" s="2"/>
      <c r="H113" s="2"/>
      <c r="I113" s="2"/>
      <c r="J113" s="2"/>
      <c r="K113" s="2"/>
      <c r="L113" s="2"/>
    </row>
    <row r="114" spans="1:12" x14ac:dyDescent="0.35">
      <c r="A114" t="str">
        <f>IF(A5="","","    "&amp;A5&amp;" - Consumptive Use and Headwaters Losses")</f>
        <v xml:space="preserve">    Upper Basin - Consumptive Use and Headwaters Losses</v>
      </c>
      <c r="C114" s="49">
        <f t="shared" ref="C114:L114" ca="1" si="67">IF(OR(C$25="",$A114=""),"",OFFSET(C$61,8*(ROW(B114)-ROW(B$114)),0))</f>
        <v>4.2</v>
      </c>
      <c r="D114" s="49">
        <f t="shared" ca="1" si="67"/>
        <v>4.2</v>
      </c>
      <c r="E114" s="49">
        <f t="shared" ca="1" si="67"/>
        <v>2.4332611268417867</v>
      </c>
      <c r="F114" s="49" t="str">
        <f t="shared" ca="1" si="67"/>
        <v/>
      </c>
      <c r="G114" s="49" t="str">
        <f t="shared" ca="1" si="67"/>
        <v/>
      </c>
      <c r="H114" s="49" t="str">
        <f t="shared" ca="1" si="67"/>
        <v/>
      </c>
      <c r="I114" s="49" t="str">
        <f t="shared" ca="1" si="67"/>
        <v/>
      </c>
      <c r="J114" s="49" t="str">
        <f t="shared" ca="1" si="67"/>
        <v/>
      </c>
      <c r="K114" s="49" t="str">
        <f t="shared" ca="1" si="67"/>
        <v/>
      </c>
      <c r="L114" s="49" t="str">
        <f t="shared" ca="1" si="67"/>
        <v/>
      </c>
    </row>
    <row r="115" spans="1:12" x14ac:dyDescent="0.35">
      <c r="A115" t="str">
        <f>IF(A6="","","    "&amp;A6&amp;" - Release from Mead")</f>
        <v xml:space="preserve">    Lower Basin - Release from Mead</v>
      </c>
      <c r="C115" s="49">
        <f t="shared" ref="C115:L115" ca="1" si="68">IF(OR(C$25="",$A115=""),"",OFFSET(C$61,8*(ROW(B115)-ROW(B$114)),0))</f>
        <v>6.9333458765396667</v>
      </c>
      <c r="D115" s="49">
        <f t="shared" ca="1" si="68"/>
        <v>6.4051333052173369</v>
      </c>
      <c r="E115" s="49">
        <f t="shared" ca="1" si="68"/>
        <v>5.9011676541942792</v>
      </c>
      <c r="F115" s="49" t="str">
        <f t="shared" ca="1" si="68"/>
        <v/>
      </c>
      <c r="G115" s="49" t="str">
        <f t="shared" ca="1" si="68"/>
        <v/>
      </c>
      <c r="H115" s="49" t="str">
        <f t="shared" ca="1" si="68"/>
        <v/>
      </c>
      <c r="I115" s="49" t="str">
        <f t="shared" ca="1" si="68"/>
        <v/>
      </c>
      <c r="J115" s="49" t="str">
        <f t="shared" ca="1" si="68"/>
        <v/>
      </c>
      <c r="K115" s="49" t="str">
        <f t="shared" ca="1" si="68"/>
        <v/>
      </c>
      <c r="L115" s="49" t="str">
        <f t="shared" ca="1" si="68"/>
        <v/>
      </c>
    </row>
    <row r="116" spans="1:12" x14ac:dyDescent="0.35">
      <c r="A116" t="str">
        <f>IF(A7="","","    "&amp;A7&amp;" - Release from Mead")</f>
        <v xml:space="preserve">    Mexico - Release from Mead</v>
      </c>
      <c r="C116" s="49">
        <f t="shared" ref="C116:L116" ca="1" si="69">IF(OR(C$25="",$A116=""),"",OFFSET(C$61,8*(ROW(B116)-ROW(B$114)),0))</f>
        <v>1.4473333333333334</v>
      </c>
      <c r="D116" s="49">
        <f t="shared" ca="1" si="69"/>
        <v>1.4083333333333332</v>
      </c>
      <c r="E116" s="49">
        <f t="shared" ca="1" si="69"/>
        <v>1.3423333333333334</v>
      </c>
      <c r="F116" s="49" t="str">
        <f t="shared" ca="1" si="69"/>
        <v/>
      </c>
      <c r="G116" s="49" t="str">
        <f t="shared" ca="1" si="69"/>
        <v/>
      </c>
      <c r="H116" s="49" t="str">
        <f t="shared" ca="1" si="69"/>
        <v/>
      </c>
      <c r="I116" s="49" t="str">
        <f t="shared" ca="1" si="69"/>
        <v/>
      </c>
      <c r="J116" s="49" t="str">
        <f t="shared" ca="1" si="69"/>
        <v/>
      </c>
      <c r="K116" s="49" t="str">
        <f t="shared" ca="1" si="69"/>
        <v/>
      </c>
      <c r="L116" s="49" t="str">
        <f t="shared" ca="1" si="69"/>
        <v/>
      </c>
    </row>
    <row r="117" spans="1:12" x14ac:dyDescent="0.35">
      <c r="A117" t="str">
        <f>IF(A8="","","    "&amp;A8&amp;" - Release from Mead")</f>
        <v xml:space="preserve">    Colorado River Delta - Release from Mead</v>
      </c>
      <c r="C117" s="49">
        <f t="shared" ref="C117:L117" ca="1" si="70">IF(OR(C$25="",$A117=""),"",OFFSET(C$61,8*(ROW(B117)-ROW(B$114)),0))</f>
        <v>0</v>
      </c>
      <c r="D117" s="49">
        <f t="shared" ca="1" si="70"/>
        <v>0</v>
      </c>
      <c r="E117" s="49">
        <f t="shared" ca="1" si="70"/>
        <v>0</v>
      </c>
      <c r="F117" s="49" t="str">
        <f t="shared" ca="1" si="70"/>
        <v/>
      </c>
      <c r="G117" s="49" t="str">
        <f t="shared" ca="1" si="70"/>
        <v/>
      </c>
      <c r="H117" s="49" t="str">
        <f t="shared" ca="1" si="70"/>
        <v/>
      </c>
      <c r="I117" s="49" t="str">
        <f t="shared" ca="1" si="70"/>
        <v/>
      </c>
      <c r="J117" s="49" t="str">
        <f t="shared" ca="1" si="70"/>
        <v/>
      </c>
      <c r="K117" s="49" t="str">
        <f t="shared" ca="1" si="70"/>
        <v/>
      </c>
      <c r="L117" s="49" t="str">
        <f t="shared" ca="1" si="70"/>
        <v/>
      </c>
    </row>
    <row r="118" spans="1:12" x14ac:dyDescent="0.35">
      <c r="A118" t="str">
        <f>IF(A9="","","    "&amp;A9&amp;" - Release from Mead")</f>
        <v/>
      </c>
      <c r="C118" s="49" t="str">
        <f t="shared" ref="C118:L118" ca="1" si="71">IF(OR(C$25="",$A118=""),"",OFFSET(C$61,8*(ROW(B118)-ROW(B$114)),0))</f>
        <v/>
      </c>
      <c r="D118" s="49" t="str">
        <f t="shared" ca="1" si="71"/>
        <v/>
      </c>
      <c r="E118" s="49" t="str">
        <f t="shared" ca="1" si="71"/>
        <v/>
      </c>
      <c r="F118" s="49" t="str">
        <f t="shared" ca="1" si="71"/>
        <v/>
      </c>
      <c r="G118" s="49" t="str">
        <f t="shared" ca="1" si="71"/>
        <v/>
      </c>
      <c r="H118" s="49" t="str">
        <f t="shared" ca="1" si="71"/>
        <v/>
      </c>
      <c r="I118" s="49" t="str">
        <f t="shared" ca="1" si="71"/>
        <v/>
      </c>
      <c r="J118" s="49" t="str">
        <f t="shared" ca="1" si="71"/>
        <v/>
      </c>
      <c r="K118" s="49" t="str">
        <f t="shared" ca="1" si="71"/>
        <v/>
      </c>
      <c r="L118" s="49" t="str">
        <f t="shared" ca="1" si="71"/>
        <v/>
      </c>
    </row>
    <row r="119" spans="1:12" x14ac:dyDescent="0.35">
      <c r="A119" t="str">
        <f>IF(A10="","","    "&amp;A10&amp;" - Release from Mead")</f>
        <v xml:space="preserve">    Shared, Reserve - Release from Mead</v>
      </c>
      <c r="C119" s="49">
        <f t="shared" ref="C119:L119" ca="1" si="72">IF(OR(C$25="",$A119=""),"",OFFSET(C$61,8*(ROW(B119)-ROW(B$114)),0))</f>
        <v>0</v>
      </c>
      <c r="D119" s="49">
        <f t="shared" ca="1" si="72"/>
        <v>0</v>
      </c>
      <c r="E119" s="49">
        <f t="shared" ca="1" si="72"/>
        <v>0</v>
      </c>
      <c r="F119" s="49" t="str">
        <f t="shared" ca="1" si="72"/>
        <v/>
      </c>
      <c r="G119" s="49" t="str">
        <f t="shared" ca="1" si="72"/>
        <v/>
      </c>
      <c r="H119" s="49" t="str">
        <f t="shared" ca="1" si="72"/>
        <v/>
      </c>
      <c r="I119" s="49" t="str">
        <f t="shared" ca="1" si="72"/>
        <v/>
      </c>
      <c r="J119" s="49" t="str">
        <f t="shared" ca="1" si="72"/>
        <v/>
      </c>
      <c r="K119" s="49" t="str">
        <f t="shared" ca="1" si="72"/>
        <v/>
      </c>
      <c r="L119" s="49" t="str">
        <f t="shared" ca="1" si="72"/>
        <v/>
      </c>
    </row>
    <row r="120" spans="1:12" x14ac:dyDescent="0.35">
      <c r="A120" s="1" t="s">
        <v>262</v>
      </c>
      <c r="B120" s="1"/>
      <c r="D120" s="2"/>
      <c r="E120" s="2"/>
      <c r="F120" s="2"/>
      <c r="G120" s="2"/>
      <c r="H120" s="2"/>
      <c r="I120" s="2"/>
      <c r="J120" s="2"/>
      <c r="K120" s="2"/>
      <c r="L120" s="2"/>
    </row>
    <row r="121" spans="1:12" x14ac:dyDescent="0.35">
      <c r="A121" t="str">
        <f t="shared" ref="A121:A126" si="73">IF(A5="","","    "&amp;A5)</f>
        <v xml:space="preserve">    Upper Basin</v>
      </c>
      <c r="C121" s="49">
        <f t="shared" ref="C121:L121" ca="1" si="74">IF(OR(C$25="",$A121=""),"",OFFSET(C$62,8*(ROW(B121)-ROW(B$121)),0))</f>
        <v>7.1406808836493001</v>
      </c>
      <c r="D121" s="49">
        <f t="shared" ca="1" si="74"/>
        <v>2.5793499884314777</v>
      </c>
      <c r="E121" s="49">
        <f t="shared" ca="1" si="74"/>
        <v>0</v>
      </c>
      <c r="F121" s="49" t="str">
        <f t="shared" ca="1" si="74"/>
        <v/>
      </c>
      <c r="G121" s="49" t="str">
        <f t="shared" ca="1" si="74"/>
        <v/>
      </c>
      <c r="H121" s="49" t="str">
        <f t="shared" ca="1" si="74"/>
        <v/>
      </c>
      <c r="I121" s="49" t="str">
        <f t="shared" ca="1" si="74"/>
        <v/>
      </c>
      <c r="J121" s="49" t="str">
        <f t="shared" ca="1" si="74"/>
        <v/>
      </c>
      <c r="K121" s="49" t="str">
        <f t="shared" ca="1" si="74"/>
        <v/>
      </c>
      <c r="L121" s="49" t="str">
        <f t="shared" ca="1" si="74"/>
        <v/>
      </c>
    </row>
    <row r="122" spans="1:12" x14ac:dyDescent="0.35">
      <c r="A122" t="str">
        <f t="shared" si="73"/>
        <v xml:space="preserve">    Lower Basin</v>
      </c>
      <c r="C122" s="49">
        <f t="shared" ref="C122:L122" ca="1" si="75">IF(OR(C$25="",$A122=""),"",OFFSET(C$62,8*(ROW(B122)-ROW(B$121)),0))</f>
        <v>0</v>
      </c>
      <c r="D122" s="49">
        <f t="shared" ca="1" si="75"/>
        <v>0</v>
      </c>
      <c r="E122" s="49">
        <f t="shared" ca="1" si="75"/>
        <v>0</v>
      </c>
      <c r="F122" s="49" t="str">
        <f t="shared" ca="1" si="75"/>
        <v/>
      </c>
      <c r="G122" s="49" t="str">
        <f t="shared" ca="1" si="75"/>
        <v/>
      </c>
      <c r="H122" s="49" t="str">
        <f t="shared" ca="1" si="75"/>
        <v/>
      </c>
      <c r="I122" s="49" t="str">
        <f t="shared" ca="1" si="75"/>
        <v/>
      </c>
      <c r="J122" s="49" t="str">
        <f t="shared" ca="1" si="75"/>
        <v/>
      </c>
      <c r="K122" s="49" t="str">
        <f t="shared" ca="1" si="75"/>
        <v/>
      </c>
      <c r="L122" s="49" t="str">
        <f t="shared" ca="1" si="75"/>
        <v/>
      </c>
    </row>
    <row r="123" spans="1:12" x14ac:dyDescent="0.35">
      <c r="A123" t="str">
        <f t="shared" si="73"/>
        <v xml:space="preserve">    Mexico</v>
      </c>
      <c r="C123" s="49">
        <f t="shared" ref="C123:L123" ca="1" si="76">IF(OR(C$25="",$A123=""),"",OFFSET(C$62,8*(ROW(B123)-ROW(B$121)),0))</f>
        <v>0.16557297647772518</v>
      </c>
      <c r="D123" s="49">
        <f t="shared" ca="1" si="76"/>
        <v>0.15719469536008468</v>
      </c>
      <c r="E123" s="49">
        <f t="shared" ca="1" si="76"/>
        <v>0.14829152433013926</v>
      </c>
      <c r="F123" s="49" t="str">
        <f t="shared" ca="1" si="76"/>
        <v/>
      </c>
      <c r="G123" s="49" t="str">
        <f t="shared" ca="1" si="76"/>
        <v/>
      </c>
      <c r="H123" s="49" t="str">
        <f t="shared" ca="1" si="76"/>
        <v/>
      </c>
      <c r="I123" s="49" t="str">
        <f t="shared" ca="1" si="76"/>
        <v/>
      </c>
      <c r="J123" s="49" t="str">
        <f t="shared" ca="1" si="76"/>
        <v/>
      </c>
      <c r="K123" s="49" t="str">
        <f t="shared" ca="1" si="76"/>
        <v/>
      </c>
      <c r="L123" s="49" t="str">
        <f t="shared" ca="1" si="76"/>
        <v/>
      </c>
    </row>
    <row r="124" spans="1:12" x14ac:dyDescent="0.35">
      <c r="A124" t="str">
        <f t="shared" si="73"/>
        <v xml:space="preserve">    Colorado River Delta</v>
      </c>
      <c r="C124" s="49">
        <f t="shared" ref="C124:L124" ca="1" si="77">IF(OR(C$25="",$A124=""),"",OFFSET(C$62,8*(ROW(B124)-ROW(B$121)),0))</f>
        <v>1.5555555555555553E-2</v>
      </c>
      <c r="D124" s="49">
        <f t="shared" ca="1" si="77"/>
        <v>3.0323972894730409E-2</v>
      </c>
      <c r="E124" s="49">
        <f t="shared" ca="1" si="77"/>
        <v>4.416204354170955E-2</v>
      </c>
      <c r="F124" s="49" t="str">
        <f t="shared" ca="1" si="77"/>
        <v/>
      </c>
      <c r="G124" s="49" t="str">
        <f t="shared" ca="1" si="77"/>
        <v/>
      </c>
      <c r="H124" s="49" t="str">
        <f t="shared" ca="1" si="77"/>
        <v/>
      </c>
      <c r="I124" s="49" t="str">
        <f t="shared" ca="1" si="77"/>
        <v/>
      </c>
      <c r="J124" s="49" t="str">
        <f t="shared" ca="1" si="77"/>
        <v/>
      </c>
      <c r="K124" s="49" t="str">
        <f t="shared" ca="1" si="77"/>
        <v/>
      </c>
      <c r="L124" s="49" t="str">
        <f t="shared" ca="1" si="77"/>
        <v/>
      </c>
    </row>
    <row r="125" spans="1:12" x14ac:dyDescent="0.35">
      <c r="A125" t="str">
        <f t="shared" si="73"/>
        <v/>
      </c>
      <c r="C125" s="49" t="str">
        <f t="shared" ref="C125:L125" ca="1" si="78">IF(OR(C$25="",$A125=""),"",OFFSET(C$62,8*(ROW(B125)-ROW(B$121)),0))</f>
        <v/>
      </c>
      <c r="D125" s="49" t="str">
        <f t="shared" ca="1" si="78"/>
        <v/>
      </c>
      <c r="E125" s="49" t="str">
        <f t="shared" ca="1" si="78"/>
        <v/>
      </c>
      <c r="F125" s="49" t="str">
        <f t="shared" ca="1" si="78"/>
        <v/>
      </c>
      <c r="G125" s="49" t="str">
        <f t="shared" ca="1" si="78"/>
        <v/>
      </c>
      <c r="H125" s="49" t="str">
        <f t="shared" ca="1" si="78"/>
        <v/>
      </c>
      <c r="I125" s="49" t="str">
        <f t="shared" ca="1" si="78"/>
        <v/>
      </c>
      <c r="J125" s="49" t="str">
        <f t="shared" ca="1" si="78"/>
        <v/>
      </c>
      <c r="K125" s="49" t="str">
        <f t="shared" ca="1" si="78"/>
        <v/>
      </c>
      <c r="L125" s="49" t="str">
        <f t="shared" ca="1" si="78"/>
        <v/>
      </c>
    </row>
    <row r="126" spans="1:12" x14ac:dyDescent="0.35">
      <c r="A126" t="str">
        <f t="shared" si="73"/>
        <v xml:space="preserve">    Shared, Reserve</v>
      </c>
      <c r="C126" s="49">
        <f t="shared" ref="C126:L126" ca="1" si="79">IF(OR(C$25="",$A126=""),"",OFFSET(C$62,8*(ROW(B126)-ROW(B$121)),0))</f>
        <v>11.59116925</v>
      </c>
      <c r="D126" s="49">
        <f t="shared" ca="1" si="79"/>
        <v>11.59116925</v>
      </c>
      <c r="E126" s="49">
        <f t="shared" ca="1" si="79"/>
        <v>11.59116925</v>
      </c>
      <c r="F126" s="49" t="str">
        <f t="shared" ca="1" si="79"/>
        <v/>
      </c>
      <c r="G126" s="49" t="str">
        <f t="shared" ca="1" si="79"/>
        <v/>
      </c>
      <c r="H126" s="49" t="str">
        <f t="shared" ca="1" si="79"/>
        <v/>
      </c>
      <c r="I126" s="49" t="str">
        <f t="shared" ca="1" si="79"/>
        <v/>
      </c>
      <c r="J126" s="49" t="str">
        <f t="shared" ca="1" si="79"/>
        <v/>
      </c>
      <c r="K126" s="49" t="str">
        <f t="shared" ca="1" si="79"/>
        <v/>
      </c>
      <c r="L126" s="49" t="str">
        <f t="shared" ca="1" si="79"/>
        <v/>
      </c>
    </row>
    <row r="127" spans="1:12" x14ac:dyDescent="0.35">
      <c r="A127" s="1" t="s">
        <v>257</v>
      </c>
      <c r="B127" s="1"/>
      <c r="C127" s="13">
        <f ca="1">IF(C$25&lt;&gt;"",SUM(C121:C126),"")</f>
        <v>18.91297866568258</v>
      </c>
      <c r="D127" s="13">
        <f t="shared" ref="D127:L127" ca="1" si="80">IF(D$25&lt;&gt;"",SUM(D121:D126),"")</f>
        <v>14.358037906686292</v>
      </c>
      <c r="E127" s="13">
        <f t="shared" ca="1" si="80"/>
        <v>11.78362281787185</v>
      </c>
      <c r="F127" s="13" t="str">
        <f t="shared" si="80"/>
        <v/>
      </c>
      <c r="G127" s="13" t="str">
        <f t="shared" si="80"/>
        <v/>
      </c>
      <c r="H127" s="13" t="str">
        <f t="shared" si="80"/>
        <v/>
      </c>
      <c r="I127" s="13" t="str">
        <f t="shared" si="80"/>
        <v/>
      </c>
      <c r="J127" s="13" t="str">
        <f t="shared" si="80"/>
        <v/>
      </c>
      <c r="K127" s="13" t="str">
        <f t="shared" si="80"/>
        <v/>
      </c>
      <c r="L127" s="13" t="str">
        <f t="shared" si="80"/>
        <v/>
      </c>
    </row>
    <row r="128" spans="1:12" x14ac:dyDescent="0.35">
      <c r="A128" s="1" t="s">
        <v>142</v>
      </c>
      <c r="B128" s="1"/>
      <c r="C128" s="50">
        <v>0.5</v>
      </c>
      <c r="D128" s="50">
        <v>0.5</v>
      </c>
      <c r="E128" s="50">
        <v>0.5</v>
      </c>
      <c r="F128" s="50">
        <v>0.5</v>
      </c>
      <c r="G128" s="50">
        <v>0.5</v>
      </c>
      <c r="H128" s="50"/>
      <c r="I128" s="50"/>
      <c r="J128" s="50"/>
      <c r="K128" s="50"/>
      <c r="L128" s="50"/>
    </row>
    <row r="129" spans="1:14" x14ac:dyDescent="0.35">
      <c r="A129" s="1" t="s">
        <v>138</v>
      </c>
      <c r="B129" s="1"/>
      <c r="C129" s="13">
        <f t="shared" ref="C129:L129" ca="1" si="81">IF(C25="","",C$128*C$127)</f>
        <v>9.45648933284129</v>
      </c>
      <c r="D129" s="13">
        <f t="shared" ca="1" si="81"/>
        <v>7.1790189533431459</v>
      </c>
      <c r="E129" s="13">
        <f t="shared" ca="1" si="81"/>
        <v>5.8918114089359248</v>
      </c>
      <c r="F129" s="13" t="str">
        <f t="shared" si="81"/>
        <v/>
      </c>
      <c r="G129" s="13" t="str">
        <f t="shared" si="81"/>
        <v/>
      </c>
      <c r="H129" s="13" t="str">
        <f t="shared" si="81"/>
        <v/>
      </c>
      <c r="I129" s="13" t="str">
        <f t="shared" si="81"/>
        <v/>
      </c>
      <c r="J129" s="13" t="str">
        <f t="shared" si="81"/>
        <v/>
      </c>
      <c r="K129" s="13" t="str">
        <f t="shared" si="81"/>
        <v/>
      </c>
      <c r="L129" s="13" t="str">
        <f t="shared" si="81"/>
        <v/>
      </c>
    </row>
    <row r="130" spans="1:14" x14ac:dyDescent="0.35">
      <c r="A130" s="1" t="s">
        <v>139</v>
      </c>
      <c r="B130" s="1"/>
      <c r="C130" s="13">
        <f t="shared" ref="C130:L130" ca="1" si="82">IF(C26="","",(1-C$128)*C$127)</f>
        <v>9.45648933284129</v>
      </c>
      <c r="D130" s="13">
        <f t="shared" ca="1" si="82"/>
        <v>7.1790189533431459</v>
      </c>
      <c r="E130" s="13">
        <f t="shared" ca="1" si="82"/>
        <v>5.8918114089359248</v>
      </c>
      <c r="F130" s="13" t="str">
        <f t="shared" si="82"/>
        <v/>
      </c>
      <c r="G130" s="13" t="str">
        <f t="shared" si="82"/>
        <v/>
      </c>
      <c r="H130" s="13" t="str">
        <f t="shared" si="82"/>
        <v/>
      </c>
      <c r="I130" s="13" t="str">
        <f t="shared" si="82"/>
        <v/>
      </c>
      <c r="J130" s="13" t="str">
        <f t="shared" si="82"/>
        <v/>
      </c>
      <c r="K130" s="13" t="str">
        <f t="shared" si="82"/>
        <v/>
      </c>
      <c r="L130" s="13" t="str">
        <f t="shared" si="82"/>
        <v/>
      </c>
    </row>
    <row r="131" spans="1:14" x14ac:dyDescent="0.35">
      <c r="A131" s="21" t="s">
        <v>186</v>
      </c>
      <c r="B131" s="1"/>
      <c r="C131" s="65">
        <f ca="1">IF(C$25&lt;&gt;"",VLOOKUP(C129*1000000,'Powell-Elevation-Area'!$B$5:$H$689,7),"")</f>
        <v>3574</v>
      </c>
      <c r="D131" s="65">
        <f ca="1">IF(D$25&lt;&gt;"",VLOOKUP(D129*1000000,'Powell-Elevation-Area'!$B$5:$H$689,7),"")</f>
        <v>3544</v>
      </c>
      <c r="E131" s="65">
        <f ca="1">IF(E$25&lt;&gt;"",VLOOKUP(E129*1000000,'Powell-Elevation-Area'!$B$5:$H$689,7),"")</f>
        <v>3524</v>
      </c>
      <c r="F131" s="65" t="str">
        <f>IF(F$25&lt;&gt;"",VLOOKUP(F129*1000000,'Powell-Elevation-Area'!$B$5:$H$689,7),"")</f>
        <v/>
      </c>
      <c r="G131" s="65" t="str">
        <f>IF(G$25&lt;&gt;"",VLOOKUP(G129*1000000,'Powell-Elevation-Area'!$B$5:$H$689,7),"")</f>
        <v/>
      </c>
      <c r="H131" s="65" t="str">
        <f>IF(H$25&lt;&gt;"",VLOOKUP(H129*1000000,'Powell-Elevation-Area'!$B$5:$H$689,7),"")</f>
        <v/>
      </c>
      <c r="I131" s="65" t="str">
        <f>IF(I$25&lt;&gt;"",VLOOKUP(I129*1000000,'Powell-Elevation-Area'!$B$5:$H$689,7),"")</f>
        <v/>
      </c>
      <c r="J131" s="65" t="str">
        <f>IF(J$25&lt;&gt;"",VLOOKUP(J129*1000000,'Powell-Elevation-Area'!$B$5:$H$689,7),"")</f>
        <v/>
      </c>
      <c r="K131" s="65" t="str">
        <f>IF(K$25&lt;&gt;"",VLOOKUP(K129*1000000,'Powell-Elevation-Area'!$B$5:$H$689,7),"")</f>
        <v/>
      </c>
      <c r="L131" s="65" t="str">
        <f>IF(L$25&lt;&gt;"",VLOOKUP(L129*1000000,'Powell-Elevation-Area'!$B$5:$H$689,7),"")</f>
        <v/>
      </c>
    </row>
    <row r="132" spans="1:14" x14ac:dyDescent="0.35">
      <c r="A132" s="21" t="s">
        <v>187</v>
      </c>
      <c r="B132" s="1"/>
      <c r="C132" s="65">
        <f ca="1">IF(C$25&lt;&gt;"",VLOOKUP(C130*1000000,'Mead-Elevation-Area'!$B$5:$H$689,7),"")</f>
        <v>1073</v>
      </c>
      <c r="D132" s="65">
        <f ca="1">IF(D$25&lt;&gt;"",VLOOKUP(D130*1000000,'Mead-Elevation-Area'!$B$5:$H$689,7),"")</f>
        <v>1042.5</v>
      </c>
      <c r="E132" s="65">
        <f ca="1">IF(E$25&lt;&gt;"",VLOOKUP(E130*1000000,'Mead-Elevation-Area'!$B$5:$H$689,7),"")</f>
        <v>1023.5</v>
      </c>
      <c r="F132" s="65" t="str">
        <f>IF(F$25&lt;&gt;"",VLOOKUP(F130*1000000,'Mead-Elevation-Area'!$B$5:$H$689,7),"")</f>
        <v/>
      </c>
      <c r="G132" s="65" t="str">
        <f>IF(G$25&lt;&gt;"",VLOOKUP(G130*1000000,'Mead-Elevation-Area'!$B$5:$H$689,7),"")</f>
        <v/>
      </c>
      <c r="H132" s="65" t="str">
        <f>IF(H$25&lt;&gt;"",VLOOKUP(H130*1000000,'Mead-Elevation-Area'!$B$5:$H$689,7),"")</f>
        <v/>
      </c>
      <c r="I132" s="65" t="str">
        <f>IF(I$25&lt;&gt;"",VLOOKUP(I130*1000000,'Mead-Elevation-Area'!$B$5:$H$689,7),"")</f>
        <v/>
      </c>
      <c r="J132" s="65" t="str">
        <f>IF(J$25&lt;&gt;"",VLOOKUP(J130*1000000,'Mead-Elevation-Area'!$B$5:$H$689,7),"")</f>
        <v/>
      </c>
      <c r="K132" s="65" t="str">
        <f>IF(K$25&lt;&gt;"",VLOOKUP(K130*1000000,'Mead-Elevation-Area'!$B$5:$H$689,7),"")</f>
        <v/>
      </c>
      <c r="L132" s="65" t="str">
        <f>IF(L$25&lt;&gt;"",VLOOKUP(L130*1000000,'Mead-Elevation-Area'!$B$5:$H$689,7),"")</f>
        <v/>
      </c>
    </row>
    <row r="133" spans="1:14" x14ac:dyDescent="0.35">
      <c r="A133" s="1" t="s">
        <v>199</v>
      </c>
      <c r="B133" s="1"/>
    </row>
    <row r="134" spans="1:14" x14ac:dyDescent="0.35">
      <c r="A134" s="21" t="s">
        <v>200</v>
      </c>
      <c r="B134" s="1"/>
      <c r="C134" s="13">
        <f ca="1">IF(C$25&lt;&gt;"",-C129+C37+C25-C61-VLOOKUP(C37*1000000,'Powell-Elevation-Area'!$B$5:$D$689,3)*$B$18/1000000,"")</f>
        <v>7.8206137871581376</v>
      </c>
      <c r="D134" s="13">
        <f ca="1">IF(D$25&lt;&gt;"",-D129+D37+D25-D61-VLOOKUP(D37*1000000,'Powell-Elevation-Area'!$B$5:$D$689,3)*$B$18/1000000,"")</f>
        <v>5.6032487034975711</v>
      </c>
      <c r="E134" s="13">
        <f ca="1">IF(E$25&lt;&gt;"",-E129+E37+E25-E61-VLOOKUP(E37*1000000,'Powell-Elevation-Area'!$B$5:$D$689,3)*$B$18/1000000,"")</f>
        <v>5.9587998875654336</v>
      </c>
      <c r="F134" s="13" t="str">
        <f>IF(F$25&lt;&gt;"",-F129+F37+F25-F61-VLOOKUP(F37*1000000,'Powell-Elevation-Area'!$B$5:$D$689,3)*$B$18/1000000,"")</f>
        <v/>
      </c>
      <c r="G134" s="13" t="str">
        <f>IF(G$25&lt;&gt;"",-G129+G37+G25-G61-VLOOKUP(G37*1000000,'Powell-Elevation-Area'!$B$5:$D$689,3)*$B$18/1000000,"")</f>
        <v/>
      </c>
      <c r="H134" s="13" t="str">
        <f>IF(H$25&lt;&gt;"",-H129+H37+H25-H61-VLOOKUP(H37*1000000,'Powell-Elevation-Area'!$B$5:$D$689,3)*$B$18/1000000,"")</f>
        <v/>
      </c>
      <c r="I134" s="13" t="str">
        <f>IF(I$25&lt;&gt;"",-I129+I37+I25-I61-VLOOKUP(I37*1000000,'Powell-Elevation-Area'!$B$5:$D$689,3)*$B$18/1000000,"")</f>
        <v/>
      </c>
      <c r="J134" s="13" t="str">
        <f>IF(J$25&lt;&gt;"",-J129+J37+J25-J61-VLOOKUP(J37*1000000,'Powell-Elevation-Area'!$B$5:$D$689,3)*$B$18/1000000,"")</f>
        <v/>
      </c>
      <c r="K134" s="13" t="str">
        <f>IF(K$25&lt;&gt;"",-K129+K37+K25-K61-VLOOKUP(K37*1000000,'Powell-Elevation-Area'!$B$5:$D$689,3)*$B$18/1000000,"")</f>
        <v/>
      </c>
      <c r="L134" s="13" t="str">
        <f>IF(L$25&lt;&gt;"",-L129+L37+L25-L61-VLOOKUP(L37*1000000,'Powell-Elevation-Area'!$B$5:$D$689,3)*$B$18/1000000,"")</f>
        <v/>
      </c>
      <c r="N134" t="s">
        <v>140</v>
      </c>
    </row>
    <row r="135" spans="1:14" x14ac:dyDescent="0.35">
      <c r="A135" s="21" t="s">
        <v>214</v>
      </c>
      <c r="B135" s="1"/>
      <c r="C135" s="65" t="str">
        <f ca="1">IF(C$25&lt;&gt;"",VLOOKUP(C131,PowellReleaseTemperature!$A$5:$B$11,2),"")</f>
        <v>&lt; 18</v>
      </c>
      <c r="D135" s="65" t="str">
        <f ca="1">IF(D$25&lt;&gt;"",VLOOKUP(D131,PowellReleaseTemperature!$A$5:$B$11,2),"")</f>
        <v>&lt; 18</v>
      </c>
      <c r="E135" s="65" t="str">
        <f ca="1">IF(E$25&lt;&gt;"",VLOOKUP(E131,PowellReleaseTemperature!$A$5:$B$11,2),"")</f>
        <v>&gt; 18</v>
      </c>
      <c r="F135" s="65" t="str">
        <f>IF(F$25&lt;&gt;"",VLOOKUP(F131,PowellReleaseTemperature!$A$5:$B$11,2),"")</f>
        <v/>
      </c>
      <c r="G135" s="65" t="str">
        <f>IF(G$25&lt;&gt;"",VLOOKUP(G131,PowellReleaseTemperature!$A$5:$B$11,2),"")</f>
        <v/>
      </c>
      <c r="H135" s="65" t="str">
        <f>IF(H$25&lt;&gt;"",VLOOKUP(H131,PowellReleaseTemperature!$A$5:$B$11,2),"")</f>
        <v/>
      </c>
      <c r="I135" s="65" t="str">
        <f>IF(I$25&lt;&gt;"",VLOOKUP(I131,PowellReleaseTemperature!$A$5:$B$11,2),"")</f>
        <v/>
      </c>
      <c r="J135" s="65" t="str">
        <f>IF(J$25&lt;&gt;"",VLOOKUP(J131,PowellReleaseTemperature!$A$5:$B$11,2),"")</f>
        <v/>
      </c>
      <c r="K135" s="65" t="str">
        <f>IF(K$25&lt;&gt;"",VLOOKUP(K131,PowellReleaseTemperature!$A$5:$B$11,2),"")</f>
        <v/>
      </c>
      <c r="L135" s="65" t="str">
        <f>IF(L$25&lt;&gt;"",VLOOKUP(L131,PowellReleaseTemperature!$A$5:$B$11,2),"")</f>
        <v/>
      </c>
      <c r="N135" t="s">
        <v>205</v>
      </c>
    </row>
    <row r="136" spans="1:14" s="67" customFormat="1" ht="62.5" customHeight="1" x14ac:dyDescent="0.35">
      <c r="A136" s="97" t="s">
        <v>215</v>
      </c>
      <c r="B136" s="66"/>
      <c r="C136" s="96" t="str">
        <f ca="1">IF(C$25&lt;&gt;"",VLOOKUP(C$131,PowellReleaseTemperature!$A$5:$E$11,5),"")</f>
        <v>May benefit or face invasion</v>
      </c>
      <c r="D136" s="96" t="str">
        <f ca="1">IF(D$25&lt;&gt;"",VLOOKUP(D$131,PowellReleaseTemperature!$A$5:$E$11,5),"")</f>
        <v>May benefit or face invasion</v>
      </c>
      <c r="E136" s="96" t="str">
        <f ca="1">IF(E$25&lt;&gt;"",VLOOKUP(E$131,PowellReleaseTemperature!$A$5:$E$11,5),"")</f>
        <v>Highly uncertain</v>
      </c>
      <c r="F136" s="96" t="str">
        <f>IF(F$25&lt;&gt;"",VLOOKUP(F$131,PowellReleaseTemperature!$A$5:$E$11,5),"")</f>
        <v/>
      </c>
      <c r="G136" s="96" t="str">
        <f>IF(G$25&lt;&gt;"",VLOOKUP(G$131,PowellReleaseTemperature!$A$5:$E$11,5),"")</f>
        <v/>
      </c>
      <c r="H136" s="96" t="str">
        <f>IF(H$25&lt;&gt;"",VLOOKUP(H$131,PowellReleaseTemperature!$A$5:$E$11,5),"")</f>
        <v/>
      </c>
      <c r="I136" s="96" t="str">
        <f>IF(I$25&lt;&gt;"",VLOOKUP(I$131,PowellReleaseTemperature!$A$5:$E$11,5),"")</f>
        <v/>
      </c>
      <c r="J136" s="96" t="str">
        <f>IF(J$25&lt;&gt;"",VLOOKUP(J$131,PowellReleaseTemperature!$A$5:$E$11,5),"")</f>
        <v/>
      </c>
      <c r="K136" s="96" t="str">
        <f>IF(K$25&lt;&gt;"",VLOOKUP(K$131,PowellReleaseTemperature!$A$5:$E$11,5),"")</f>
        <v/>
      </c>
      <c r="L136" s="96" t="str">
        <f>IF(L$25&lt;&gt;"",VLOOKUP(L$131,PowellReleaseTemperature!$A$5:$E$11,5),"")</f>
        <v/>
      </c>
    </row>
    <row r="137" spans="1:14" s="67" customFormat="1" ht="32.15" customHeight="1" x14ac:dyDescent="0.35">
      <c r="A137" s="97" t="s">
        <v>221</v>
      </c>
      <c r="B137" s="66"/>
      <c r="C137" s="96" t="str">
        <f ca="1">IF(C$25&lt;&gt;"",VLOOKUP(C$131,PowellReleaseTemperature!$A$5:$F$11,6),"")</f>
        <v>Help grow + incubate</v>
      </c>
      <c r="D137" s="96" t="str">
        <f ca="1">IF(D$25&lt;&gt;"",VLOOKUP(D$131,PowellReleaseTemperature!$A$5:$F$11,6),"")</f>
        <v>Help grow + incubate</v>
      </c>
      <c r="E137" s="96" t="str">
        <f ca="1">IF(E$25&lt;&gt;"",VLOOKUP(E$131,PowellReleaseTemperature!$A$5:$F$11,6),"")</f>
        <v>Unsuitable</v>
      </c>
      <c r="F137" s="96" t="str">
        <f>IF(F$25&lt;&gt;"",VLOOKUP(F$131,PowellReleaseTemperature!$A$5:$F$11,6),"")</f>
        <v/>
      </c>
      <c r="G137" s="96" t="str">
        <f>IF(G$25&lt;&gt;"",VLOOKUP(G$131,PowellReleaseTemperature!$A$5:$F$11,6),"")</f>
        <v/>
      </c>
      <c r="H137" s="96" t="str">
        <f>IF(H$25&lt;&gt;"",VLOOKUP(H$131,PowellReleaseTemperature!$A$5:$F$11,6),"")</f>
        <v/>
      </c>
      <c r="I137" s="96" t="str">
        <f>IF(I$25&lt;&gt;"",VLOOKUP(I$131,PowellReleaseTemperature!$A$5:$F$11,6),"")</f>
        <v/>
      </c>
      <c r="J137" s="96" t="str">
        <f>IF(J$25&lt;&gt;"",VLOOKUP(J$131,PowellReleaseTemperature!$A$5:$F$11,6),"")</f>
        <v/>
      </c>
      <c r="K137" s="96" t="str">
        <f>IF(K$25&lt;&gt;"",VLOOKUP(K$131,PowellReleaseTemperature!$A$5:$F$11,6),"")</f>
        <v/>
      </c>
      <c r="L137" s="96" t="str">
        <f>IF(L$25&lt;&gt;"",VLOOKUP(L$131,PowellReleaseTemperature!$A$5:$F$11,6),"")</f>
        <v/>
      </c>
    </row>
    <row r="139" spans="1:14" x14ac:dyDescent="0.35">
      <c r="D139" s="15"/>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4" priority="25" operator="greaterThan">
      <formula>$C$100</formula>
    </cfRule>
  </conditionalFormatting>
  <conditionalFormatting sqref="D101">
    <cfRule type="cellIs" dxfId="23" priority="24" operator="greaterThan">
      <formula>$D$100</formula>
    </cfRule>
  </conditionalFormatting>
  <conditionalFormatting sqref="E101">
    <cfRule type="cellIs" dxfId="22" priority="23" operator="greaterThan">
      <formula>$E$100</formula>
    </cfRule>
  </conditionalFormatting>
  <conditionalFormatting sqref="F101">
    <cfRule type="cellIs" dxfId="21" priority="22" operator="greaterThan">
      <formula>$F$100</formula>
    </cfRule>
  </conditionalFormatting>
  <conditionalFormatting sqref="G101">
    <cfRule type="cellIs" dxfId="20" priority="21" operator="greaterThan">
      <formula>$G$100</formula>
    </cfRule>
  </conditionalFormatting>
  <conditionalFormatting sqref="H101">
    <cfRule type="cellIs" dxfId="19" priority="20" operator="greaterThan">
      <formula>$H$100</formula>
    </cfRule>
  </conditionalFormatting>
  <conditionalFormatting sqref="I101">
    <cfRule type="cellIs" dxfId="18" priority="19" operator="greaterThan">
      <formula>$I$100</formula>
    </cfRule>
  </conditionalFormatting>
  <conditionalFormatting sqref="J101">
    <cfRule type="cellIs" dxfId="17" priority="18" operator="greaterThan">
      <formula>$J$100</formula>
    </cfRule>
  </conditionalFormatting>
  <conditionalFormatting sqref="K101">
    <cfRule type="cellIs" dxfId="16" priority="17" operator="greaterThan">
      <formula>$K$100</formula>
    </cfRule>
  </conditionalFormatting>
  <conditionalFormatting sqref="L101">
    <cfRule type="cellIs" dxfId="1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A1:X1"/>
  <sheetViews>
    <sheetView topLeftCell="A2" workbookViewId="0">
      <selection activeCell="A2" sqref="A2"/>
    </sheetView>
  </sheetViews>
  <sheetFormatPr defaultRowHeight="14.5" x14ac:dyDescent="0.35"/>
  <sheetData>
    <row r="1" spans="1:24" ht="36" x14ac:dyDescent="0.8">
      <c r="A1" t="s">
        <v>390</v>
      </c>
      <c r="G1" s="31" t="s">
        <v>31</v>
      </c>
      <c r="P1" s="31" t="s">
        <v>32</v>
      </c>
      <c r="X1" s="31" t="s">
        <v>146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E10" sqref="E10"/>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159</v>
      </c>
    </row>
    <row r="3" spans="1:16" s="1" customFormat="1" x14ac:dyDescent="0.35">
      <c r="D3" s="226" t="s">
        <v>160</v>
      </c>
      <c r="E3" s="226"/>
      <c r="F3" s="226" t="s">
        <v>161</v>
      </c>
      <c r="G3" s="226"/>
      <c r="H3" s="226"/>
      <c r="I3" s="226" t="s">
        <v>162</v>
      </c>
      <c r="J3" s="226"/>
      <c r="K3" s="226"/>
      <c r="L3" s="157"/>
      <c r="M3" s="226" t="s">
        <v>33</v>
      </c>
      <c r="N3" s="226"/>
      <c r="O3" s="226"/>
    </row>
    <row r="4" spans="1:16" s="53" customFormat="1" ht="42.65" customHeight="1" x14ac:dyDescent="0.35">
      <c r="A4" s="52" t="s">
        <v>93</v>
      </c>
      <c r="B4" s="52" t="s">
        <v>94</v>
      </c>
      <c r="C4" s="52" t="s">
        <v>171</v>
      </c>
      <c r="D4" s="52" t="s">
        <v>163</v>
      </c>
      <c r="E4" s="52" t="s">
        <v>164</v>
      </c>
      <c r="F4" s="52" t="s">
        <v>163</v>
      </c>
      <c r="G4" s="52" t="s">
        <v>164</v>
      </c>
      <c r="H4" s="52" t="s">
        <v>165</v>
      </c>
      <c r="I4" s="52" t="s">
        <v>163</v>
      </c>
      <c r="J4" s="52" t="s">
        <v>164</v>
      </c>
      <c r="K4" s="52" t="s">
        <v>165</v>
      </c>
      <c r="L4" s="52" t="s">
        <v>169</v>
      </c>
      <c r="M4" s="52" t="s">
        <v>167</v>
      </c>
      <c r="N4" s="52" t="s">
        <v>168</v>
      </c>
      <c r="O4" s="52" t="s">
        <v>166</v>
      </c>
      <c r="P4" s="52" t="s">
        <v>95</v>
      </c>
    </row>
    <row r="5" spans="1:16" x14ac:dyDescent="0.35">
      <c r="A5" s="26">
        <v>1025</v>
      </c>
      <c r="B5" s="27">
        <v>5.981122</v>
      </c>
      <c r="C5" s="28">
        <v>0</v>
      </c>
      <c r="D5" s="24">
        <v>480</v>
      </c>
      <c r="E5" s="24">
        <v>20</v>
      </c>
      <c r="F5" s="24">
        <v>240</v>
      </c>
      <c r="G5" s="24">
        <v>10</v>
      </c>
      <c r="H5" s="24">
        <v>350</v>
      </c>
      <c r="I5" s="155">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56">
        <f t="shared" ref="P5:P13" si="5">SUM(L5,O5)</f>
        <v>1.375</v>
      </c>
    </row>
    <row r="6" spans="1:16" x14ac:dyDescent="0.35">
      <c r="A6" s="26">
        <v>1030</v>
      </c>
      <c r="B6" s="27">
        <v>6.305377</v>
      </c>
      <c r="C6" s="28">
        <f t="shared" ref="C6:C12" si="6">B5</f>
        <v>5.981122</v>
      </c>
      <c r="D6" s="24">
        <v>400</v>
      </c>
      <c r="E6" s="24">
        <v>17</v>
      </c>
      <c r="F6" s="24">
        <v>240</v>
      </c>
      <c r="G6" s="24">
        <v>10</v>
      </c>
      <c r="H6" s="24">
        <v>350</v>
      </c>
      <c r="I6" s="155">
        <f t="shared" si="0"/>
        <v>640</v>
      </c>
      <c r="J6" s="24">
        <f t="shared" si="1"/>
        <v>27</v>
      </c>
      <c r="K6" s="24">
        <f t="shared" si="2"/>
        <v>350</v>
      </c>
      <c r="L6" s="32">
        <f t="shared" si="3"/>
        <v>1.0169999999999999</v>
      </c>
      <c r="M6" s="24">
        <v>70</v>
      </c>
      <c r="N6" s="24">
        <v>101</v>
      </c>
      <c r="O6" s="24">
        <f t="shared" si="4"/>
        <v>0.17100000000000001</v>
      </c>
      <c r="P6" s="156">
        <f t="shared" si="5"/>
        <v>1.1879999999999999</v>
      </c>
    </row>
    <row r="7" spans="1:16" x14ac:dyDescent="0.35">
      <c r="A7" s="26">
        <v>1035</v>
      </c>
      <c r="B7" s="27">
        <v>6.6375080000000004</v>
      </c>
      <c r="C7" s="28">
        <f t="shared" si="6"/>
        <v>6.305377</v>
      </c>
      <c r="D7" s="24">
        <v>400</v>
      </c>
      <c r="E7" s="24">
        <v>17</v>
      </c>
      <c r="F7" s="24">
        <v>240</v>
      </c>
      <c r="G7" s="24">
        <v>10</v>
      </c>
      <c r="H7" s="24">
        <v>300</v>
      </c>
      <c r="I7" s="155">
        <f t="shared" si="0"/>
        <v>640</v>
      </c>
      <c r="J7" s="24">
        <f t="shared" si="1"/>
        <v>27</v>
      </c>
      <c r="K7" s="24">
        <f t="shared" si="2"/>
        <v>300</v>
      </c>
      <c r="L7" s="32">
        <f t="shared" si="3"/>
        <v>0.96699999999999997</v>
      </c>
      <c r="M7" s="24">
        <v>70</v>
      </c>
      <c r="N7" s="24">
        <v>92</v>
      </c>
      <c r="O7" s="24">
        <f t="shared" si="4"/>
        <v>0.16200000000000001</v>
      </c>
      <c r="P7" s="156">
        <f t="shared" si="5"/>
        <v>1.129</v>
      </c>
    </row>
    <row r="8" spans="1:16" x14ac:dyDescent="0.35">
      <c r="A8" s="26">
        <v>1040</v>
      </c>
      <c r="B8" s="27">
        <v>6.977665</v>
      </c>
      <c r="C8" s="28">
        <f t="shared" si="6"/>
        <v>6.6375080000000004</v>
      </c>
      <c r="D8" s="24">
        <v>400</v>
      </c>
      <c r="E8" s="24">
        <v>17</v>
      </c>
      <c r="F8" s="24">
        <v>240</v>
      </c>
      <c r="G8" s="24">
        <v>10</v>
      </c>
      <c r="H8" s="24">
        <v>250</v>
      </c>
      <c r="I8" s="155">
        <f t="shared" si="0"/>
        <v>640</v>
      </c>
      <c r="J8" s="24">
        <f t="shared" si="1"/>
        <v>27</v>
      </c>
      <c r="K8" s="24">
        <f t="shared" si="2"/>
        <v>250</v>
      </c>
      <c r="L8" s="32">
        <f t="shared" si="3"/>
        <v>0.91700000000000004</v>
      </c>
      <c r="M8" s="24">
        <v>70</v>
      </c>
      <c r="N8" s="24">
        <v>84</v>
      </c>
      <c r="O8" s="24">
        <f t="shared" si="4"/>
        <v>0.154</v>
      </c>
      <c r="P8" s="156">
        <f t="shared" si="5"/>
        <v>1.071</v>
      </c>
    </row>
    <row r="9" spans="1:16" x14ac:dyDescent="0.35">
      <c r="A9" s="26">
        <v>1045</v>
      </c>
      <c r="B9" s="27">
        <v>7.3260519999999998</v>
      </c>
      <c r="C9" s="28">
        <f t="shared" si="6"/>
        <v>6.977665</v>
      </c>
      <c r="D9" s="24">
        <v>400</v>
      </c>
      <c r="E9" s="24">
        <v>17</v>
      </c>
      <c r="F9" s="24">
        <v>240</v>
      </c>
      <c r="G9" s="24">
        <v>10</v>
      </c>
      <c r="H9" s="24">
        <v>200</v>
      </c>
      <c r="I9" s="155">
        <f t="shared" si="0"/>
        <v>640</v>
      </c>
      <c r="J9" s="24">
        <f t="shared" si="1"/>
        <v>27</v>
      </c>
      <c r="K9" s="24">
        <f t="shared" si="2"/>
        <v>200</v>
      </c>
      <c r="L9" s="32">
        <f t="shared" si="3"/>
        <v>0.86699999999999999</v>
      </c>
      <c r="M9" s="24">
        <v>70</v>
      </c>
      <c r="N9" s="24">
        <v>76</v>
      </c>
      <c r="O9" s="24">
        <f t="shared" si="4"/>
        <v>0.14599999999999999</v>
      </c>
      <c r="P9" s="156">
        <f t="shared" si="5"/>
        <v>1.0129999999999999</v>
      </c>
    </row>
    <row r="10" spans="1:16" x14ac:dyDescent="0.35">
      <c r="A10" s="26">
        <v>1050</v>
      </c>
      <c r="B10" s="27">
        <v>7.6828779999999997</v>
      </c>
      <c r="C10" s="28">
        <f t="shared" si="6"/>
        <v>7.3260519999999998</v>
      </c>
      <c r="D10" s="24">
        <v>400</v>
      </c>
      <c r="E10" s="24">
        <v>17</v>
      </c>
      <c r="F10" s="24">
        <v>192</v>
      </c>
      <c r="G10" s="24">
        <v>8</v>
      </c>
      <c r="H10" s="24">
        <v>0</v>
      </c>
      <c r="I10" s="155">
        <f t="shared" si="0"/>
        <v>592</v>
      </c>
      <c r="J10" s="24">
        <f t="shared" si="1"/>
        <v>25</v>
      </c>
      <c r="K10" s="24">
        <f t="shared" si="2"/>
        <v>0</v>
      </c>
      <c r="L10" s="32">
        <f t="shared" si="3"/>
        <v>0.61699999999999999</v>
      </c>
      <c r="M10" s="24">
        <v>70</v>
      </c>
      <c r="N10" s="24">
        <v>34</v>
      </c>
      <c r="O10" s="24">
        <f t="shared" si="4"/>
        <v>0.104</v>
      </c>
      <c r="P10" s="156">
        <f t="shared" si="5"/>
        <v>0.72099999999999997</v>
      </c>
    </row>
    <row r="11" spans="1:16" x14ac:dyDescent="0.35">
      <c r="A11" s="26">
        <v>1075</v>
      </c>
      <c r="B11" s="27">
        <v>9.6009879999900001</v>
      </c>
      <c r="C11" s="28">
        <f t="shared" si="6"/>
        <v>7.6828779999999997</v>
      </c>
      <c r="D11" s="24">
        <v>320</v>
      </c>
      <c r="E11" s="24">
        <v>13</v>
      </c>
      <c r="F11" s="24">
        <v>192</v>
      </c>
      <c r="G11" s="24">
        <v>8</v>
      </c>
      <c r="H11" s="24">
        <v>0</v>
      </c>
      <c r="I11" s="155">
        <f t="shared" si="0"/>
        <v>512</v>
      </c>
      <c r="J11" s="24">
        <f t="shared" si="1"/>
        <v>21</v>
      </c>
      <c r="K11" s="24">
        <f t="shared" si="2"/>
        <v>0</v>
      </c>
      <c r="L11" s="32">
        <f t="shared" si="3"/>
        <v>0.53300000000000003</v>
      </c>
      <c r="M11" s="24">
        <v>50</v>
      </c>
      <c r="N11" s="24">
        <v>30</v>
      </c>
      <c r="O11" s="156">
        <f t="shared" si="4"/>
        <v>0.08</v>
      </c>
      <c r="P11" s="156">
        <f t="shared" si="5"/>
        <v>0.61299999999999999</v>
      </c>
    </row>
    <row r="12" spans="1:16" x14ac:dyDescent="0.35">
      <c r="A12" s="26">
        <v>1090</v>
      </c>
      <c r="B12" s="27">
        <v>10.857008</v>
      </c>
      <c r="C12" s="28">
        <f t="shared" si="6"/>
        <v>9.6009879999900001</v>
      </c>
      <c r="D12" s="24">
        <v>0</v>
      </c>
      <c r="E12" s="24">
        <v>0</v>
      </c>
      <c r="F12" s="24">
        <v>192</v>
      </c>
      <c r="G12" s="24">
        <v>8</v>
      </c>
      <c r="H12" s="24">
        <v>0</v>
      </c>
      <c r="I12" s="155">
        <f t="shared" si="0"/>
        <v>192</v>
      </c>
      <c r="J12" s="24">
        <f t="shared" si="1"/>
        <v>8</v>
      </c>
      <c r="K12" s="24">
        <f t="shared" si="2"/>
        <v>0</v>
      </c>
      <c r="L12" s="32">
        <f t="shared" si="3"/>
        <v>0.2</v>
      </c>
      <c r="M12" s="24">
        <v>0</v>
      </c>
      <c r="N12" s="24">
        <v>41</v>
      </c>
      <c r="O12" s="24">
        <f t="shared" si="4"/>
        <v>4.1000000000000002E-2</v>
      </c>
      <c r="P12" s="156">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9"/>
    </row>
    <row r="15" spans="1:16" x14ac:dyDescent="0.35">
      <c r="B15" s="57"/>
      <c r="C15" s="58"/>
    </row>
    <row r="16" spans="1:16" x14ac:dyDescent="0.35">
      <c r="A16" t="s">
        <v>170</v>
      </c>
    </row>
    <row r="17" spans="1:16" x14ac:dyDescent="0.35">
      <c r="A17" s="54">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5">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5">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5">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5">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5">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5">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5">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5">
        <f t="shared" si="12"/>
        <v>1.375</v>
      </c>
    </row>
    <row r="26" spans="1:16" x14ac:dyDescent="0.35">
      <c r="A26" s="25">
        <v>955</v>
      </c>
    </row>
    <row r="29" spans="1:16" x14ac:dyDescent="0.35">
      <c r="A29" s="26"/>
      <c r="I29" s="9"/>
      <c r="L29" s="20"/>
      <c r="O29" s="2"/>
      <c r="P29" s="55"/>
    </row>
    <row r="30" spans="1:16" x14ac:dyDescent="0.35">
      <c r="A30" s="26"/>
      <c r="I30" s="9"/>
      <c r="L30" s="20"/>
      <c r="O30" s="2"/>
      <c r="P30" s="55"/>
    </row>
    <row r="31" spans="1:16" x14ac:dyDescent="0.35">
      <c r="A31" s="26"/>
      <c r="I31" s="9"/>
      <c r="L31" s="20"/>
      <c r="O31" s="2"/>
      <c r="P31" s="55"/>
    </row>
    <row r="32" spans="1:16" x14ac:dyDescent="0.35">
      <c r="A32" s="26"/>
      <c r="I32" s="9"/>
      <c r="L32" s="20"/>
      <c r="O32" s="2"/>
      <c r="P32" s="55"/>
    </row>
    <row r="33" spans="1:16" x14ac:dyDescent="0.35">
      <c r="A33" s="26"/>
      <c r="I33" s="9"/>
      <c r="L33" s="20"/>
      <c r="O33" s="2"/>
      <c r="P33" s="55"/>
    </row>
    <row r="34" spans="1:16" x14ac:dyDescent="0.35">
      <c r="A34" s="26"/>
      <c r="I34" s="9"/>
      <c r="L34" s="20"/>
      <c r="O34" s="2"/>
      <c r="P34" s="55"/>
    </row>
    <row r="35" spans="1:16" x14ac:dyDescent="0.35">
      <c r="A35" s="26"/>
      <c r="I35" s="9"/>
      <c r="L35" s="20"/>
      <c r="O35" s="2"/>
      <c r="P35" s="55"/>
    </row>
    <row r="36" spans="1:16" x14ac:dyDescent="0.35">
      <c r="A36" s="26"/>
      <c r="I36" s="9"/>
      <c r="L36" s="20"/>
      <c r="O36" s="2"/>
      <c r="P36" s="55"/>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40</v>
      </c>
    </row>
    <row r="3" spans="1:24" x14ac:dyDescent="0.35">
      <c r="A3" t="s">
        <v>62</v>
      </c>
    </row>
    <row r="5" spans="1:24" s="1" customFormat="1" x14ac:dyDescent="0.35">
      <c r="A5" s="1" t="s">
        <v>42</v>
      </c>
      <c r="B5" s="1" t="s">
        <v>41</v>
      </c>
      <c r="C5" s="12" t="s">
        <v>0</v>
      </c>
      <c r="D5" s="12" t="s">
        <v>1</v>
      </c>
      <c r="E5" s="12" t="s">
        <v>2</v>
      </c>
      <c r="F5" s="12" t="s">
        <v>3</v>
      </c>
      <c r="G5" s="12" t="s">
        <v>4</v>
      </c>
      <c r="H5" s="12" t="s">
        <v>5</v>
      </c>
      <c r="I5" s="12" t="s">
        <v>6</v>
      </c>
      <c r="J5" s="12" t="s">
        <v>7</v>
      </c>
      <c r="K5" s="12" t="s">
        <v>28</v>
      </c>
      <c r="L5" s="12" t="s">
        <v>29</v>
      </c>
      <c r="M5" s="12" t="s">
        <v>45</v>
      </c>
      <c r="N5" s="12" t="s">
        <v>46</v>
      </c>
      <c r="O5" s="12" t="s">
        <v>47</v>
      </c>
      <c r="P5" s="12" t="s">
        <v>48</v>
      </c>
      <c r="Q5" s="12" t="s">
        <v>49</v>
      </c>
      <c r="R5" s="12" t="s">
        <v>50</v>
      </c>
      <c r="S5" s="12" t="s">
        <v>51</v>
      </c>
      <c r="T5" s="12" t="s">
        <v>52</v>
      </c>
      <c r="U5" s="12" t="s">
        <v>53</v>
      </c>
      <c r="V5" s="1" t="s">
        <v>69</v>
      </c>
      <c r="W5" s="1" t="s">
        <v>70</v>
      </c>
      <c r="X5" s="1" t="s">
        <v>43</v>
      </c>
    </row>
    <row r="6" spans="1:24" x14ac:dyDescent="0.35">
      <c r="A6" t="s">
        <v>72</v>
      </c>
      <c r="B6" t="s">
        <v>73</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57</v>
      </c>
    </row>
    <row r="7" spans="1:24" x14ac:dyDescent="0.35">
      <c r="A7" t="s">
        <v>74</v>
      </c>
      <c r="B7" t="s">
        <v>44</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57</v>
      </c>
    </row>
    <row r="8" spans="1:24" x14ac:dyDescent="0.35">
      <c r="A8" t="s">
        <v>75</v>
      </c>
      <c r="B8" t="s">
        <v>59</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58</v>
      </c>
    </row>
    <row r="9" spans="1:24" x14ac:dyDescent="0.35">
      <c r="A9" t="s">
        <v>75</v>
      </c>
      <c r="B9" t="s">
        <v>60</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58</v>
      </c>
    </row>
    <row r="10" spans="1:24" x14ac:dyDescent="0.35">
      <c r="A10" t="s">
        <v>75</v>
      </c>
      <c r="B10" t="s">
        <v>61</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58</v>
      </c>
    </row>
    <row r="11" spans="1:24" x14ac:dyDescent="0.35">
      <c r="A11" t="s">
        <v>63</v>
      </c>
      <c r="B11" t="s">
        <v>76</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65</v>
      </c>
      <c r="B12" t="s">
        <v>66</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68</v>
      </c>
    </row>
    <row r="13" spans="1:24" x14ac:dyDescent="0.35">
      <c r="A13" t="s">
        <v>67</v>
      </c>
      <c r="B13" t="s">
        <v>66</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68</v>
      </c>
    </row>
    <row r="14" spans="1:24" x14ac:dyDescent="0.35">
      <c r="A14" t="s">
        <v>64</v>
      </c>
      <c r="B14" t="s">
        <v>66</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57</v>
      </c>
    </row>
    <row r="15" spans="1:24" x14ac:dyDescent="0.35">
      <c r="A15" t="s">
        <v>71</v>
      </c>
      <c r="B15" t="s">
        <v>59</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58</v>
      </c>
    </row>
    <row r="16" spans="1:24" x14ac:dyDescent="0.35">
      <c r="A16" t="s">
        <v>71</v>
      </c>
      <c r="B16" t="s">
        <v>60</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58</v>
      </c>
    </row>
    <row r="18" spans="1:21" x14ac:dyDescent="0.35">
      <c r="A18" s="1" t="s">
        <v>77</v>
      </c>
    </row>
    <row r="19" spans="1:21" x14ac:dyDescent="0.35">
      <c r="A19" t="s">
        <v>54</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55</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56</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67" customWidth="1"/>
    <col min="2" max="2" width="12.7265625" style="67" customWidth="1"/>
    <col min="3" max="3" width="9.453125" style="67" customWidth="1"/>
    <col min="4" max="4" width="46.26953125" style="67" customWidth="1"/>
    <col min="5" max="5" width="14.453125" style="98" customWidth="1"/>
    <col min="6" max="6" width="10.54296875" style="2" customWidth="1"/>
    <col min="7" max="7" width="10.54296875" style="19" customWidth="1"/>
  </cols>
  <sheetData>
    <row r="1" spans="1:9" x14ac:dyDescent="0.35">
      <c r="A1" s="66" t="s">
        <v>188</v>
      </c>
    </row>
    <row r="2" spans="1:9" x14ac:dyDescent="0.35">
      <c r="A2" s="67" t="s">
        <v>189</v>
      </c>
    </row>
    <row r="3" spans="1:9" x14ac:dyDescent="0.35">
      <c r="I3" s="1" t="s">
        <v>297</v>
      </c>
    </row>
    <row r="4" spans="1:9" s="60" customFormat="1" ht="43.5" x14ac:dyDescent="0.35">
      <c r="A4" s="40" t="s">
        <v>190</v>
      </c>
      <c r="B4" s="40" t="s">
        <v>195</v>
      </c>
      <c r="C4" s="40" t="s">
        <v>196</v>
      </c>
      <c r="D4" s="41" t="s">
        <v>191</v>
      </c>
      <c r="E4" s="40" t="s">
        <v>216</v>
      </c>
      <c r="F4" s="40" t="s">
        <v>217</v>
      </c>
      <c r="G4" s="142" t="s">
        <v>254</v>
      </c>
    </row>
    <row r="5" spans="1:9" s="60" customFormat="1" ht="58" x14ac:dyDescent="0.35">
      <c r="A5" s="72">
        <f>'Powell-Elevation-Area'!A5</f>
        <v>3370</v>
      </c>
      <c r="B5" s="88" t="s">
        <v>204</v>
      </c>
      <c r="C5" s="73" t="s">
        <v>198</v>
      </c>
      <c r="D5" s="74" t="str">
        <f>D7</f>
        <v>Highest uncertainty for native fish. Also represent a substantial risk to the tailwater trout fishery, as sustained temperatures of 19oC or higher are unsuitable for trout.</v>
      </c>
      <c r="E5" s="99" t="s">
        <v>219</v>
      </c>
      <c r="F5" s="99" t="s">
        <v>218</v>
      </c>
      <c r="G5" s="143">
        <f>VLOOKUP(A5,'Powell-Elevation-Area'!$A$5:$B$689,2)/1000000</f>
        <v>0</v>
      </c>
    </row>
    <row r="6" spans="1:9" s="60" customFormat="1" ht="58" x14ac:dyDescent="0.35">
      <c r="A6" s="69">
        <v>3425</v>
      </c>
      <c r="B6" s="70" t="str">
        <f>B7</f>
        <v>&gt; 18</v>
      </c>
      <c r="C6" s="70" t="s">
        <v>198</v>
      </c>
      <c r="D6" s="71" t="str">
        <f>D7</f>
        <v>Highest uncertainty for native fish. Also represent a substantial risk to the tailwater trout fishery, as sustained temperatures of 19oC or higher are unsuitable for trout.</v>
      </c>
      <c r="E6" s="99" t="str">
        <f>E5</f>
        <v>Highly uncertain</v>
      </c>
      <c r="F6" s="99" t="s">
        <v>218</v>
      </c>
      <c r="G6" s="143">
        <f>VLOOKUP(A6,'Powell-Elevation-Area'!$A$5:$B$689,2)/1000000</f>
        <v>1.40786875</v>
      </c>
    </row>
    <row r="7" spans="1:9" s="60" customFormat="1" ht="58" x14ac:dyDescent="0.35">
      <c r="A7" s="75">
        <v>3490</v>
      </c>
      <c r="B7" s="76" t="s">
        <v>204</v>
      </c>
      <c r="C7" s="76" t="s">
        <v>197</v>
      </c>
      <c r="D7" s="77" t="s">
        <v>194</v>
      </c>
      <c r="E7" s="100" t="str">
        <f>E6</f>
        <v>Highly uncertain</v>
      </c>
      <c r="F7" s="99" t="s">
        <v>218</v>
      </c>
      <c r="G7" s="143">
        <f>VLOOKUP(A7,'Powell-Elevation-Area'!$A$5:$B$689,2)/1000000</f>
        <v>3.9971625</v>
      </c>
    </row>
    <row r="8" spans="1:9" ht="72.5" x14ac:dyDescent="0.35">
      <c r="A8" s="78">
        <v>3525</v>
      </c>
      <c r="B8" s="79" t="s">
        <v>203</v>
      </c>
      <c r="C8" s="79" t="s">
        <v>197</v>
      </c>
      <c r="D8" s="80" t="s">
        <v>193</v>
      </c>
      <c r="E8" s="101" t="s">
        <v>220</v>
      </c>
      <c r="F8" s="101" t="s">
        <v>223</v>
      </c>
      <c r="G8" s="144">
        <f>VLOOKUP(A8,'Powell-Elevation-Area'!$A$5:$B$689,2)/1000000</f>
        <v>5.9265762500000001</v>
      </c>
    </row>
    <row r="9" spans="1:9" ht="43.5" x14ac:dyDescent="0.35">
      <c r="A9" s="81">
        <v>3600</v>
      </c>
      <c r="B9" s="82" t="s">
        <v>202</v>
      </c>
      <c r="C9" s="82" t="s">
        <v>197</v>
      </c>
      <c r="D9" s="83" t="s">
        <v>212</v>
      </c>
      <c r="E9" s="102" t="s">
        <v>213</v>
      </c>
      <c r="F9" s="102" t="str">
        <f>F8</f>
        <v>Help grow + incubate</v>
      </c>
      <c r="G9" s="145">
        <f>VLOOKUP(A9,'Powell-Elevation-Area'!$A$5:$B$689,2)/1000000</f>
        <v>11.750075000000001</v>
      </c>
    </row>
    <row r="10" spans="1:9" ht="101.5" x14ac:dyDescent="0.35">
      <c r="A10" s="84">
        <v>3675</v>
      </c>
      <c r="B10" s="85" t="s">
        <v>201</v>
      </c>
      <c r="C10" s="85" t="s">
        <v>197</v>
      </c>
      <c r="D10" s="86" t="s">
        <v>192</v>
      </c>
      <c r="E10" s="103" t="s">
        <v>222</v>
      </c>
      <c r="F10" s="103" t="s">
        <v>224</v>
      </c>
      <c r="G10" s="146">
        <f>VLOOKUP(A10,'Powell-Elevation-Area'!$A$5:$B$689,2)/1000000</f>
        <v>20.539037499999999</v>
      </c>
    </row>
    <row r="11" spans="1:9" ht="101.5" x14ac:dyDescent="0.35">
      <c r="A11" s="84">
        <v>3700</v>
      </c>
      <c r="B11" s="85" t="str">
        <f>B10</f>
        <v>&lt; 12</v>
      </c>
      <c r="C11" s="85" t="s">
        <v>197</v>
      </c>
      <c r="D11" s="8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3" t="str">
        <f>E10</f>
        <v>Help grow, reproduce, and survive</v>
      </c>
      <c r="F11" s="103" t="s">
        <v>224</v>
      </c>
      <c r="G11" s="146">
        <f>VLOOKUP(A11,'Powell-Elevation-Area'!$A$5:$B$689,2)/1000000</f>
        <v>24.322365000000001</v>
      </c>
    </row>
    <row r="13" spans="1:9" ht="16.5" x14ac:dyDescent="0.35">
      <c r="D13" s="68"/>
    </row>
    <row r="14" spans="1:9" ht="16.5" x14ac:dyDescent="0.35">
      <c r="D14" s="68"/>
    </row>
    <row r="15" spans="1:9" ht="16.5" x14ac:dyDescent="0.35">
      <c r="D15" s="6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Participants</vt:lpstr>
      <vt:lpstr>LawOfRiver</vt:lpstr>
      <vt:lpst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2022-01-24T22:47:11Z</dcterms:modified>
</cp:coreProperties>
</file>