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BBBCC53C-564B-4160-BB98-F64EED32573B}" xr6:coauthVersionLast="36" xr6:coauthVersionMax="36" xr10:uidLastSave="{00000000-0000-0000-0000-000000000000}"/>
  <bookViews>
    <workbookView xWindow="0" yWindow="0" windowWidth="19200" windowHeight="6650"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47" l="1"/>
  <c r="B55" i="47" l="1"/>
  <c r="B25" i="47"/>
  <c r="E50" i="47" l="1"/>
  <c r="F50" i="47"/>
  <c r="G50" i="47"/>
  <c r="H50" i="47"/>
  <c r="I50" i="47"/>
  <c r="J50" i="47"/>
  <c r="K50" i="47"/>
  <c r="L50" i="47"/>
  <c r="E51" i="47"/>
  <c r="F51" i="47"/>
  <c r="G51" i="47"/>
  <c r="H51" i="47"/>
  <c r="I51" i="47"/>
  <c r="J51" i="47"/>
  <c r="K51" i="47"/>
  <c r="L51" i="47"/>
  <c r="E52" i="47"/>
  <c r="F52" i="47"/>
  <c r="G52" i="47"/>
  <c r="H52" i="47"/>
  <c r="I52" i="47"/>
  <c r="J52" i="47"/>
  <c r="K52" i="47"/>
  <c r="L52" i="47"/>
  <c r="E53" i="47"/>
  <c r="F53" i="47"/>
  <c r="G53" i="47"/>
  <c r="H53" i="47"/>
  <c r="I53" i="47"/>
  <c r="J53" i="47"/>
  <c r="K53" i="47"/>
  <c r="L53" i="47"/>
  <c r="E54" i="47"/>
  <c r="F54" i="47"/>
  <c r="G54" i="47"/>
  <c r="H54" i="47"/>
  <c r="I54" i="47"/>
  <c r="J54" i="47"/>
  <c r="K54" i="47"/>
  <c r="L54" i="47"/>
  <c r="E56" i="47"/>
  <c r="F56" i="47"/>
  <c r="G56" i="47"/>
  <c r="H56" i="47"/>
  <c r="I56" i="47"/>
  <c r="J56" i="47"/>
  <c r="K56" i="47"/>
  <c r="L56" i="47"/>
  <c r="E57" i="47"/>
  <c r="F57" i="47"/>
  <c r="G57" i="47"/>
  <c r="H57" i="47"/>
  <c r="I57" i="47"/>
  <c r="J57" i="47"/>
  <c r="K57" i="47"/>
  <c r="L57" i="47"/>
  <c r="A57" i="47" l="1"/>
  <c r="B24" i="47" l="1"/>
  <c r="N59" i="47" l="1"/>
  <c r="N27" i="47"/>
  <c r="A55" i="47" l="1"/>
  <c r="B22" i="47"/>
  <c r="G55" i="47" l="1"/>
  <c r="F55" i="47"/>
  <c r="H55" i="47"/>
  <c r="I55" i="47"/>
  <c r="J55" i="47"/>
  <c r="K55" i="47"/>
  <c r="L55" i="47"/>
  <c r="E55" i="47"/>
  <c r="B22" i="52"/>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C29" i="52"/>
  <c r="C26"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D50" i="47" s="1"/>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F125" i="52" l="1"/>
  <c r="K125" i="52"/>
  <c r="L125" i="52"/>
  <c r="I125" i="52"/>
  <c r="F37" i="47"/>
  <c r="B37" i="47"/>
  <c r="C37" i="47" s="1"/>
  <c r="P51" i="47"/>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C52"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1" i="47" l="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D33" i="47" s="1"/>
  <c r="C80" i="47"/>
  <c r="C82" i="47" s="1"/>
  <c r="C127" i="47" s="1"/>
  <c r="D35" i="47" s="1"/>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27"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56" i="47" s="1"/>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7" i="47" l="1"/>
  <c r="D55" i="47" s="1"/>
  <c r="D54" i="47" s="1"/>
  <c r="D53" i="47" s="1"/>
  <c r="D52" i="47" s="1"/>
  <c r="D51" i="47" s="1"/>
  <c r="D104" i="47"/>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<sst xmlns="http://schemas.openxmlformats.org/spreadsheetml/2006/main" count="1221" uniqueCount="472">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</sst>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5">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3" fontId="5" fillId="5" borderId="9" xfId="6" applyNumberFormat="1" applyBorder="1" applyAlignment="1">
      <alignment horizontal="center"/>
    </xf>
    <xf numFmtId="0" fontId="7" fillId="20" borderId="0" xfId="7" applyFill="1" applyAlignment="1">
      <alignment horizontal="center" vertical="top"/>
    </xf>
    <xf numFmtId="0" fontId="0" fillId="0" borderId="0" xfId="0" applyAlignment="1">
      <alignment horizontal="left" vertical="top" wrapText="1"/>
    </xf>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10" fillId="6" borderId="0" xfId="0" applyFont="1" applyFill="1" applyAlignment="1">
      <alignment horizontal="center"/>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7" fillId="20" borderId="19" xfId="7" applyFill="1" applyBorder="1" applyAlignment="1">
      <alignment horizontal="left" vertical="top" wrapText="1"/>
    </xf>
    <xf numFmtId="0" fontId="10" fillId="0" borderId="0" xfId="0" applyFont="1" applyAlignment="1">
      <alignment horizontal="center"/>
    </xf>
    <xf numFmtId="0" fontId="1" fillId="6" borderId="5" xfId="0" applyFont="1" applyFill="1" applyBorder="1" applyAlignment="1">
      <alignment horizontal="left" vertical="top" wrapText="1"/>
    </xf>
    <xf numFmtId="0" fontId="16" fillId="0" borderId="0" xfId="7" applyFont="1" applyAlignment="1">
      <alignment vertical="top"/>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activeCell="N7" sqref="N7"/>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14" t="s">
        <v>198</v>
      </c>
      <c r="B1" s="214"/>
      <c r="C1" s="214"/>
      <c r="D1" s="214"/>
      <c r="E1" s="214"/>
      <c r="F1" s="214"/>
      <c r="G1" s="214"/>
      <c r="H1" s="214"/>
      <c r="I1" s="214"/>
      <c r="J1" s="214"/>
      <c r="K1" s="214"/>
      <c r="L1" s="214"/>
    </row>
    <row r="2" spans="1:18" x14ac:dyDescent="0.35">
      <c r="A2" s="1"/>
      <c r="B2" s="1"/>
      <c r="C2" s="2"/>
      <c r="D2"/>
    </row>
    <row r="3" spans="1:18" x14ac:dyDescent="0.35">
      <c r="A3" s="203" t="s">
        <v>384</v>
      </c>
      <c r="B3" s="204"/>
      <c r="C3" s="205"/>
      <c r="D3" s="206"/>
      <c r="E3" s="206"/>
      <c r="F3" s="206"/>
      <c r="G3" s="206"/>
      <c r="H3" s="206"/>
      <c r="I3" s="206"/>
      <c r="J3" s="206"/>
      <c r="K3" s="206"/>
      <c r="L3" s="207"/>
      <c r="N3" s="1" t="s">
        <v>302</v>
      </c>
    </row>
    <row r="4" spans="1:18" s="77" customFormat="1" ht="66" customHeight="1" x14ac:dyDescent="0.35">
      <c r="A4" s="211" t="s">
        <v>455</v>
      </c>
      <c r="B4" s="212"/>
      <c r="C4" s="212"/>
      <c r="D4" s="212"/>
      <c r="E4" s="212"/>
      <c r="F4" s="212"/>
      <c r="G4" s="212"/>
      <c r="H4" s="212"/>
      <c r="I4" s="212"/>
      <c r="J4" s="212"/>
      <c r="K4" s="212"/>
      <c r="L4" s="213"/>
      <c r="N4" s="210" t="s">
        <v>303</v>
      </c>
      <c r="O4" s="210"/>
      <c r="P4" s="210"/>
      <c r="Q4" s="210"/>
      <c r="R4" s="210"/>
    </row>
    <row r="5" spans="1:18" s="115" customFormat="1" ht="16" customHeight="1" x14ac:dyDescent="0.35">
      <c r="A5" s="211" t="s">
        <v>467</v>
      </c>
      <c r="B5" s="212"/>
      <c r="C5" s="212"/>
      <c r="D5" s="212"/>
      <c r="E5" s="212"/>
      <c r="F5" s="212"/>
      <c r="G5" s="212"/>
      <c r="H5" s="212"/>
      <c r="I5" s="212"/>
      <c r="J5" s="212"/>
      <c r="K5" s="212"/>
      <c r="L5" s="213"/>
    </row>
    <row r="6" spans="1:18" s="115" customFormat="1" ht="19.5" customHeight="1" x14ac:dyDescent="0.35">
      <c r="A6" s="271" t="s">
        <v>463</v>
      </c>
      <c r="B6" s="215"/>
      <c r="C6" s="215"/>
      <c r="D6" s="215"/>
      <c r="E6" s="215"/>
      <c r="F6" s="215"/>
      <c r="G6" s="215"/>
      <c r="H6" s="215"/>
      <c r="I6" s="215"/>
      <c r="J6" s="215"/>
      <c r="K6" s="215"/>
      <c r="L6" s="216"/>
      <c r="N6" s="274" t="s">
        <v>470</v>
      </c>
    </row>
    <row r="7" spans="1:18" s="115" customFormat="1" ht="14.5" customHeight="1" x14ac:dyDescent="0.35">
      <c r="A7" s="152"/>
      <c r="B7" s="152"/>
      <c r="C7" s="152"/>
      <c r="D7" s="152"/>
      <c r="E7" s="152"/>
      <c r="F7" s="152"/>
      <c r="G7" s="152"/>
      <c r="H7" s="152"/>
      <c r="I7" s="152"/>
      <c r="J7" s="152"/>
      <c r="K7" s="152"/>
      <c r="L7" s="152"/>
    </row>
    <row r="8" spans="1:18" s="115" customFormat="1" ht="16.5" customHeight="1" x14ac:dyDescent="0.35">
      <c r="A8" s="227" t="s">
        <v>385</v>
      </c>
      <c r="B8" s="228"/>
      <c r="C8" s="228"/>
      <c r="D8" s="228"/>
      <c r="E8" s="228"/>
      <c r="F8" s="228"/>
      <c r="G8" s="228"/>
      <c r="H8" s="228"/>
      <c r="I8" s="228"/>
      <c r="J8" s="228"/>
      <c r="K8" s="228"/>
      <c r="L8" s="229"/>
      <c r="N8" s="1" t="s">
        <v>388</v>
      </c>
    </row>
    <row r="9" spans="1:18" s="115" customFormat="1" ht="15" customHeight="1" x14ac:dyDescent="0.35">
      <c r="A9" s="273" t="s">
        <v>469</v>
      </c>
      <c r="B9" s="225"/>
      <c r="C9" s="225"/>
      <c r="D9" s="225"/>
      <c r="E9" s="225"/>
      <c r="F9" s="225"/>
      <c r="G9" s="225"/>
      <c r="H9" s="225"/>
      <c r="I9" s="225"/>
      <c r="J9" s="225"/>
      <c r="K9" s="225"/>
      <c r="L9" s="226"/>
      <c r="N9" s="141" t="s">
        <v>389</v>
      </c>
    </row>
    <row r="10" spans="1:18" s="115" customFormat="1" ht="16.5" customHeight="1" x14ac:dyDescent="0.35">
      <c r="A10" s="224" t="s">
        <v>386</v>
      </c>
      <c r="B10" s="225"/>
      <c r="C10" s="225"/>
      <c r="D10" s="225"/>
      <c r="E10" s="225"/>
      <c r="F10" s="225"/>
      <c r="G10" s="225"/>
      <c r="H10" s="225"/>
      <c r="I10" s="225"/>
      <c r="J10" s="225"/>
      <c r="K10" s="225"/>
      <c r="L10" s="226"/>
    </row>
    <row r="11" spans="1:18" s="83" customFormat="1" ht="15" customHeight="1" x14ac:dyDescent="0.35">
      <c r="A11" s="230" t="s">
        <v>383</v>
      </c>
      <c r="B11" s="225"/>
      <c r="C11" s="225"/>
      <c r="D11" s="225"/>
      <c r="E11" s="225"/>
      <c r="F11" s="225"/>
      <c r="G11" s="225"/>
      <c r="H11" s="225"/>
      <c r="I11" s="225"/>
      <c r="J11" s="225"/>
      <c r="K11" s="225"/>
      <c r="L11" s="226"/>
    </row>
    <row r="12" spans="1:18" s="83" customFormat="1" ht="17.25" customHeight="1" x14ac:dyDescent="0.35">
      <c r="A12" s="218" t="s">
        <v>387</v>
      </c>
      <c r="B12" s="219"/>
      <c r="C12" s="219"/>
      <c r="D12" s="219"/>
      <c r="E12" s="219"/>
      <c r="F12" s="219"/>
      <c r="G12" s="219"/>
      <c r="H12" s="219"/>
      <c r="I12" s="219"/>
      <c r="J12" s="219"/>
      <c r="K12" s="219"/>
      <c r="L12" s="220"/>
    </row>
    <row r="13" spans="1:18" ht="20.25" customHeight="1" x14ac:dyDescent="0.35">
      <c r="A13" s="221" t="s">
        <v>464</v>
      </c>
      <c r="B13" s="222"/>
      <c r="C13" s="222"/>
      <c r="D13" s="222"/>
      <c r="E13" s="222"/>
      <c r="F13" s="222"/>
      <c r="G13" s="222"/>
      <c r="H13" s="222"/>
      <c r="I13" s="222"/>
      <c r="J13" s="222"/>
      <c r="K13" s="222"/>
      <c r="L13" s="223"/>
    </row>
    <row r="14" spans="1:18" ht="20.25" customHeight="1" x14ac:dyDescent="0.35">
      <c r="B14" s="176"/>
      <c r="C14" s="176"/>
      <c r="D14" s="176"/>
      <c r="E14" s="176"/>
      <c r="F14" s="176"/>
      <c r="G14" s="176"/>
      <c r="H14" s="176"/>
      <c r="I14" s="176"/>
      <c r="J14" s="176"/>
      <c r="K14" s="176"/>
      <c r="L14" s="176"/>
    </row>
    <row r="15" spans="1:18" ht="16.5" customHeight="1" x14ac:dyDescent="0.35">
      <c r="A15" s="1" t="s">
        <v>390</v>
      </c>
    </row>
    <row r="16" spans="1:18" ht="15" customHeight="1" x14ac:dyDescent="0.35">
      <c r="B16" s="2" t="s">
        <v>92</v>
      </c>
      <c r="C16" t="s">
        <v>152</v>
      </c>
    </row>
    <row r="17" spans="1:12" ht="36.75" customHeight="1" x14ac:dyDescent="0.35">
      <c r="B17" s="2" t="s">
        <v>155</v>
      </c>
      <c r="C17" t="s">
        <v>197</v>
      </c>
    </row>
    <row r="18" spans="1:12" s="82" customFormat="1" ht="20.25" customHeight="1" x14ac:dyDescent="0.35">
      <c r="A18"/>
      <c r="B18" s="2" t="s">
        <v>92</v>
      </c>
      <c r="C18" t="s">
        <v>327</v>
      </c>
      <c r="D18" s="2"/>
      <c r="E18"/>
      <c r="F18"/>
      <c r="G18"/>
      <c r="H18"/>
      <c r="I18"/>
      <c r="J18"/>
      <c r="K18"/>
      <c r="L18"/>
    </row>
    <row r="19" spans="1:12" s="83" customFormat="1" x14ac:dyDescent="0.35">
      <c r="A19"/>
      <c r="B19" s="2" t="s">
        <v>325</v>
      </c>
      <c r="C19" t="s">
        <v>328</v>
      </c>
      <c r="D19" s="2"/>
      <c r="E19"/>
      <c r="F19"/>
      <c r="G19"/>
      <c r="H19"/>
      <c r="I19"/>
      <c r="J19"/>
      <c r="K19"/>
      <c r="L19"/>
    </row>
    <row r="20" spans="1:12" x14ac:dyDescent="0.35">
      <c r="B20" s="2" t="s">
        <v>326</v>
      </c>
      <c r="C20" t="s">
        <v>329</v>
      </c>
    </row>
    <row r="21" spans="1:12" x14ac:dyDescent="0.35">
      <c r="B21" s="2" t="s">
        <v>313</v>
      </c>
      <c r="C21" t="s">
        <v>316</v>
      </c>
    </row>
    <row r="22" spans="1:12" x14ac:dyDescent="0.35">
      <c r="B22" s="2" t="s">
        <v>314</v>
      </c>
      <c r="C22" t="s">
        <v>248</v>
      </c>
    </row>
    <row r="23" spans="1:12" x14ac:dyDescent="0.35">
      <c r="B23" s="2" t="s">
        <v>315</v>
      </c>
      <c r="C23" t="s">
        <v>247</v>
      </c>
    </row>
    <row r="24" spans="1:12" x14ac:dyDescent="0.35">
      <c r="B24" s="2" t="s">
        <v>209</v>
      </c>
      <c r="C24" t="s">
        <v>211</v>
      </c>
    </row>
    <row r="25" spans="1:12" x14ac:dyDescent="0.35">
      <c r="B25" s="2" t="s">
        <v>210</v>
      </c>
      <c r="C25" t="s">
        <v>140</v>
      </c>
    </row>
    <row r="26" spans="1:12" x14ac:dyDescent="0.35">
      <c r="B26" s="2" t="s">
        <v>153</v>
      </c>
      <c r="C26" t="s">
        <v>212</v>
      </c>
    </row>
    <row r="27" spans="1:12" x14ac:dyDescent="0.35">
      <c r="B27" s="2" t="s">
        <v>213</v>
      </c>
      <c r="C27" t="s">
        <v>214</v>
      </c>
    </row>
    <row r="28" spans="1:12" x14ac:dyDescent="0.35">
      <c r="B28" s="2" t="s">
        <v>238</v>
      </c>
      <c r="C28" t="s">
        <v>239</v>
      </c>
    </row>
    <row r="29" spans="1:12" x14ac:dyDescent="0.35">
      <c r="B29" s="2" t="s">
        <v>93</v>
      </c>
      <c r="C29" t="s">
        <v>94</v>
      </c>
    </row>
    <row r="30" spans="1:12" x14ac:dyDescent="0.35">
      <c r="B30" s="2" t="s">
        <v>95</v>
      </c>
      <c r="C30" t="s">
        <v>96</v>
      </c>
    </row>
    <row r="31" spans="1:12" x14ac:dyDescent="0.35">
      <c r="B31" s="2" t="s">
        <v>141</v>
      </c>
      <c r="C31" t="s">
        <v>142</v>
      </c>
    </row>
    <row r="32" spans="1:12" x14ac:dyDescent="0.35">
      <c r="B32" s="2" t="s">
        <v>372</v>
      </c>
      <c r="C32" t="s">
        <v>373</v>
      </c>
    </row>
    <row r="34" spans="1:12" x14ac:dyDescent="0.35">
      <c r="A34" s="1" t="s">
        <v>201</v>
      </c>
    </row>
    <row r="35" spans="1:12" x14ac:dyDescent="0.35">
      <c r="A35" t="s">
        <v>202</v>
      </c>
    </row>
    <row r="36" spans="1:12" x14ac:dyDescent="0.35">
      <c r="A36" t="s">
        <v>203</v>
      </c>
    </row>
    <row r="37" spans="1:12" x14ac:dyDescent="0.35">
      <c r="A37" s="67" t="s">
        <v>204</v>
      </c>
    </row>
    <row r="38" spans="1:12" x14ac:dyDescent="0.35">
      <c r="A38" s="67" t="s">
        <v>205</v>
      </c>
    </row>
    <row r="39" spans="1:12" x14ac:dyDescent="0.35">
      <c r="A39" s="67"/>
    </row>
    <row r="40" spans="1:12" x14ac:dyDescent="0.35">
      <c r="A40" s="1" t="s">
        <v>468</v>
      </c>
    </row>
    <row r="41" spans="1:12" x14ac:dyDescent="0.35">
      <c r="A41" s="67" t="s">
        <v>465</v>
      </c>
    </row>
    <row r="43" spans="1:12" x14ac:dyDescent="0.35">
      <c r="A43" s="1" t="s">
        <v>49</v>
      </c>
    </row>
    <row r="44" spans="1:12" ht="29" customHeight="1" x14ac:dyDescent="0.35">
      <c r="A44" s="217" t="s">
        <v>466</v>
      </c>
      <c r="B44" s="217"/>
      <c r="C44" s="217"/>
      <c r="D44" s="217"/>
      <c r="E44" s="217"/>
      <c r="F44" s="217"/>
      <c r="G44" s="217"/>
      <c r="H44" s="217"/>
      <c r="I44" s="217"/>
      <c r="J44" s="217"/>
      <c r="K44" s="217"/>
      <c r="L44" s="217"/>
    </row>
    <row r="49" ht="16" customHeight="1" x14ac:dyDescent="0.35"/>
    <row r="50" ht="29.25" customHeight="1" x14ac:dyDescent="0.35"/>
  </sheetData>
  <mergeCells count="12">
    <mergeCell ref="A1:L1"/>
    <mergeCell ref="A44:L44"/>
    <mergeCell ref="A12:L12"/>
    <mergeCell ref="A13:L13"/>
    <mergeCell ref="A9:L9"/>
    <mergeCell ref="A8:L8"/>
    <mergeCell ref="A10:L10"/>
    <mergeCell ref="A11:L11"/>
    <mergeCell ref="N4:R4"/>
    <mergeCell ref="A4:L4"/>
    <mergeCell ref="A5:L5"/>
    <mergeCell ref="A6:L6"/>
  </mergeCells>
  <hyperlinks>
    <hyperlink ref="A37" r:id="rId1" xr:uid="{6B934EC2-E381-41EE-938C-08FAF5E51BBE}"/>
    <hyperlink ref="A38"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41"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290</v>
      </c>
    </row>
    <row r="5" spans="1:13" x14ac:dyDescent="0.35">
      <c r="A5" s="122" t="s">
        <v>39</v>
      </c>
      <c r="B5" s="122"/>
      <c r="C5" s="244" t="s">
        <v>206</v>
      </c>
      <c r="D5" s="239"/>
      <c r="E5" s="239"/>
      <c r="F5" s="239"/>
      <c r="G5" s="239"/>
      <c r="M5" t="s">
        <v>291</v>
      </c>
    </row>
    <row r="6" spans="1:13" x14ac:dyDescent="0.35">
      <c r="A6" s="122" t="s">
        <v>40</v>
      </c>
      <c r="B6" s="122"/>
      <c r="C6" s="244" t="s">
        <v>207</v>
      </c>
      <c r="D6" s="239"/>
      <c r="E6" s="239"/>
      <c r="F6" s="239"/>
      <c r="G6" s="239"/>
      <c r="M6" t="s">
        <v>296</v>
      </c>
    </row>
    <row r="7" spans="1:13" x14ac:dyDescent="0.35">
      <c r="A7" s="122" t="s">
        <v>41</v>
      </c>
      <c r="B7" s="122"/>
      <c r="C7" s="244" t="s">
        <v>149</v>
      </c>
      <c r="D7" s="239"/>
      <c r="E7" s="239"/>
      <c r="F7" s="239"/>
      <c r="G7" s="239"/>
      <c r="M7" t="s">
        <v>297</v>
      </c>
    </row>
    <row r="8" spans="1:13" x14ac:dyDescent="0.35">
      <c r="A8" s="111" t="s">
        <v>154</v>
      </c>
      <c r="B8" s="111"/>
      <c r="C8" s="246" t="s">
        <v>301</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310</v>
      </c>
      <c r="C13" s="259"/>
      <c r="D13" s="259"/>
      <c r="E13" s="259"/>
      <c r="F13" s="259"/>
    </row>
    <row r="14" spans="1:13" x14ac:dyDescent="0.35">
      <c r="B14" s="260" t="s">
        <v>299</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274</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240</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275</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251</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252</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264</v>
      </c>
      <c r="B133" s="1"/>
    </row>
    <row r="134" spans="1:14" x14ac:dyDescent="0.35">
      <c r="A134" s="30" t="s">
        <v>265</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279</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270</v>
      </c>
    </row>
    <row r="136" spans="1:14" s="83" customFormat="1" ht="62.5" customHeight="1" x14ac:dyDescent="0.35">
      <c r="A136" s="115" t="s">
        <v>280</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286</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63" t="s">
        <v>40</v>
      </c>
      <c r="Q1" s="263"/>
      <c r="R1" s="263"/>
      <c r="S1" s="263"/>
      <c r="T1" s="263"/>
      <c r="U1" s="263"/>
      <c r="V1" s="263"/>
      <c r="W1" s="263"/>
      <c r="X1" s="263"/>
      <c r="Y1" s="263"/>
      <c r="AA1" s="263" t="s">
        <v>200</v>
      </c>
      <c r="AB1" s="263"/>
      <c r="AC1" s="263"/>
      <c r="AD1" s="263"/>
      <c r="AE1" s="263"/>
      <c r="AF1" s="263"/>
      <c r="AG1" s="263"/>
      <c r="AH1" s="263"/>
      <c r="AI1" s="263"/>
      <c r="AJ1" s="263"/>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290</v>
      </c>
    </row>
    <row r="5" spans="1:13" x14ac:dyDescent="0.35">
      <c r="A5" s="122" t="s">
        <v>39</v>
      </c>
      <c r="B5" s="122"/>
      <c r="C5" s="244" t="s">
        <v>206</v>
      </c>
      <c r="D5" s="239"/>
      <c r="E5" s="239"/>
      <c r="F5" s="239"/>
      <c r="G5" s="239"/>
      <c r="M5" t="s">
        <v>291</v>
      </c>
    </row>
    <row r="6" spans="1:13" x14ac:dyDescent="0.35">
      <c r="A6" s="122" t="s">
        <v>40</v>
      </c>
      <c r="B6" s="122"/>
      <c r="C6" s="244" t="s">
        <v>207</v>
      </c>
      <c r="D6" s="239"/>
      <c r="E6" s="239"/>
      <c r="F6" s="239"/>
      <c r="G6" s="239"/>
      <c r="M6" t="s">
        <v>296</v>
      </c>
    </row>
    <row r="7" spans="1:13" x14ac:dyDescent="0.35">
      <c r="A7" s="122" t="s">
        <v>41</v>
      </c>
      <c r="B7" s="122"/>
      <c r="C7" s="244" t="s">
        <v>149</v>
      </c>
      <c r="D7" s="239"/>
      <c r="E7" s="239"/>
      <c r="F7" s="239"/>
      <c r="G7" s="239"/>
      <c r="M7" t="s">
        <v>297</v>
      </c>
    </row>
    <row r="8" spans="1:13" x14ac:dyDescent="0.35">
      <c r="A8" s="111" t="s">
        <v>154</v>
      </c>
      <c r="B8" s="111"/>
      <c r="C8" s="246" t="s">
        <v>301</v>
      </c>
      <c r="D8" s="246"/>
      <c r="E8" s="246"/>
      <c r="F8" s="246"/>
      <c r="G8" s="246"/>
    </row>
    <row r="9" spans="1:13" x14ac:dyDescent="0.35">
      <c r="A9" s="126" t="s">
        <v>145</v>
      </c>
      <c r="B9" s="122"/>
      <c r="C9" s="239" t="s">
        <v>208</v>
      </c>
      <c r="D9" s="239"/>
      <c r="E9" s="239"/>
      <c r="F9" s="239"/>
      <c r="G9" s="239"/>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298</v>
      </c>
      <c r="C13" s="259"/>
      <c r="D13" s="259"/>
      <c r="E13" s="259"/>
      <c r="F13" s="259"/>
    </row>
    <row r="14" spans="1:13" x14ac:dyDescent="0.35">
      <c r="B14" s="260" t="s">
        <v>299</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274</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240</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275</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251</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252</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264</v>
      </c>
      <c r="B133" s="1"/>
    </row>
    <row r="134" spans="1:14" x14ac:dyDescent="0.35">
      <c r="A134" s="30" t="s">
        <v>265</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279</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270</v>
      </c>
    </row>
    <row r="136" spans="1:14" s="83" customFormat="1" ht="62.5" customHeight="1" x14ac:dyDescent="0.35">
      <c r="A136" s="115" t="s">
        <v>280</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286</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221</v>
      </c>
    </row>
    <row r="3" spans="1:16" s="1" customFormat="1" x14ac:dyDescent="0.35">
      <c r="D3" s="264" t="s">
        <v>222</v>
      </c>
      <c r="E3" s="264"/>
      <c r="F3" s="264" t="s">
        <v>223</v>
      </c>
      <c r="G3" s="264"/>
      <c r="H3" s="264"/>
      <c r="I3" s="264" t="s">
        <v>224</v>
      </c>
      <c r="J3" s="264"/>
      <c r="K3" s="264"/>
      <c r="L3" s="179"/>
      <c r="M3" s="264" t="s">
        <v>41</v>
      </c>
      <c r="N3" s="264"/>
      <c r="O3" s="264"/>
    </row>
    <row r="4" spans="1:16" s="69" customFormat="1" ht="42.65" customHeight="1" x14ac:dyDescent="0.35">
      <c r="A4" s="68" t="s">
        <v>126</v>
      </c>
      <c r="B4" s="68" t="s">
        <v>127</v>
      </c>
      <c r="C4" s="68" t="s">
        <v>233</v>
      </c>
      <c r="D4" s="68" t="s">
        <v>225</v>
      </c>
      <c r="E4" s="68" t="s">
        <v>226</v>
      </c>
      <c r="F4" s="68" t="s">
        <v>225</v>
      </c>
      <c r="G4" s="68" t="s">
        <v>226</v>
      </c>
      <c r="H4" s="68" t="s">
        <v>227</v>
      </c>
      <c r="I4" s="68" t="s">
        <v>225</v>
      </c>
      <c r="J4" s="68" t="s">
        <v>226</v>
      </c>
      <c r="K4" s="68" t="s">
        <v>227</v>
      </c>
      <c r="L4" s="68" t="s">
        <v>231</v>
      </c>
      <c r="M4" s="68" t="s">
        <v>229</v>
      </c>
      <c r="N4" s="68" t="s">
        <v>230</v>
      </c>
      <c r="O4" s="68" t="s">
        <v>228</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232</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253</v>
      </c>
    </row>
    <row r="2" spans="1:9" x14ac:dyDescent="0.35">
      <c r="A2" s="83" t="s">
        <v>254</v>
      </c>
    </row>
    <row r="3" spans="1:9" x14ac:dyDescent="0.35">
      <c r="I3" s="1" t="s">
        <v>380</v>
      </c>
    </row>
    <row r="4" spans="1:9" s="76" customFormat="1" ht="43.5" x14ac:dyDescent="0.35">
      <c r="A4" s="54" t="s">
        <v>255</v>
      </c>
      <c r="B4" s="54" t="s">
        <v>260</v>
      </c>
      <c r="C4" s="54" t="s">
        <v>261</v>
      </c>
      <c r="D4" s="55" t="s">
        <v>256</v>
      </c>
      <c r="E4" s="54" t="s">
        <v>281</v>
      </c>
      <c r="F4" s="54" t="s">
        <v>282</v>
      </c>
      <c r="G4" s="163" t="s">
        <v>336</v>
      </c>
    </row>
    <row r="5" spans="1:9" s="76" customFormat="1" ht="58" x14ac:dyDescent="0.35">
      <c r="A5" s="88">
        <f>'Powell-Elevation-Area'!A5</f>
        <v>3370</v>
      </c>
      <c r="B5" s="104" t="s">
        <v>269</v>
      </c>
      <c r="C5" s="89" t="s">
        <v>263</v>
      </c>
      <c r="D5" s="90" t="str">
        <f>D7</f>
        <v>Highest uncertainty for native fish. Also represent a substantial risk to the tailwater trout fishery, as sustained temperatures of 19oC or higher are unsuitable for trout.</v>
      </c>
      <c r="E5" s="117" t="s">
        <v>284</v>
      </c>
      <c r="F5" s="117" t="s">
        <v>283</v>
      </c>
      <c r="G5" s="164">
        <f>VLOOKUP(A5,'Powell-Elevation-Area'!$A$5:$B$689,2)/1000000</f>
        <v>0</v>
      </c>
    </row>
    <row r="6" spans="1:9" s="76" customFormat="1" ht="58" x14ac:dyDescent="0.35">
      <c r="A6" s="85">
        <v>3425</v>
      </c>
      <c r="B6" s="86" t="str">
        <f>B7</f>
        <v>&gt; 18</v>
      </c>
      <c r="C6" s="86" t="s">
        <v>263</v>
      </c>
      <c r="D6" s="87" t="str">
        <f>D7</f>
        <v>Highest uncertainty for native fish. Also represent a substantial risk to the tailwater trout fishery, as sustained temperatures of 19oC or higher are unsuitable for trout.</v>
      </c>
      <c r="E6" s="117" t="str">
        <f>E5</f>
        <v>Highly uncertain</v>
      </c>
      <c r="F6" s="117" t="s">
        <v>283</v>
      </c>
      <c r="G6" s="164">
        <f>VLOOKUP(A6,'Powell-Elevation-Area'!$A$5:$B$689,2)/1000000</f>
        <v>1.40786875</v>
      </c>
    </row>
    <row r="7" spans="1:9" s="76" customFormat="1" ht="58" x14ac:dyDescent="0.35">
      <c r="A7" s="91">
        <v>3490</v>
      </c>
      <c r="B7" s="92" t="s">
        <v>269</v>
      </c>
      <c r="C7" s="92" t="s">
        <v>262</v>
      </c>
      <c r="D7" s="93" t="s">
        <v>259</v>
      </c>
      <c r="E7" s="118" t="str">
        <f>E6</f>
        <v>Highly uncertain</v>
      </c>
      <c r="F7" s="117" t="s">
        <v>283</v>
      </c>
      <c r="G7" s="164">
        <f>VLOOKUP(A7,'Powell-Elevation-Area'!$A$5:$B$689,2)/1000000</f>
        <v>3.9971625</v>
      </c>
    </row>
    <row r="8" spans="1:9" ht="72.5" x14ac:dyDescent="0.35">
      <c r="A8" s="94">
        <v>3525</v>
      </c>
      <c r="B8" s="95" t="s">
        <v>268</v>
      </c>
      <c r="C8" s="95" t="s">
        <v>262</v>
      </c>
      <c r="D8" s="96" t="s">
        <v>258</v>
      </c>
      <c r="E8" s="119" t="s">
        <v>285</v>
      </c>
      <c r="F8" s="119" t="s">
        <v>288</v>
      </c>
      <c r="G8" s="165">
        <f>VLOOKUP(A8,'Powell-Elevation-Area'!$A$5:$B$689,2)/1000000</f>
        <v>5.9265762500000001</v>
      </c>
    </row>
    <row r="9" spans="1:9" ht="43.5" x14ac:dyDescent="0.35">
      <c r="A9" s="97">
        <v>3600</v>
      </c>
      <c r="B9" s="98" t="s">
        <v>267</v>
      </c>
      <c r="C9" s="98" t="s">
        <v>262</v>
      </c>
      <c r="D9" s="99" t="s">
        <v>277</v>
      </c>
      <c r="E9" s="120" t="s">
        <v>278</v>
      </c>
      <c r="F9" s="120" t="str">
        <f>F8</f>
        <v>Help grow + incubate</v>
      </c>
      <c r="G9" s="166">
        <f>VLOOKUP(A9,'Powell-Elevation-Area'!$A$5:$B$689,2)/1000000</f>
        <v>11.750075000000001</v>
      </c>
    </row>
    <row r="10" spans="1:9" ht="101.5" x14ac:dyDescent="0.35">
      <c r="A10" s="100">
        <v>3675</v>
      </c>
      <c r="B10" s="101" t="s">
        <v>266</v>
      </c>
      <c r="C10" s="101" t="s">
        <v>262</v>
      </c>
      <c r="D10" s="102" t="s">
        <v>257</v>
      </c>
      <c r="E10" s="121" t="s">
        <v>287</v>
      </c>
      <c r="F10" s="121" t="s">
        <v>289</v>
      </c>
      <c r="G10" s="167">
        <f>VLOOKUP(A10,'Powell-Elevation-Area'!$A$5:$B$689,2)/1000000</f>
        <v>20.539037499999999</v>
      </c>
    </row>
    <row r="11" spans="1:9" ht="101.5" x14ac:dyDescent="0.35">
      <c r="A11" s="100">
        <v>3700</v>
      </c>
      <c r="B11" s="101" t="str">
        <f>B10</f>
        <v>&lt; 12</v>
      </c>
      <c r="C11" s="101" t="s">
        <v>262</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289</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65"/>
      <c r="D5" s="265"/>
      <c r="E5" s="265"/>
      <c r="F5" s="265"/>
      <c r="G5" s="265"/>
      <c r="H5" s="265"/>
    </row>
    <row r="6" spans="1:11" x14ac:dyDescent="0.35">
      <c r="A6" s="15" t="s">
        <v>39</v>
      </c>
      <c r="B6" s="44"/>
      <c r="C6" s="265"/>
      <c r="D6" s="265"/>
      <c r="E6" s="265"/>
      <c r="F6" s="265"/>
      <c r="G6" s="265"/>
      <c r="H6" s="265"/>
    </row>
    <row r="7" spans="1:11" x14ac:dyDescent="0.35">
      <c r="A7" s="15" t="s">
        <v>40</v>
      </c>
      <c r="B7" s="44"/>
      <c r="C7" s="265"/>
      <c r="D7" s="265"/>
      <c r="E7" s="265"/>
      <c r="F7" s="265"/>
      <c r="G7" s="265"/>
      <c r="H7" s="265"/>
    </row>
    <row r="8" spans="1:11" x14ac:dyDescent="0.35">
      <c r="A8" s="15" t="s">
        <v>41</v>
      </c>
      <c r="B8" s="44"/>
      <c r="C8" s="265"/>
      <c r="D8" s="265"/>
      <c r="E8" s="265"/>
      <c r="F8" s="265"/>
      <c r="G8" s="265"/>
      <c r="H8" s="265"/>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371</v>
      </c>
    </row>
    <row r="3" spans="1:4" s="1" customFormat="1" x14ac:dyDescent="0.35">
      <c r="A3" s="270" t="s">
        <v>368</v>
      </c>
      <c r="B3" s="270"/>
      <c r="C3" s="270"/>
      <c r="D3" s="172" t="s">
        <v>367</v>
      </c>
    </row>
    <row r="4" spans="1:4" ht="29" x14ac:dyDescent="0.35">
      <c r="A4" s="266" t="s">
        <v>361</v>
      </c>
      <c r="B4" s="266"/>
      <c r="C4" s="266"/>
      <c r="D4" s="56" t="s">
        <v>366</v>
      </c>
    </row>
    <row r="5" spans="1:4" ht="43.5" x14ac:dyDescent="0.35">
      <c r="A5" s="267" t="s">
        <v>362</v>
      </c>
      <c r="B5" s="267"/>
      <c r="C5" s="267"/>
      <c r="D5" s="56" t="s">
        <v>382</v>
      </c>
    </row>
    <row r="6" spans="1:4" ht="58" x14ac:dyDescent="0.35">
      <c r="A6" s="268" t="s">
        <v>363</v>
      </c>
      <c r="B6" s="268"/>
      <c r="C6" s="268"/>
      <c r="D6" s="56" t="s">
        <v>365</v>
      </c>
    </row>
    <row r="7" spans="1:4" ht="29" x14ac:dyDescent="0.35">
      <c r="A7" s="269" t="s">
        <v>46</v>
      </c>
      <c r="B7" s="269"/>
      <c r="C7" s="269"/>
      <c r="D7" s="56" t="s">
        <v>364</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0"/>
  <sheetViews>
    <sheetView tabSelected="1" zoomScale="150" zoomScaleNormal="150" workbookViewId="0">
      <selection activeCell="C3" sqref="C3"/>
    </sheetView>
  </sheetViews>
  <sheetFormatPr defaultRowHeight="14.5" x14ac:dyDescent="0.35"/>
  <cols>
    <col min="1" max="1" width="12.54296875" style="57" customWidth="1"/>
    <col min="2" max="2" width="7.81640625" style="199" customWidth="1"/>
    <col min="3" max="3" width="29.81640625" style="56" customWidth="1"/>
    <col min="4" max="4" width="12.453125" style="59" customWidth="1"/>
    <col min="5" max="5" width="15.1796875" style="59" customWidth="1"/>
    <col min="6" max="6" width="12" style="57" customWidth="1"/>
    <col min="8" max="8" width="32.453125" style="77" customWidth="1"/>
    <col min="9" max="9" width="12.453125" style="77" customWidth="1"/>
    <col min="10" max="10" width="11" style="147" customWidth="1"/>
  </cols>
  <sheetData>
    <row r="1" spans="1:10" s="53" customFormat="1" ht="30.65" customHeight="1" x14ac:dyDescent="0.35">
      <c r="A1" s="54" t="s">
        <v>156</v>
      </c>
      <c r="B1" s="197" t="s">
        <v>175</v>
      </c>
      <c r="C1" s="55" t="s">
        <v>157</v>
      </c>
      <c r="D1" s="54" t="s">
        <v>159</v>
      </c>
      <c r="E1" s="54" t="s">
        <v>158</v>
      </c>
      <c r="F1" s="54" t="s">
        <v>160</v>
      </c>
      <c r="H1" s="144" t="s">
        <v>219</v>
      </c>
      <c r="I1" s="144" t="s">
        <v>158</v>
      </c>
      <c r="J1" s="145" t="s">
        <v>160</v>
      </c>
    </row>
    <row r="2" spans="1:10" x14ac:dyDescent="0.35">
      <c r="A2" s="80"/>
      <c r="B2" s="198"/>
      <c r="C2" s="79"/>
      <c r="D2" s="78"/>
      <c r="E2" s="78"/>
      <c r="F2" s="80"/>
      <c r="H2" s="56"/>
      <c r="I2" s="56"/>
      <c r="J2" s="57"/>
    </row>
    <row r="3" spans="1:10" ht="87" x14ac:dyDescent="0.35">
      <c r="A3" s="80">
        <v>44532</v>
      </c>
      <c r="B3" s="198" t="s">
        <v>462</v>
      </c>
      <c r="C3" s="79" t="s">
        <v>471</v>
      </c>
      <c r="D3" s="78" t="s">
        <v>150</v>
      </c>
      <c r="E3" s="78" t="s">
        <v>150</v>
      </c>
      <c r="F3" s="80"/>
      <c r="H3" s="56"/>
      <c r="I3" s="56"/>
      <c r="J3" s="57"/>
    </row>
    <row r="4" spans="1:10" ht="29" x14ac:dyDescent="0.35">
      <c r="A4" s="80">
        <v>44501</v>
      </c>
      <c r="B4" s="198" t="s">
        <v>460</v>
      </c>
      <c r="C4" s="79" t="s">
        <v>461</v>
      </c>
      <c r="D4" s="78" t="s">
        <v>150</v>
      </c>
      <c r="E4" s="78" t="s">
        <v>150</v>
      </c>
      <c r="F4" s="80"/>
      <c r="H4" s="56"/>
      <c r="I4" s="56"/>
      <c r="J4" s="58"/>
    </row>
    <row r="5" spans="1:10" ht="40.5" customHeight="1" x14ac:dyDescent="0.35">
      <c r="A5" s="80">
        <v>44500</v>
      </c>
      <c r="B5" s="198" t="s">
        <v>458</v>
      </c>
      <c r="C5" s="79" t="s">
        <v>459</v>
      </c>
      <c r="D5" s="78" t="s">
        <v>150</v>
      </c>
      <c r="E5" s="78" t="s">
        <v>150</v>
      </c>
      <c r="F5" s="80"/>
      <c r="H5" s="56"/>
      <c r="I5" s="56"/>
      <c r="J5" s="58"/>
    </row>
    <row r="6" spans="1:10" ht="38.5" customHeight="1" x14ac:dyDescent="0.35">
      <c r="A6" s="80">
        <v>44496</v>
      </c>
      <c r="B6" s="198" t="s">
        <v>452</v>
      </c>
      <c r="C6" s="79" t="s">
        <v>453</v>
      </c>
      <c r="D6" s="78" t="s">
        <v>150</v>
      </c>
      <c r="E6" s="78" t="s">
        <v>443</v>
      </c>
      <c r="F6" s="80"/>
      <c r="H6" s="56" t="s">
        <v>220</v>
      </c>
      <c r="I6" s="56" t="s">
        <v>150</v>
      </c>
      <c r="J6" s="57"/>
    </row>
    <row r="7" spans="1:10" ht="72.5" x14ac:dyDescent="0.35">
      <c r="A7" s="80">
        <v>44496</v>
      </c>
      <c r="B7" s="198" t="s">
        <v>449</v>
      </c>
      <c r="C7" s="79" t="s">
        <v>450</v>
      </c>
      <c r="D7" s="78" t="s">
        <v>150</v>
      </c>
      <c r="E7" s="78" t="s">
        <v>451</v>
      </c>
      <c r="F7" s="80">
        <v>44495</v>
      </c>
      <c r="H7" s="56" t="s">
        <v>444</v>
      </c>
      <c r="I7" s="146" t="s">
        <v>241</v>
      </c>
      <c r="J7" s="58">
        <v>44482</v>
      </c>
    </row>
    <row r="8" spans="1:10" ht="29" x14ac:dyDescent="0.35">
      <c r="A8" s="80">
        <v>44480</v>
      </c>
      <c r="B8" s="198" t="s">
        <v>442</v>
      </c>
      <c r="C8" s="79" t="s">
        <v>439</v>
      </c>
      <c r="D8" s="78" t="s">
        <v>150</v>
      </c>
      <c r="E8" s="78"/>
      <c r="F8" s="80"/>
      <c r="H8" s="56" t="s">
        <v>445</v>
      </c>
      <c r="I8" s="146" t="s">
        <v>150</v>
      </c>
      <c r="J8" s="58"/>
    </row>
    <row r="9" spans="1:10" ht="29" x14ac:dyDescent="0.35">
      <c r="A9" s="80">
        <v>44480</v>
      </c>
      <c r="B9" s="198" t="s">
        <v>441</v>
      </c>
      <c r="C9" s="79" t="s">
        <v>437</v>
      </c>
      <c r="D9" s="78" t="s">
        <v>150</v>
      </c>
      <c r="E9" s="78" t="s">
        <v>150</v>
      </c>
      <c r="F9" s="80"/>
      <c r="H9" s="56" t="s">
        <v>246</v>
      </c>
      <c r="I9" s="56" t="s">
        <v>241</v>
      </c>
      <c r="J9" s="58">
        <v>44385</v>
      </c>
    </row>
    <row r="10" spans="1:10" ht="29" x14ac:dyDescent="0.35">
      <c r="A10" s="80">
        <v>44480</v>
      </c>
      <c r="B10" s="198" t="s">
        <v>440</v>
      </c>
      <c r="C10" s="79" t="s">
        <v>436</v>
      </c>
      <c r="D10" s="78" t="s">
        <v>150</v>
      </c>
      <c r="E10" s="78" t="s">
        <v>391</v>
      </c>
      <c r="F10" s="80" t="s">
        <v>392</v>
      </c>
      <c r="H10" s="56" t="s">
        <v>319</v>
      </c>
      <c r="I10" s="146" t="s">
        <v>308</v>
      </c>
      <c r="J10" s="58">
        <v>44391</v>
      </c>
    </row>
    <row r="11" spans="1:10" ht="72.5" x14ac:dyDescent="0.35">
      <c r="A11" s="80">
        <v>44474</v>
      </c>
      <c r="B11" s="78">
        <v>3.7</v>
      </c>
      <c r="C11" s="79" t="s">
        <v>374</v>
      </c>
      <c r="D11" s="78" t="s">
        <v>150</v>
      </c>
      <c r="E11" s="78" t="s">
        <v>150</v>
      </c>
      <c r="F11" s="80"/>
      <c r="H11" s="56" t="s">
        <v>244</v>
      </c>
      <c r="I11" s="146" t="s">
        <v>308</v>
      </c>
      <c r="J11" s="58">
        <v>44391</v>
      </c>
    </row>
    <row r="12" spans="1:10" ht="43.5" x14ac:dyDescent="0.35">
      <c r="A12" s="80">
        <v>44463</v>
      </c>
      <c r="B12" s="78" t="s">
        <v>457</v>
      </c>
      <c r="C12" s="79" t="s">
        <v>355</v>
      </c>
      <c r="D12" s="78" t="s">
        <v>150</v>
      </c>
      <c r="E12" s="78" t="s">
        <v>337</v>
      </c>
      <c r="F12" s="80">
        <v>44432</v>
      </c>
      <c r="H12" s="56" t="s">
        <v>245</v>
      </c>
      <c r="I12" s="146" t="s">
        <v>308</v>
      </c>
      <c r="J12" s="58">
        <v>44391</v>
      </c>
    </row>
    <row r="13" spans="1:10" ht="58" x14ac:dyDescent="0.35">
      <c r="A13" s="80">
        <v>44459</v>
      </c>
      <c r="B13" s="78" t="s">
        <v>333</v>
      </c>
      <c r="C13" s="79" t="s">
        <v>334</v>
      </c>
      <c r="D13" s="78" t="s">
        <v>150</v>
      </c>
      <c r="E13" s="78" t="s">
        <v>150</v>
      </c>
      <c r="F13" s="80"/>
      <c r="H13" s="56"/>
      <c r="I13" s="56"/>
      <c r="J13" s="57"/>
    </row>
    <row r="14" spans="1:10" ht="43.5" x14ac:dyDescent="0.35">
      <c r="A14" s="80">
        <v>44459</v>
      </c>
      <c r="B14" s="78">
        <v>3.6</v>
      </c>
      <c r="C14" s="79" t="s">
        <v>335</v>
      </c>
      <c r="D14" s="78" t="s">
        <v>150</v>
      </c>
      <c r="E14" s="78" t="s">
        <v>150</v>
      </c>
      <c r="F14" s="80"/>
      <c r="H14" s="56"/>
      <c r="I14" s="56"/>
      <c r="J14" s="57"/>
    </row>
    <row r="15" spans="1:10" ht="58" x14ac:dyDescent="0.35">
      <c r="A15" s="80">
        <v>44432</v>
      </c>
      <c r="B15" s="78">
        <v>3.5</v>
      </c>
      <c r="C15" s="79" t="s">
        <v>324</v>
      </c>
      <c r="D15" s="78" t="s">
        <v>150</v>
      </c>
      <c r="E15" s="78" t="s">
        <v>150</v>
      </c>
      <c r="F15" s="80">
        <v>44424</v>
      </c>
      <c r="H15" s="56"/>
      <c r="I15" s="56"/>
      <c r="J15" s="57"/>
    </row>
    <row r="16" spans="1:10" ht="101.5" x14ac:dyDescent="0.35">
      <c r="A16" s="80">
        <v>44432</v>
      </c>
      <c r="B16" s="78">
        <v>3.5</v>
      </c>
      <c r="C16" s="79" t="s">
        <v>330</v>
      </c>
      <c r="D16" s="78" t="s">
        <v>150</v>
      </c>
      <c r="E16" s="78" t="s">
        <v>320</v>
      </c>
      <c r="F16" s="80">
        <v>44424</v>
      </c>
      <c r="H16" s="56"/>
      <c r="I16" s="56"/>
      <c r="J16" s="57"/>
    </row>
    <row r="17" spans="1:6" ht="87" x14ac:dyDescent="0.35">
      <c r="A17" s="80">
        <v>44432</v>
      </c>
      <c r="B17" s="78">
        <v>3.5</v>
      </c>
      <c r="C17" s="79" t="s">
        <v>321</v>
      </c>
      <c r="D17" s="78" t="s">
        <v>150</v>
      </c>
      <c r="E17" s="78"/>
      <c r="F17" s="80"/>
    </row>
    <row r="18" spans="1:6" ht="43.5" x14ac:dyDescent="0.35">
      <c r="A18" s="80">
        <v>44423</v>
      </c>
      <c r="B18" s="78" t="s">
        <v>311</v>
      </c>
      <c r="C18" s="79" t="s">
        <v>312</v>
      </c>
      <c r="D18" s="78" t="s">
        <v>150</v>
      </c>
      <c r="E18" s="78" t="s">
        <v>150</v>
      </c>
      <c r="F18" s="80"/>
    </row>
    <row r="19" spans="1:6" ht="43.5" x14ac:dyDescent="0.35">
      <c r="A19" s="80">
        <v>44405</v>
      </c>
      <c r="B19" s="78" t="s">
        <v>307</v>
      </c>
      <c r="C19" s="56" t="s">
        <v>309</v>
      </c>
      <c r="D19" s="78" t="s">
        <v>150</v>
      </c>
      <c r="E19" s="78" t="s">
        <v>308</v>
      </c>
      <c r="F19" s="80">
        <v>44405</v>
      </c>
    </row>
    <row r="20" spans="1:6" ht="29" x14ac:dyDescent="0.35">
      <c r="A20" s="80">
        <v>44405</v>
      </c>
      <c r="B20" s="78" t="s">
        <v>305</v>
      </c>
      <c r="C20" s="79" t="s">
        <v>306</v>
      </c>
      <c r="D20" s="78" t="s">
        <v>150</v>
      </c>
      <c r="E20" s="78" t="s">
        <v>150</v>
      </c>
      <c r="F20" s="80">
        <v>44405</v>
      </c>
    </row>
    <row r="21" spans="1:6" ht="72.5" x14ac:dyDescent="0.35">
      <c r="A21" s="80">
        <v>44405</v>
      </c>
      <c r="B21" s="78" t="s">
        <v>276</v>
      </c>
      <c r="C21" s="79" t="s">
        <v>304</v>
      </c>
      <c r="D21" s="78" t="s">
        <v>150</v>
      </c>
      <c r="E21" s="78" t="s">
        <v>308</v>
      </c>
      <c r="F21" s="80">
        <v>44391</v>
      </c>
    </row>
    <row r="22" spans="1:6" ht="43.5" x14ac:dyDescent="0.35">
      <c r="A22" s="78" t="s">
        <v>272</v>
      </c>
      <c r="B22" s="78" t="s">
        <v>271</v>
      </c>
      <c r="C22" s="56" t="s">
        <v>273</v>
      </c>
      <c r="D22" s="78" t="s">
        <v>150</v>
      </c>
      <c r="E22" s="78" t="s">
        <v>308</v>
      </c>
      <c r="F22" s="80">
        <v>44391</v>
      </c>
    </row>
    <row r="23" spans="1:6" ht="29" x14ac:dyDescent="0.35">
      <c r="A23" s="78" t="s">
        <v>272</v>
      </c>
      <c r="B23" s="78" t="s">
        <v>271</v>
      </c>
      <c r="C23" s="56" t="s">
        <v>243</v>
      </c>
      <c r="D23" s="78" t="s">
        <v>150</v>
      </c>
      <c r="E23" s="78" t="s">
        <v>308</v>
      </c>
      <c r="F23" s="80">
        <v>44391</v>
      </c>
    </row>
    <row r="24" spans="1:6" ht="101.5" x14ac:dyDescent="0.35">
      <c r="A24" s="80">
        <v>44403</v>
      </c>
      <c r="B24" s="78" t="s">
        <v>249</v>
      </c>
      <c r="C24" s="79" t="s">
        <v>250</v>
      </c>
      <c r="D24" s="78" t="s">
        <v>150</v>
      </c>
      <c r="E24" s="78" t="s">
        <v>308</v>
      </c>
      <c r="F24" s="80">
        <v>44391</v>
      </c>
    </row>
    <row r="25" spans="1:6" ht="58" x14ac:dyDescent="0.35">
      <c r="A25" s="58">
        <v>44389</v>
      </c>
      <c r="B25" s="57" t="s">
        <v>236</v>
      </c>
      <c r="C25" s="56" t="s">
        <v>237</v>
      </c>
      <c r="D25" s="59" t="s">
        <v>150</v>
      </c>
      <c r="E25" s="59" t="s">
        <v>150</v>
      </c>
      <c r="F25" s="58">
        <v>44389</v>
      </c>
    </row>
    <row r="26" spans="1:6" ht="29" x14ac:dyDescent="0.35">
      <c r="A26" s="58">
        <v>44389</v>
      </c>
      <c r="B26" s="57" t="s">
        <v>234</v>
      </c>
      <c r="C26" s="56" t="s">
        <v>235</v>
      </c>
      <c r="D26" s="59" t="s">
        <v>150</v>
      </c>
      <c r="E26" s="59" t="s">
        <v>241</v>
      </c>
      <c r="F26" s="58">
        <v>44385</v>
      </c>
    </row>
    <row r="27" spans="1:6" ht="58" x14ac:dyDescent="0.35">
      <c r="A27" s="58">
        <v>44385</v>
      </c>
      <c r="B27" s="57" t="s">
        <v>215</v>
      </c>
      <c r="C27" s="56" t="s">
        <v>216</v>
      </c>
      <c r="D27" s="59" t="s">
        <v>150</v>
      </c>
      <c r="E27" s="59" t="s">
        <v>150</v>
      </c>
      <c r="F27" s="58">
        <f>A27</f>
        <v>44385</v>
      </c>
    </row>
    <row r="28" spans="1:6" ht="29" x14ac:dyDescent="0.35">
      <c r="A28" s="58">
        <v>44384</v>
      </c>
      <c r="B28" s="57" t="s">
        <v>199</v>
      </c>
      <c r="C28" s="56" t="s">
        <v>217</v>
      </c>
      <c r="D28" s="59" t="s">
        <v>150</v>
      </c>
      <c r="E28" s="59" t="s">
        <v>150</v>
      </c>
      <c r="F28" s="58">
        <v>44384</v>
      </c>
    </row>
    <row r="29" spans="1:6" ht="43.5" x14ac:dyDescent="0.35">
      <c r="A29" s="58">
        <v>44384</v>
      </c>
      <c r="B29" s="57" t="s">
        <v>196</v>
      </c>
      <c r="C29" s="56" t="s">
        <v>218</v>
      </c>
      <c r="D29" s="59" t="s">
        <v>150</v>
      </c>
      <c r="E29" s="59" t="s">
        <v>150</v>
      </c>
      <c r="F29" s="58">
        <v>44384</v>
      </c>
    </row>
    <row r="30" spans="1:6" ht="43.5" x14ac:dyDescent="0.35">
      <c r="A30" s="58">
        <v>44378</v>
      </c>
      <c r="B30" s="57" t="s">
        <v>187</v>
      </c>
      <c r="C30" s="56" t="s">
        <v>188</v>
      </c>
      <c r="D30" s="59" t="s">
        <v>150</v>
      </c>
      <c r="E30" s="59" t="s">
        <v>150</v>
      </c>
      <c r="F30" s="58">
        <v>44378</v>
      </c>
    </row>
    <row r="31" spans="1:6" x14ac:dyDescent="0.35">
      <c r="A31" s="58">
        <v>44377</v>
      </c>
      <c r="B31" s="57" t="s">
        <v>185</v>
      </c>
      <c r="C31" s="56" t="s">
        <v>189</v>
      </c>
      <c r="D31" s="59" t="s">
        <v>150</v>
      </c>
      <c r="E31" s="59" t="s">
        <v>150</v>
      </c>
      <c r="F31" s="58">
        <v>44377</v>
      </c>
    </row>
    <row r="32" spans="1:6" ht="72.5" x14ac:dyDescent="0.35">
      <c r="A32" s="58">
        <v>44377</v>
      </c>
      <c r="B32" s="57" t="s">
        <v>183</v>
      </c>
      <c r="C32" s="56" t="s">
        <v>184</v>
      </c>
      <c r="D32" s="59" t="s">
        <v>150</v>
      </c>
      <c r="E32" s="59" t="s">
        <v>242</v>
      </c>
      <c r="F32" s="58">
        <v>44372</v>
      </c>
    </row>
    <row r="33" spans="1:6" ht="43.5" x14ac:dyDescent="0.35">
      <c r="A33" s="58">
        <v>44377</v>
      </c>
      <c r="B33" s="57">
        <v>3.3</v>
      </c>
      <c r="C33" s="56" t="s">
        <v>177</v>
      </c>
      <c r="D33" s="59" t="s">
        <v>150</v>
      </c>
      <c r="E33" s="59" t="s">
        <v>242</v>
      </c>
      <c r="F33" s="58">
        <v>44372</v>
      </c>
    </row>
    <row r="34" spans="1:6" ht="29" x14ac:dyDescent="0.35">
      <c r="A34" s="58">
        <v>44377</v>
      </c>
      <c r="B34" s="57" t="s">
        <v>176</v>
      </c>
      <c r="C34" s="56" t="s">
        <v>161</v>
      </c>
      <c r="D34" s="59" t="s">
        <v>150</v>
      </c>
      <c r="E34" s="59" t="s">
        <v>150</v>
      </c>
      <c r="F34" s="58">
        <v>44377</v>
      </c>
    </row>
    <row r="35" spans="1:6" ht="116" x14ac:dyDescent="0.35">
      <c r="A35" s="58">
        <v>44367</v>
      </c>
      <c r="B35" s="57">
        <v>3.2</v>
      </c>
      <c r="C35" s="56" t="s">
        <v>168</v>
      </c>
      <c r="D35" s="59" t="s">
        <v>150</v>
      </c>
      <c r="E35" s="59" t="s">
        <v>150</v>
      </c>
      <c r="F35" s="58">
        <v>44367</v>
      </c>
    </row>
    <row r="36" spans="1:6" ht="29" x14ac:dyDescent="0.35">
      <c r="A36" s="58">
        <v>44331</v>
      </c>
      <c r="B36" s="57">
        <v>3.1</v>
      </c>
      <c r="C36" s="56" t="s">
        <v>167</v>
      </c>
      <c r="D36" s="59" t="s">
        <v>150</v>
      </c>
      <c r="E36" s="59" t="s">
        <v>150</v>
      </c>
      <c r="F36" s="58">
        <v>44331</v>
      </c>
    </row>
    <row r="37" spans="1:6" ht="72.5" x14ac:dyDescent="0.35">
      <c r="A37" s="58">
        <v>44319</v>
      </c>
      <c r="B37" s="57">
        <v>3</v>
      </c>
      <c r="C37" s="56" t="s">
        <v>166</v>
      </c>
      <c r="D37" s="59" t="s">
        <v>150</v>
      </c>
      <c r="E37" s="59" t="s">
        <v>162</v>
      </c>
      <c r="F37" s="58">
        <v>44315</v>
      </c>
    </row>
    <row r="38" spans="1:6" ht="29" x14ac:dyDescent="0.35">
      <c r="A38" s="58">
        <v>44307</v>
      </c>
      <c r="B38" s="57">
        <v>2</v>
      </c>
      <c r="C38" s="56" t="s">
        <v>163</v>
      </c>
      <c r="D38" s="59" t="s">
        <v>150</v>
      </c>
      <c r="E38" s="59" t="s">
        <v>241</v>
      </c>
      <c r="F38" s="58">
        <v>44294</v>
      </c>
    </row>
    <row r="39" spans="1:6" ht="29" x14ac:dyDescent="0.35">
      <c r="A39" s="58">
        <v>44293</v>
      </c>
      <c r="B39" s="61">
        <v>1</v>
      </c>
      <c r="C39" s="56" t="s">
        <v>165</v>
      </c>
      <c r="D39" s="59" t="s">
        <v>150</v>
      </c>
      <c r="E39" s="59" t="s">
        <v>164</v>
      </c>
      <c r="F39" s="58">
        <v>44291</v>
      </c>
    </row>
    <row r="40" spans="1:6" x14ac:dyDescent="0.35">
      <c r="A40" s="58">
        <v>44291</v>
      </c>
      <c r="B40" s="61">
        <v>0.5</v>
      </c>
      <c r="C40" s="56" t="s">
        <v>456</v>
      </c>
      <c r="D40" s="59" t="s">
        <v>150</v>
      </c>
      <c r="E40" s="59" t="s">
        <v>150</v>
      </c>
      <c r="F40" s="58">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zoomScale="150" zoomScaleNormal="150" workbookViewId="0">
      <selection activeCell="A3" sqref="A3:G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72" t="str">
        <f>'ReadMe-Directions'!A1</f>
        <v>Pilot flex accounting to encourage more water conservation in a combined Lake Powell-Lake Mead system</v>
      </c>
      <c r="B1" s="272"/>
      <c r="C1" s="272"/>
      <c r="D1" s="272"/>
      <c r="E1" s="272"/>
      <c r="F1" s="272"/>
      <c r="G1" s="272"/>
    </row>
    <row r="2" spans="1:14" x14ac:dyDescent="0.35">
      <c r="A2" s="1" t="s">
        <v>356</v>
      </c>
      <c r="B2" s="1"/>
    </row>
    <row r="3" spans="1:14" ht="32.15" customHeight="1" x14ac:dyDescent="0.35">
      <c r="A3" s="240" t="s">
        <v>381</v>
      </c>
      <c r="B3" s="240"/>
      <c r="C3" s="240"/>
      <c r="D3" s="240"/>
      <c r="E3" s="240"/>
      <c r="F3" s="240"/>
      <c r="G3" s="240"/>
      <c r="H3" s="112"/>
      <c r="I3" s="112"/>
      <c r="J3" s="112"/>
      <c r="K3" s="112"/>
      <c r="N3" s="184" t="s">
        <v>433</v>
      </c>
    </row>
    <row r="4" spans="1:14" x14ac:dyDescent="0.35">
      <c r="A4" s="171" t="s">
        <v>358</v>
      </c>
      <c r="B4" s="171" t="s">
        <v>42</v>
      </c>
      <c r="C4" s="241" t="s">
        <v>43</v>
      </c>
      <c r="D4" s="242"/>
      <c r="E4" s="242"/>
      <c r="F4" s="242"/>
      <c r="G4" s="243"/>
      <c r="N4" s="186" t="s">
        <v>397</v>
      </c>
    </row>
    <row r="5" spans="1:14" x14ac:dyDescent="0.35">
      <c r="A5" s="122" t="s">
        <v>39</v>
      </c>
      <c r="B5" s="122"/>
      <c r="C5" s="244"/>
      <c r="D5" s="239"/>
      <c r="E5" s="239"/>
      <c r="F5" s="239"/>
      <c r="G5" s="239"/>
      <c r="N5" s="190"/>
    </row>
    <row r="6" spans="1:14" x14ac:dyDescent="0.35">
      <c r="A6" s="122" t="s">
        <v>40</v>
      </c>
      <c r="B6" s="122"/>
      <c r="C6" s="244"/>
      <c r="D6" s="239"/>
      <c r="E6" s="239"/>
      <c r="F6" s="239"/>
      <c r="G6" s="239"/>
      <c r="N6" s="190"/>
    </row>
    <row r="7" spans="1:14" x14ac:dyDescent="0.35">
      <c r="A7" s="122" t="s">
        <v>41</v>
      </c>
      <c r="B7" s="122"/>
      <c r="C7" s="244"/>
      <c r="D7" s="239"/>
      <c r="E7" s="239"/>
      <c r="F7" s="239"/>
      <c r="G7" s="239"/>
      <c r="N7" s="190"/>
    </row>
    <row r="8" spans="1:14" x14ac:dyDescent="0.35">
      <c r="A8" s="154" t="s">
        <v>145</v>
      </c>
      <c r="B8" s="153"/>
      <c r="C8" s="239"/>
      <c r="D8" s="239"/>
      <c r="E8" s="239"/>
      <c r="F8" s="239"/>
      <c r="G8" s="239"/>
      <c r="N8" s="190"/>
    </row>
    <row r="9" spans="1:14" x14ac:dyDescent="0.35">
      <c r="A9" s="183" t="s">
        <v>438</v>
      </c>
      <c r="B9" s="122"/>
      <c r="C9" s="245"/>
      <c r="D9" s="245"/>
      <c r="E9" s="245"/>
      <c r="F9" s="245"/>
      <c r="G9" s="245"/>
      <c r="N9" s="190"/>
    </row>
    <row r="10" spans="1:14" x14ac:dyDescent="0.35">
      <c r="A10" s="155" t="s">
        <v>154</v>
      </c>
      <c r="B10" s="155"/>
      <c r="C10" s="246"/>
      <c r="D10" s="246"/>
      <c r="E10" s="246"/>
      <c r="F10" s="246"/>
      <c r="G10" s="246"/>
      <c r="N10" s="190"/>
    </row>
    <row r="11" spans="1:14" x14ac:dyDescent="0.35">
      <c r="A11" s="15"/>
      <c r="B11" s="2"/>
      <c r="C11"/>
      <c r="N11" s="190"/>
    </row>
    <row r="12" spans="1:14" x14ac:dyDescent="0.35">
      <c r="A12" s="18" t="s">
        <v>359</v>
      </c>
      <c r="B12" s="247" t="s">
        <v>361</v>
      </c>
      <c r="C12" s="248"/>
      <c r="D12" s="249"/>
      <c r="N12" s="189" t="s">
        <v>398</v>
      </c>
    </row>
    <row r="13" spans="1:14" x14ac:dyDescent="0.35">
      <c r="B13" s="250" t="s">
        <v>362</v>
      </c>
      <c r="C13" s="251"/>
      <c r="D13" s="252"/>
      <c r="N13" s="190"/>
    </row>
    <row r="14" spans="1:14" x14ac:dyDescent="0.35">
      <c r="B14" s="231" t="s">
        <v>363</v>
      </c>
      <c r="C14" s="232"/>
      <c r="D14" s="233"/>
      <c r="N14" s="190"/>
    </row>
    <row r="15" spans="1:14" x14ac:dyDescent="0.35">
      <c r="B15" s="234" t="s">
        <v>46</v>
      </c>
      <c r="C15" s="235"/>
      <c r="D15" s="236"/>
      <c r="N15" s="190"/>
    </row>
    <row r="16" spans="1:14" x14ac:dyDescent="0.35">
      <c r="N16" s="190"/>
    </row>
    <row r="17" spans="1:14" x14ac:dyDescent="0.35">
      <c r="A17" s="1" t="s">
        <v>360</v>
      </c>
      <c r="B17" s="1" t="s">
        <v>108</v>
      </c>
      <c r="C17" s="13" t="s">
        <v>109</v>
      </c>
      <c r="N17" s="189" t="s">
        <v>399</v>
      </c>
    </row>
    <row r="18" spans="1:14" x14ac:dyDescent="0.35">
      <c r="A18" t="s">
        <v>107</v>
      </c>
      <c r="B18" s="148">
        <v>5.73</v>
      </c>
      <c r="C18" s="148">
        <v>6</v>
      </c>
      <c r="D18" s="22"/>
      <c r="N18" s="189" t="s">
        <v>401</v>
      </c>
    </row>
    <row r="19" spans="1:14" x14ac:dyDescent="0.35">
      <c r="A19" t="s">
        <v>393</v>
      </c>
      <c r="B19" s="148">
        <v>7.2</v>
      </c>
      <c r="C19" s="148">
        <v>9</v>
      </c>
      <c r="D19" s="173" t="s">
        <v>370</v>
      </c>
      <c r="F19" s="43"/>
      <c r="N19" s="189" t="s">
        <v>400</v>
      </c>
    </row>
    <row r="20" spans="1:14" x14ac:dyDescent="0.35">
      <c r="A20" t="s">
        <v>186</v>
      </c>
      <c r="B20" s="208">
        <v>3525</v>
      </c>
      <c r="C20" s="208">
        <v>1020</v>
      </c>
      <c r="D20" s="11"/>
      <c r="N20" s="189" t="s">
        <v>402</v>
      </c>
    </row>
    <row r="21" spans="1:14" x14ac:dyDescent="0.35">
      <c r="A21" t="s">
        <v>172</v>
      </c>
      <c r="B21" s="148">
        <f>VLOOKUP(B20,'Powell-Elevation-Area'!$A$5:$B$689,2)/1000000</f>
        <v>5.9265762500000001</v>
      </c>
      <c r="C21" s="148">
        <f>VLOOKUP(C20,'Mead-Elevation-Area'!$A$5:$B$689,2)/1000000</f>
        <v>5.664593</v>
      </c>
      <c r="D21" s="11"/>
      <c r="E21" s="43"/>
      <c r="N21" s="189" t="s">
        <v>404</v>
      </c>
    </row>
    <row r="22" spans="1:14" x14ac:dyDescent="0.35">
      <c r="A22" t="s">
        <v>376</v>
      </c>
      <c r="B22" s="148">
        <f>78.1</f>
        <v>78.099999999999994</v>
      </c>
      <c r="C22"/>
      <c r="D22" s="150"/>
      <c r="E22" s="43"/>
      <c r="N22" s="189" t="s">
        <v>403</v>
      </c>
    </row>
    <row r="23" spans="1:14" x14ac:dyDescent="0.35">
      <c r="A23" t="s">
        <v>377</v>
      </c>
      <c r="B23" s="174">
        <v>0.17</v>
      </c>
      <c r="C23"/>
      <c r="D23" s="150"/>
      <c r="E23" s="43"/>
      <c r="N23" s="189" t="s">
        <v>405</v>
      </c>
    </row>
    <row r="24" spans="1:14" x14ac:dyDescent="0.35">
      <c r="A24" t="s">
        <v>375</v>
      </c>
      <c r="B24" s="148">
        <f>10*(7.5+1.5/2)-B22-B23</f>
        <v>4.2300000000000058</v>
      </c>
      <c r="C24"/>
      <c r="D24" s="150"/>
      <c r="E24" s="43"/>
      <c r="N24" s="189" t="s">
        <v>406</v>
      </c>
    </row>
    <row r="25" spans="1:14" x14ac:dyDescent="0.35">
      <c r="A25" t="s">
        <v>446</v>
      </c>
      <c r="B25" s="148">
        <f>2.7 + 0.3 - IF(A9&lt;&gt;"",1.06,0)</f>
        <v>1.94</v>
      </c>
      <c r="C25"/>
      <c r="D25" s="150"/>
      <c r="E25" s="43"/>
      <c r="N25" s="209" t="s">
        <v>454</v>
      </c>
    </row>
    <row r="26" spans="1:14" x14ac:dyDescent="0.35">
      <c r="B26" s="43"/>
      <c r="N26" s="190"/>
    </row>
    <row r="27" spans="1:14" s="1" customFormat="1" x14ac:dyDescent="0.35">
      <c r="A27" s="135" t="s">
        <v>350</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346</v>
      </c>
      <c r="B28" s="1"/>
      <c r="C28" s="130"/>
      <c r="D28" s="130"/>
      <c r="E28" s="130"/>
      <c r="F28" s="130"/>
      <c r="G28" s="130"/>
      <c r="H28" s="130"/>
      <c r="I28" s="130"/>
      <c r="J28" s="130"/>
      <c r="K28" s="130"/>
      <c r="L28" s="130"/>
      <c r="N28" s="186" t="s">
        <v>407</v>
      </c>
    </row>
    <row r="29" spans="1:14" x14ac:dyDescent="0.35">
      <c r="A29" s="1" t="s">
        <v>119</v>
      </c>
      <c r="B29" s="1"/>
      <c r="C29" s="129" t="str">
        <f>IF(C$28&lt;&gt;"",0.8,"")</f>
        <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408</v>
      </c>
    </row>
    <row r="30" spans="1:14" x14ac:dyDescent="0.35">
      <c r="A30" s="1" t="s">
        <v>318</v>
      </c>
      <c r="B30" s="1"/>
      <c r="C30" s="129" t="str">
        <f>IF(C$28&lt;&gt;"",0.2,"")</f>
        <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409</v>
      </c>
    </row>
    <row r="31" spans="1:14" x14ac:dyDescent="0.35">
      <c r="A31" s="1" t="s">
        <v>274</v>
      </c>
      <c r="B31" s="1"/>
      <c r="C31" s="129" t="str">
        <f>IF(C$28&lt;&gt;"",0.6,"")</f>
        <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410</v>
      </c>
    </row>
    <row r="32" spans="1:14" x14ac:dyDescent="0.35">
      <c r="A32" s="168" t="s">
        <v>347</v>
      </c>
      <c r="C32" s="14" t="str">
        <f>IF(C$28&lt;&gt;"",SUM(B19:C19),"")</f>
        <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411</v>
      </c>
    </row>
    <row r="33" spans="1:14" x14ac:dyDescent="0.35">
      <c r="A33" t="str">
        <f t="shared" ref="A33:A38" si="4">IF(A5="","","    "&amp;A5&amp;" Balance")</f>
        <v xml:space="preserve">    Upper Basin Balance</v>
      </c>
      <c r="B33" s="109">
        <f>B19-B21</f>
        <v>1.2734237500000001</v>
      </c>
      <c r="C33" s="106" t="str">
        <f>IF(OR(C$28="",$A33=""),"",B33)</f>
        <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t="str">
        <f t="shared" ref="C34:C38" si="7">IF(OR(C$28="",$A34=""),"",B34)</f>
        <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t="str">
        <f t="shared" si="7"/>
        <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t="str">
        <f t="shared" si="7"/>
        <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f>IF(A37&lt;&gt;"",0,"")</f>
        <v>0</v>
      </c>
      <c r="C37" s="106" t="str">
        <f t="shared" si="7"/>
        <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t="str">
        <f t="shared" si="7"/>
        <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357</v>
      </c>
      <c r="C39"/>
      <c r="N39" s="189" t="s">
        <v>431</v>
      </c>
    </row>
    <row r="40" spans="1:14" x14ac:dyDescent="0.35">
      <c r="A40" t="s">
        <v>111</v>
      </c>
      <c r="C40" s="14" t="str">
        <f>IF(C$28&lt;&gt;"",IF(COLUMN(C27)=COLUMN($C27),$B$19,B133),"")</f>
        <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t="str">
        <f>IF(C$28&lt;&gt;"",IF(COLUMN(C28)=COLUMN($C28),$C$19,B134),"")</f>
        <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348</v>
      </c>
      <c r="B42" s="1"/>
      <c r="C42" s="14" t="str">
        <f>IF(C$28&lt;&gt;"",VLOOKUP(C40*1000000,'Powell-Elevation-Area'!$B$5:$D$689,3)*$B$18/1000000 + VLOOKUP(C41*1000000,'Mead-Elevation-Area'!$B$5:$D$676,3)*$C$18/1000000,"")</f>
        <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412</v>
      </c>
    </row>
    <row r="43" spans="1:14" x14ac:dyDescent="0.35">
      <c r="A43" t="str">
        <f t="shared" ref="A43:A48" si="11">IF(A5="","","    "&amp;A5&amp;" Share")</f>
        <v xml:space="preserve">    Upper Basin Share</v>
      </c>
      <c r="B43" s="1"/>
      <c r="C43" s="14" t="str">
        <f t="shared" ref="C43:L43" si="12">IF(OR(C$28="",$A43=""),"",C$42*C33/C$32)</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t="str">
        <f t="shared" ref="C44:L44" si="13">IF(OR(C$28="",$A44=""),"",C$42*C34/C$32)</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t="str">
        <f t="shared" ref="C45:L45" si="14">IF(OR(C$28="",$A45=""),"",C$42*C35/C$32)</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t="str">
        <f t="shared" ref="C46:L46" si="15">IF(OR(C$28="",$A46=""),"",C$42*C36/C$32)</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t="str">
        <f t="shared" ref="C47:L47" si="16">IF(OR(C$28="",$A47=""),"",C$42*C37/C$32)</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t="str">
        <f t="shared" ref="C48:L48" si="17">IF(OR(C$28="",$A48=""),"",C$42*C38/C$32)</f>
        <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349</v>
      </c>
      <c r="B49" s="72"/>
      <c r="C49" s="47" t="str">
        <f>IF(C$28&lt;&gt;"",1.5-0.21/9/2-VLOOKUP(C41,MandatoryConservation!$C$5:$P$13,13),"")</f>
        <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413</v>
      </c>
    </row>
    <row r="50" spans="1:16" x14ac:dyDescent="0.35">
      <c r="A50" s="168" t="s">
        <v>378</v>
      </c>
      <c r="B50" s="1"/>
      <c r="C50" s="14" t="str">
        <f>IF(C28="","",SUM(C28:C30))</f>
        <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414</v>
      </c>
      <c r="P50" t="s">
        <v>435</v>
      </c>
    </row>
    <row r="51" spans="1:16" x14ac:dyDescent="0.35">
      <c r="A51" t="str">
        <f t="shared" ref="A51:A56" si="19">IF(A5="","","    To "&amp;A5)</f>
        <v xml:space="preserve">    To Upper Basin</v>
      </c>
      <c r="B51" s="127" t="s">
        <v>447</v>
      </c>
      <c r="C51" s="106" t="str">
        <f>IF(OR(C$28="",$A52=""),"",MAX(0,MAX(0,C50-SUM(C52:C57))))</f>
        <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f>7.5-IF($A$9="",0,0.95)-IF(C57="",0.6,C57)*IF($A$9="",(7.2/8.7),(7.2-0.95)/8.7)</f>
        <v>6.1189655172413788</v>
      </c>
      <c r="C52" s="106" t="str">
        <f>IF(OR(C$28="",$A52=""),"",MAX(0,MIN($B$52,C28-SUM(C53/2,C54/4,C55,C56/2,C57)-MAX(0,MIN($B$25,C28-SUM(C56/2,C54/4,C53/2,1.06))))))</f>
        <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323</v>
      </c>
      <c r="C53" s="107" t="str">
        <f>IF(OR(C$28="",$A53=""),"",MIN(C49-C54/2,C$50-SUM(C54:C57))-C57*(1.5/8.7))</f>
        <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t="str">
        <f>IF(OR(C$28="",$A54=""),"",MIN($B54,C$50-SUM(C55:C56)))</f>
        <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f>IF($A$9&lt;&gt;"",2.01,"")</f>
        <v>2.0099999999999998</v>
      </c>
      <c r="C55" s="106" t="str">
        <f>IF(OR(C$28="",$A55=""),"",MIN($B55,C$50-SUM(C56:C57))-C57*0.95/8.7)</f>
        <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331</v>
      </c>
      <c r="C56" s="201" t="str">
        <f>IF(OR(C$28="",$A56=""),"",IF(C$50&gt;C48,C48,C50))</f>
        <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448</v>
      </c>
      <c r="C57" s="202" t="str">
        <f>IF(OR(C$28="",$A57=""),"",MIN(C31,C50-C56))</f>
        <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8"/>
      <c r="C58" s="27"/>
      <c r="D58" s="27"/>
      <c r="E58" s="27"/>
      <c r="F58" s="157"/>
      <c r="G58" s="43"/>
      <c r="N58" s="190"/>
    </row>
    <row r="59" spans="1:16" x14ac:dyDescent="0.35">
      <c r="A59" s="134" t="s">
        <v>379</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415</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416</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417</v>
      </c>
    </row>
    <row r="63" spans="1:16" x14ac:dyDescent="0.35">
      <c r="A63" s="30" t="str">
        <f>IF(A62="","","   Net trade volume all players (should be zero)")</f>
        <v xml:space="preserve">   Net trade volume all players (should be zero)</v>
      </c>
      <c r="C63" s="65" t="str">
        <f t="shared" ref="C63:M63" si="27">IF(OR(C$28="",$A63=""),"",C$116)</f>
        <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418</v>
      </c>
    </row>
    <row r="64" spans="1:16" x14ac:dyDescent="0.35">
      <c r="A64" s="1" t="str">
        <f>IF(A62="","","   Available Water [maf]")</f>
        <v xml:space="preserve">   Available Water [maf]</v>
      </c>
      <c r="C64" s="14" t="str">
        <f>IF(OR(C$28="",$A64=""),"",C33+C51-C43+C61)</f>
        <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419</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432</v>
      </c>
    </row>
    <row r="66" spans="1:14" x14ac:dyDescent="0.35">
      <c r="A66" s="30" t="str">
        <f>IF(A65="","","   End of Year Balance [maf]")</f>
        <v xml:space="preserve">   End of Year Balance [maf]</v>
      </c>
      <c r="C66" s="64" t="str">
        <f>IF(OR(C$28="",$A66=""),"",C64-C65)</f>
        <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420</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415</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416</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417</v>
      </c>
    </row>
    <row r="71" spans="1:14" x14ac:dyDescent="0.35">
      <c r="A71" s="175" t="str">
        <f>IF(A70="","",$A$63)</f>
        <v xml:space="preserve">   Net trade volume all players (should be zero)</v>
      </c>
      <c r="C71" s="65" t="str">
        <f t="shared" ref="C71:M71" si="30">IF(OR(C$28="",$A71=""),"",C$116)</f>
        <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418</v>
      </c>
    </row>
    <row r="72" spans="1:14" x14ac:dyDescent="0.35">
      <c r="A72" s="1" t="str">
        <f>IF(A70="","","   Available Water [maf]")</f>
        <v xml:space="preserve">   Available Water [maf]</v>
      </c>
      <c r="C72" s="14" t="str">
        <f>IF(OR(C$28="",$A72=""),"",C34+C52-C44+C69)</f>
        <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419</v>
      </c>
    </row>
    <row r="73" spans="1:14" x14ac:dyDescent="0.35">
      <c r="A73" s="168" t="str">
        <f>IF(A72="","",$A$65)</f>
        <v xml:space="preserve">   Enter withdraw [maf] within available water</v>
      </c>
      <c r="C73" s="125"/>
      <c r="D73" s="125"/>
      <c r="E73" s="125"/>
      <c r="F73" s="125"/>
      <c r="G73" s="125"/>
      <c r="H73" s="125"/>
      <c r="I73" s="125"/>
      <c r="J73" s="125"/>
      <c r="K73" s="125"/>
      <c r="L73" s="125"/>
      <c r="N73" s="189" t="s">
        <v>432</v>
      </c>
    </row>
    <row r="74" spans="1:14" x14ac:dyDescent="0.35">
      <c r="A74" s="30" t="str">
        <f>IF(A73="","","   End of Year Balance [maf]")</f>
        <v xml:space="preserve">   End of Year Balance [maf]</v>
      </c>
      <c r="C74" s="64" t="str">
        <f>IF(OR(C$28="",$A74=""),"",C72-C73)</f>
        <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420</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415</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416</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417</v>
      </c>
    </row>
    <row r="79" spans="1:14" x14ac:dyDescent="0.35">
      <c r="A79" s="175" t="str">
        <f>IF(A78="","",$A$63)</f>
        <v xml:space="preserve">   Net trade volume all players (should be zero)</v>
      </c>
      <c r="C79" s="65" t="str">
        <f t="shared" ref="C79:M79" si="33">IF(OR(C$28="",$A79=""),"",C$116)</f>
        <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418</v>
      </c>
    </row>
    <row r="80" spans="1:14" x14ac:dyDescent="0.35">
      <c r="A80" s="1" t="str">
        <f>IF(A78="","","   Available Water [maf]")</f>
        <v xml:space="preserve">   Available Water [maf]</v>
      </c>
      <c r="C80" s="14" t="str">
        <f>IF(OR(C$28="",$A80=""),"",C35+C53-C45+C77)</f>
        <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419</v>
      </c>
    </row>
    <row r="81" spans="1:14" x14ac:dyDescent="0.35">
      <c r="A81" s="168" t="str">
        <f>IF(A80="","",$A$65)</f>
        <v xml:space="preserve">   Enter withdraw [maf] within available water</v>
      </c>
      <c r="C81" s="125"/>
      <c r="D81" s="125"/>
      <c r="E81" s="125"/>
      <c r="F81" s="125"/>
      <c r="G81" s="125"/>
      <c r="H81" s="125"/>
      <c r="I81" s="125"/>
      <c r="J81" s="125"/>
      <c r="K81" s="125"/>
      <c r="L81" s="125"/>
      <c r="N81" s="189" t="s">
        <v>432</v>
      </c>
    </row>
    <row r="82" spans="1:14" x14ac:dyDescent="0.35">
      <c r="A82" s="30" t="str">
        <f>IF(A81="","","   End of Year Balance [maf]")</f>
        <v xml:space="preserve">   End of Year Balance [maf]</v>
      </c>
      <c r="C82" s="64" t="str">
        <f>IF(OR(C$28="",$A82=""),"",C80-C81)</f>
        <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420</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415</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416</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417</v>
      </c>
    </row>
    <row r="87" spans="1:14" x14ac:dyDescent="0.35">
      <c r="A87" s="175" t="str">
        <f>IF(A86="","",$A$63)</f>
        <v xml:space="preserve">   Net trade volume all players (should be zero)</v>
      </c>
      <c r="C87" s="65" t="str">
        <f t="shared" ref="C87:M87" si="36">IF(OR(C$28="",$A87=""),"",C$116)</f>
        <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418</v>
      </c>
    </row>
    <row r="88" spans="1:14" x14ac:dyDescent="0.35">
      <c r="A88" s="1" t="str">
        <f>IF(A86="","","   Available Water [maf]")</f>
        <v xml:space="preserve">   Available Water [maf]</v>
      </c>
      <c r="C88" s="158" t="str">
        <f>IF(OR(C$28="",$A88=""),"",C36+C54-C46+C85)</f>
        <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419</v>
      </c>
    </row>
    <row r="89" spans="1:14" x14ac:dyDescent="0.35">
      <c r="A89" s="168" t="str">
        <f>IF(A88="","",$A$65)</f>
        <v xml:space="preserve">   Enter withdraw [maf] within available water</v>
      </c>
      <c r="C89" s="159"/>
      <c r="D89" s="159"/>
      <c r="E89" s="159"/>
      <c r="F89" s="159"/>
      <c r="G89" s="159"/>
      <c r="H89" s="159"/>
      <c r="I89" s="159"/>
      <c r="J89" s="159"/>
      <c r="K89" s="159"/>
      <c r="L89" s="159"/>
      <c r="N89" s="189" t="s">
        <v>432</v>
      </c>
    </row>
    <row r="90" spans="1:14" x14ac:dyDescent="0.35">
      <c r="A90" s="30" t="str">
        <f>IF(A89="","","   End of Year Balance [maf]")</f>
        <v xml:space="preserve">   End of Year Balance [maf]</v>
      </c>
      <c r="C90" s="64" t="str">
        <f>IF(OR(C$28="",$A90=""),"",C88-C89)</f>
        <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420</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415</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416</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417</v>
      </c>
    </row>
    <row r="95" spans="1:14" x14ac:dyDescent="0.35">
      <c r="A95" s="175" t="str">
        <f>IF(A94="","",$A$63)</f>
        <v xml:space="preserve">   Net trade volume all players (should be zero)</v>
      </c>
      <c r="C95" s="65" t="str">
        <f t="shared" ref="C95:M95" si="39">IF(OR(C$28="",$A95=""),"",C$116)</f>
        <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418</v>
      </c>
    </row>
    <row r="96" spans="1:14" x14ac:dyDescent="0.35">
      <c r="A96" s="1" t="str">
        <f>IF(A94="","","   Available Water [maf]")</f>
        <v xml:space="preserve">   Available Water [maf]</v>
      </c>
      <c r="C96" s="14" t="str">
        <f>IF(OR(C$28="",$A96=""),"",C37+C55-C47+C93)</f>
        <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419</v>
      </c>
    </row>
    <row r="97" spans="1:14" x14ac:dyDescent="0.35">
      <c r="A97" s="168" t="str">
        <f>IF(A96="","",$A$65)</f>
        <v xml:space="preserve">   Enter withdraw [maf] within available water</v>
      </c>
      <c r="C97" s="125"/>
      <c r="D97" s="125"/>
      <c r="E97" s="125"/>
      <c r="F97" s="125"/>
      <c r="G97" s="125"/>
      <c r="H97" s="125"/>
      <c r="I97" s="125"/>
      <c r="J97" s="125"/>
      <c r="K97" s="125"/>
      <c r="L97" s="125"/>
      <c r="N97" s="189" t="s">
        <v>432</v>
      </c>
    </row>
    <row r="98" spans="1:14" x14ac:dyDescent="0.35">
      <c r="A98" s="30" t="str">
        <f>IF(A97="","","   End of Year Balance [maf]")</f>
        <v xml:space="preserve">   End of Year Balance [maf]</v>
      </c>
      <c r="C98" s="64" t="str">
        <f>IF(OR(C$28="",$A98=""),"",C96-C97)</f>
        <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420</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430</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t="str">
        <f t="shared" ref="C103:M103" si="42">IF(OR(C$28="",$A103=""),"",C$116)</f>
        <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t="str">
        <f>IF(OR(C$28="",$A104=""),"",C38+C56-C48+C101)</f>
        <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t="str">
        <f>IF(OR(C$28="",$A106=""),"",C104-C105)</f>
        <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394</v>
      </c>
      <c r="B108" s="134"/>
      <c r="C108" s="134"/>
      <c r="D108" s="134"/>
      <c r="E108" s="134"/>
      <c r="F108" s="134"/>
      <c r="G108" s="134"/>
      <c r="H108" s="134"/>
      <c r="I108" s="134"/>
      <c r="J108" s="134"/>
      <c r="K108" s="134"/>
      <c r="L108" s="134"/>
      <c r="M108" s="134"/>
      <c r="N108" s="189" t="s">
        <v>421</v>
      </c>
    </row>
    <row r="109" spans="1:14" x14ac:dyDescent="0.35">
      <c r="A109" s="1" t="s">
        <v>338</v>
      </c>
      <c r="C109"/>
      <c r="M109" t="s">
        <v>179</v>
      </c>
      <c r="N109" s="190"/>
    </row>
    <row r="110" spans="1:14" x14ac:dyDescent="0.35">
      <c r="A110" t="str">
        <f t="shared" ref="A110:A115" si="45">IF(A5="","","    "&amp;A5)</f>
        <v xml:space="preserve">    Upper Basin</v>
      </c>
      <c r="B110" s="1"/>
      <c r="C110" s="65" t="str">
        <f t="shared" ref="C110:L110" ca="1" si="46">IF(OR(C$28="",$A110=""),"",OFFSET(C$61,8*(ROW(B110)-ROW(B$110)),0))</f>
        <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t="str">
        <f t="shared" ref="C111:L111" ca="1" si="47">IF(OR(C$28="",$A111=""),"",OFFSET(C$61,8*(ROW(B111)-ROW(B$110)),0))</f>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t="str">
        <f t="shared" ref="C112:L112" ca="1" si="49">IF(OR(C$28="",$A112=""),"",OFFSET(C$61,8*(ROW(B112)-ROW(B$110)),0))</f>
        <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t="str">
        <f t="shared" ref="C113:L113" ca="1" si="50">IF(OR(C$28="",$A113=""),"",OFFSET(C$61,8*(ROW(B113)-ROW(B$110)),0))</f>
        <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t="str">
        <f t="shared" ref="C114:L114" ca="1" si="51">IF(OR(C$28="",$A114=""),"",OFFSET(C$61,8*(ROW(B114)-ROW(B$110)),0))</f>
        <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t="str">
        <f t="shared" ref="C115:L115" ca="1" si="52">IF(OR(C$28="",$A115=""),"",OFFSET(C$61,8*(ROW(B115)-ROW(B$110)),0))</f>
        <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t="str">
        <f>IF(C$28&lt;&gt;"",SUM(C110:C115),"")</f>
        <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339</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t="str">
        <f t="shared" ref="C118:L118" ca="1" si="54">IF(OR(C$28="",$A118=""),"",OFFSET(C$65,8*(ROW(B118)-ROW(B$118)),0))</f>
        <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t="str">
        <f t="shared" ref="C119:L119" ca="1" si="55">IF(OR(C$28="",$A119=""),"",OFFSET(C$65,8*(ROW(B119)-ROW(B$118)),0))</f>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t="str">
        <f t="shared" ref="C120:L120" ca="1" si="56">IF(OR(C$28="",$A120=""),"",OFFSET(C$65,8*(ROW(B120)-ROW(B$118)),0))</f>
        <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t="str">
        <f t="shared" ref="C121:L121" ca="1" si="57">IF(OR(C$28="",$A121=""),"",OFFSET(C$65,8*(ROW(B121)-ROW(B$118)),0))</f>
        <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t="str">
        <f t="shared" ref="C122:L122" ca="1" si="58">IF(OR(C$28="",$A122=""),"",OFFSET(C$65,8*(ROW(B122)-ROW(B$118)),0))</f>
        <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t="str">
        <f t="shared" ref="C123:L123" ca="1" si="59">IF(OR(C$28="",$A123=""),"",OFFSET(C$65,8*(ROW(B123)-ROW(B$118)),0))</f>
        <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t="str">
        <f t="shared" ref="C125:L125" ca="1" si="61">IF(OR(C$28="",$A125=""),"",OFFSET(C$66,8*(ROW(B125)-ROW(B$125)),0))</f>
        <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t="str">
        <f t="shared" ref="C126:L126" ca="1" si="62">IF(OR(C$28="",$A126=""),"",OFFSET(C$66,8*(ROW(B126)-ROW(B$125)),0))</f>
        <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t="str">
        <f t="shared" ref="C127:L127" ca="1" si="63">IF(OR(C$28="",$A127=""),"",OFFSET(C$66,8*(ROW(B127)-ROW(B$125)),0))</f>
        <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t="str">
        <f t="shared" ref="C128:L128" ca="1" si="64">IF(OR(C$28="",$A128=""),"",OFFSET(C$66,8*(ROW(B128)-ROW(B$125)),0))</f>
        <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t="str">
        <f t="shared" ref="C129:L129" ca="1" si="65">IF(OR(C$28="",$A129=""),"",OFFSET(C$66,8*(ROW(B129)-ROW(B$125)),0))</f>
        <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t="str">
        <f t="shared" ref="C130:L130" ca="1" si="66">IF(OR(C$28="",$A130=""),"",OFFSET(C$66,8*(ROW(B130)-ROW(B$125)),0))</f>
        <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340</v>
      </c>
      <c r="B131" s="1"/>
      <c r="C131" s="14" t="str">
        <f>IF(C$28&lt;&gt;"",SUM(C125:C130),"")</f>
        <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422</v>
      </c>
    </row>
    <row r="132" spans="1:14" ht="29.5" customHeight="1" x14ac:dyDescent="0.35">
      <c r="A132" s="237" t="s">
        <v>395</v>
      </c>
      <c r="B132" s="238"/>
      <c r="C132" s="170"/>
      <c r="D132" s="170"/>
      <c r="E132" s="170"/>
      <c r="F132" s="170"/>
      <c r="G132" s="170"/>
      <c r="H132" s="170"/>
      <c r="I132" s="170"/>
      <c r="J132" s="170"/>
      <c r="K132" s="170"/>
      <c r="L132" s="170"/>
      <c r="N132" s="186" t="s">
        <v>423</v>
      </c>
    </row>
    <row r="133" spans="1:14" x14ac:dyDescent="0.35">
      <c r="A133" s="1" t="s">
        <v>351</v>
      </c>
      <c r="B133" s="1"/>
      <c r="C133" s="14" t="str">
        <f>IF(C28="","",C$132*C$131)</f>
        <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434</v>
      </c>
    </row>
    <row r="134" spans="1:14" x14ac:dyDescent="0.35">
      <c r="A134" s="1" t="s">
        <v>352</v>
      </c>
      <c r="B134" s="1"/>
      <c r="C134" s="14" t="str">
        <f>IF(C29="","",(1-C$132)*C$131)</f>
        <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434</v>
      </c>
    </row>
    <row r="135" spans="1:14" x14ac:dyDescent="0.35">
      <c r="A135" s="30" t="s">
        <v>251</v>
      </c>
      <c r="B135" s="1"/>
      <c r="C135" s="81" t="str">
        <f>IF(C$28&lt;&gt;"",VLOOKUP(C133*1000000,'Powell-Elevation-Area'!$B$5:$H$689,7),"")</f>
        <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434</v>
      </c>
    </row>
    <row r="136" spans="1:14" x14ac:dyDescent="0.35">
      <c r="A136" s="30" t="s">
        <v>252</v>
      </c>
      <c r="B136" s="1"/>
      <c r="C136" s="81" t="str">
        <f>IF(C$28&lt;&gt;"",VLOOKUP(C134*1000000,'Mead-Elevation-Area'!$B$5:$H$689,7),"")</f>
        <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434</v>
      </c>
    </row>
    <row r="137" spans="1:14" x14ac:dyDescent="0.35">
      <c r="A137" s="1" t="s">
        <v>353</v>
      </c>
      <c r="B137" s="1"/>
      <c r="N137" s="189" t="s">
        <v>424</v>
      </c>
    </row>
    <row r="138" spans="1:14" x14ac:dyDescent="0.35">
      <c r="A138" s="30" t="s">
        <v>354</v>
      </c>
      <c r="B138" s="1"/>
      <c r="C138" s="14" t="str">
        <f>IF(C$28&lt;&gt;"",-C133+C40+C28-C65-VLOOKUP(C40*1000000,'Powell-Elevation-Area'!$B$5:$D$689,3)*$B$18/1000000,"")</f>
        <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425</v>
      </c>
    </row>
    <row r="139" spans="1:14" x14ac:dyDescent="0.35">
      <c r="A139" s="30" t="s">
        <v>341</v>
      </c>
      <c r="B139" s="1"/>
      <c r="C139" s="81" t="str">
        <f>IF(C$28&lt;&gt;"",VLOOKUP(C135,PowellReleaseTemperature!$A$5:$B$11,2),"")</f>
        <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426</v>
      </c>
    </row>
    <row r="140" spans="1:14" s="83" customFormat="1" ht="62.5" customHeight="1" x14ac:dyDescent="0.35">
      <c r="A140" s="115" t="s">
        <v>342</v>
      </c>
      <c r="B140" s="82"/>
      <c r="C140" s="114" t="str">
        <f>IF(C$28&lt;&gt;"",VLOOKUP(C$135,PowellReleaseTemperature!$A$5:$E$11,5),"")</f>
        <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428</v>
      </c>
    </row>
    <row r="141" spans="1:14" s="83" customFormat="1" ht="32.15" customHeight="1" x14ac:dyDescent="0.35">
      <c r="A141" s="115" t="s">
        <v>286</v>
      </c>
      <c r="B141" s="82"/>
      <c r="C141" s="114" t="str">
        <f>IF(C$28&lt;&gt;"",VLOOKUP(C$135,PowellReleaseTemperature!$A$5:$F$11,6),"")</f>
        <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427</v>
      </c>
    </row>
    <row r="142" spans="1:14" x14ac:dyDescent="0.35">
      <c r="A142" s="182" t="s">
        <v>396</v>
      </c>
      <c r="C142" s="27"/>
      <c r="N142" s="189" t="s">
        <v>429</v>
      </c>
    </row>
    <row r="144" spans="1:14" x14ac:dyDescent="0.35">
      <c r="D144" s="17"/>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143"/>
      <c r="I3" s="143"/>
      <c r="J3" s="143"/>
      <c r="K3" s="143"/>
    </row>
    <row r="4" spans="1:13" x14ac:dyDescent="0.35">
      <c r="A4" s="51" t="s">
        <v>38</v>
      </c>
      <c r="B4" s="51" t="s">
        <v>42</v>
      </c>
      <c r="C4" s="254" t="s">
        <v>43</v>
      </c>
      <c r="D4" s="255"/>
      <c r="E4" s="255"/>
      <c r="F4" s="255"/>
      <c r="G4" s="256"/>
      <c r="M4" s="1" t="s">
        <v>290</v>
      </c>
    </row>
    <row r="5" spans="1:13" x14ac:dyDescent="0.35">
      <c r="A5" s="142" t="s">
        <v>39</v>
      </c>
      <c r="B5" s="142" t="str">
        <f>IF(Master!B5="","",Master!B5)</f>
        <v/>
      </c>
      <c r="C5" s="244" t="s">
        <v>300</v>
      </c>
      <c r="D5" s="239"/>
      <c r="E5" s="239"/>
      <c r="F5" s="239"/>
      <c r="G5" s="239"/>
      <c r="M5" t="s">
        <v>291</v>
      </c>
    </row>
    <row r="6" spans="1:13" x14ac:dyDescent="0.35">
      <c r="A6" s="142" t="s">
        <v>40</v>
      </c>
      <c r="B6" s="142" t="str">
        <f>IF(Master!B6="","",Master!B6)</f>
        <v/>
      </c>
      <c r="C6" s="244" t="s">
        <v>300</v>
      </c>
      <c r="D6" s="239"/>
      <c r="E6" s="239"/>
      <c r="F6" s="239"/>
      <c r="G6" s="239"/>
      <c r="M6" t="s">
        <v>296</v>
      </c>
    </row>
    <row r="7" spans="1:13" x14ac:dyDescent="0.35">
      <c r="A7" s="142" t="s">
        <v>41</v>
      </c>
      <c r="B7" s="142" t="str">
        <f>IF(Master!B7="","",Master!B7)</f>
        <v/>
      </c>
      <c r="C7" s="244" t="s">
        <v>300</v>
      </c>
      <c r="D7" s="239"/>
      <c r="E7" s="239"/>
      <c r="F7" s="239"/>
      <c r="G7" s="239"/>
      <c r="M7" t="s">
        <v>297</v>
      </c>
    </row>
    <row r="8" spans="1:13" x14ac:dyDescent="0.35">
      <c r="A8" s="154" t="s">
        <v>145</v>
      </c>
      <c r="B8" s="153" t="str">
        <f>IF(Master!B8="","",Master!B8)</f>
        <v/>
      </c>
      <c r="C8" s="244" t="s">
        <v>208</v>
      </c>
      <c r="D8" s="239"/>
      <c r="E8" s="239"/>
      <c r="F8" s="239"/>
      <c r="G8" s="239"/>
    </row>
    <row r="9" spans="1:13" x14ac:dyDescent="0.35">
      <c r="A9" s="142" t="str">
        <f>IF(Master!A9="","",Master!A9)</f>
        <v>First Nations</v>
      </c>
      <c r="B9" s="142" t="str">
        <f>IF(Master!B9="","",Master!B9)</f>
        <v/>
      </c>
      <c r="C9" s="245"/>
      <c r="D9" s="245"/>
      <c r="E9" s="245"/>
      <c r="F9" s="245"/>
      <c r="G9" s="245"/>
    </row>
    <row r="10" spans="1:13" x14ac:dyDescent="0.35">
      <c r="A10" s="155" t="s">
        <v>154</v>
      </c>
      <c r="B10" s="155" t="str">
        <f>IF(Master!B10="","",Master!B10)</f>
        <v/>
      </c>
      <c r="C10" s="246" t="s">
        <v>332</v>
      </c>
      <c r="D10" s="246"/>
      <c r="E10" s="246"/>
      <c r="F10" s="246"/>
      <c r="G10" s="246"/>
    </row>
    <row r="11" spans="1:13" x14ac:dyDescent="0.35">
      <c r="A11" s="15"/>
      <c r="B11" s="2"/>
      <c r="C11"/>
    </row>
    <row r="12" spans="1:13" x14ac:dyDescent="0.35">
      <c r="A12" s="18" t="s">
        <v>359</v>
      </c>
      <c r="B12" s="247" t="s">
        <v>361</v>
      </c>
      <c r="C12" s="248"/>
      <c r="D12" s="249"/>
    </row>
    <row r="13" spans="1:13" x14ac:dyDescent="0.35">
      <c r="B13" s="250" t="s">
        <v>362</v>
      </c>
      <c r="C13" s="251"/>
      <c r="D13" s="252"/>
    </row>
    <row r="14" spans="1:13" x14ac:dyDescent="0.35">
      <c r="B14" s="231" t="s">
        <v>363</v>
      </c>
      <c r="C14" s="232"/>
      <c r="D14" s="233"/>
    </row>
    <row r="15" spans="1:13" x14ac:dyDescent="0.35">
      <c r="B15" s="234" t="s">
        <v>46</v>
      </c>
      <c r="C15" s="235"/>
      <c r="D15" s="236"/>
    </row>
    <row r="17" spans="1:14" x14ac:dyDescent="0.35">
      <c r="A17" s="1" t="s">
        <v>369</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317</v>
      </c>
      <c r="B22" s="156">
        <f>Master!B22</f>
        <v>78.099999999999994</v>
      </c>
      <c r="C22"/>
      <c r="D22" s="150" t="s">
        <v>322</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t="str">
        <f>IF(Master!C28="","",Master!C28)</f>
        <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t="str">
        <f>IF(C$25&lt;&gt;"",0.8,"")</f>
        <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318</v>
      </c>
      <c r="B27" s="1"/>
      <c r="C27" s="129" t="str">
        <f>IF(C$25&lt;&gt;"",0.2,"")</f>
        <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274</v>
      </c>
      <c r="B28" s="1"/>
      <c r="C28" s="129" t="str">
        <f>IF(C$25&lt;&gt;"",0.6,"")</f>
        <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t="str">
        <f t="shared" si="6"/>
        <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240</v>
      </c>
      <c r="B46" s="72"/>
      <c r="C46" s="47" t="str">
        <f>IF(C$25&lt;&gt;"",1.5-0.21/9/2-VLOOKUP(C38,MandatoryConservation!$C$5:$P$13,13),"")</f>
        <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275</v>
      </c>
      <c r="B47" s="1"/>
      <c r="C47" s="49" t="str">
        <f>IF(C25="","",SUM(C25:C27)-C28)</f>
        <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t="str">
        <f>IF(OR(C$25="",$A48=""),"",MAX(C25-(82.3-$B$22)-C53*$B$21/SUM($B$21:$C$21),0))</f>
        <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t="str">
        <f>IF(OR(C$25="",$A49=""),"",C26+C27-C28-C53*$C$21/SUM($B$21:$C$21)-C50+MIN(82.3-$B$22,C25))</f>
        <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323</v>
      </c>
      <c r="C50" s="107" t="str">
        <f>IF(OR(C$25="",$A50=""),"",IF(C$47&gt;SUM(C51:C53,C46),C46,C$47-SUM(C51:C53)))</f>
        <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t="str">
        <f>IF(OR(C$25="",$A51=""),"",MIN($B51,C$47-SUM(C52:C53)))</f>
        <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331</v>
      </c>
      <c r="C53" s="106" t="str">
        <f>IF(OR(C$25="",$A53=""),"",IF(C$47&gt;C45,C45,C$47))</f>
        <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t="str">
        <f t="shared" ref="C59:M59" si="33">IF(OR(C$25="",$A59=""),"",C$112)</f>
        <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t="str">
        <f>IF(C26&lt;&gt;"",IF(C60&gt;4.2,4.2,MAX(C60,0)),"")</f>
        <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t="str">
        <f>IF(OR(C$25="",$A62=""),"",C60-C61)</f>
        <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t="str">
        <f t="shared" ref="C67:M67" si="37">IF(OR(C$25="",$A67=""),"",C$112)</f>
        <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t="str">
        <f>IF(C26&lt;&gt;"",MIN(7.5-VLOOKUP(C38,MandatoryConservation!$C$5:$P$13,14),C68),"")</f>
        <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t="str">
        <f>IF(OR(C$25="",$A70=""),"",C68-C69)</f>
        <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t="str">
        <f t="shared" ref="C75:M75" si="41">IF(OR(C$25="",$A75=""),"",C$112)</f>
        <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t="str">
        <f>C46</f>
        <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t="str">
        <f>IF(OR(C$25="",$A78=""),"",C76-C77)</f>
        <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t="str">
        <f t="shared" ref="C83:M83" si="46">IF(OR(C$25="",$A83=""),"",C$112)</f>
        <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t="str">
        <f>IF(OR(C$25="",$A84=""),"",C33+C51-C43+C81)</f>
        <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t="str">
        <f>IF(OR(C$25="",$A84=""),"",IF(C84&gt;=0.06,0.06,0))</f>
        <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t="str">
        <f>IF(OR(C$25="",$A86=""),"",C84-C85)</f>
        <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t="str">
        <f t="shared" ref="C91:M91" si="51">IF(OR(C$25="",$A91=""),"",C$112)</f>
        <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t="str">
        <f>IF(OR(C$25="",$A94=""),"",C92-C93)</f>
        <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t="str">
        <f t="shared" ref="C99:M99" si="55">IF(OR(C$25="",$A99=""),"",C$112)</f>
        <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t="str">
        <f>IF(OR(C$25="",$A102=""),"",C100-C101)</f>
        <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343</v>
      </c>
      <c r="C105"/>
      <c r="M105" t="s">
        <v>179</v>
      </c>
      <c r="N105" t="s">
        <v>147</v>
      </c>
    </row>
    <row r="106" spans="1:14" x14ac:dyDescent="0.35">
      <c r="A106" t="str">
        <f t="shared" ref="A106:A111" si="58">IF(A5="","","    "&amp;A5)</f>
        <v xml:space="preserve">    Upper Basin</v>
      </c>
      <c r="B106" s="1"/>
      <c r="C106" s="65" t="str">
        <f t="shared" ref="C106:L106" ca="1" si="59">IF(OR(C$25="",$A106=""),"",OFFSET(C$57,8*(ROW(B106)-ROW(B$106)),0))</f>
        <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t="str">
        <f t="shared" ref="C107:L107" ca="1" si="60">IF(OR(C$25="",$A107=""),"",OFFSET(C$57,8*(ROW(B107)-ROW(B$106)),0))</f>
        <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t="str">
        <f t="shared" ref="C108:L108" ca="1" si="62">IF(OR(C$25="",$A108=""),"",OFFSET(C$57,8*(ROW(B108)-ROW(B$106)),0))</f>
        <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t="str">
        <f t="shared" ref="C109:L109" ca="1" si="63">IF(OR(C$25="",$A109=""),"",OFFSET(C$57,8*(ROW(B109)-ROW(B$106)),0))</f>
        <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t="str">
        <f t="shared" ref="C110:L110" ca="1" si="64">IF(OR(C$25="",$A110=""),"",OFFSET(C$57,8*(ROW(B110)-ROW(B$106)),0))</f>
        <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t="str">
        <f t="shared" ref="C111:L111" ca="1" si="65">IF(OR(C$25="",$A111=""),"",OFFSET(C$57,8*(ROW(B111)-ROW(B$106)),0))</f>
        <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t="str">
        <f>IF(C$25&lt;&gt;"",SUM(C106:C111),"")</f>
        <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344</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t="str">
        <f t="shared" ref="C114:L114" ca="1" si="67">IF(OR(C$25="",$A114=""),"",OFFSET(C$61,8*(ROW(B114)-ROW(B$114)),0))</f>
        <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t="str">
        <f t="shared" ref="C115:L115" ca="1" si="68">IF(OR(C$25="",$A115=""),"",OFFSET(C$61,8*(ROW(B115)-ROW(B$114)),0))</f>
        <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t="str">
        <f t="shared" ref="C116:L116" ca="1" si="69">IF(OR(C$25="",$A116=""),"",OFFSET(C$61,8*(ROW(B116)-ROW(B$114)),0))</f>
        <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t="str">
        <f t="shared" ref="C117:L117" ca="1" si="70">IF(OR(C$25="",$A117=""),"",OFFSET(C$61,8*(ROW(B117)-ROW(B$114)),0))</f>
        <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t="str">
        <f t="shared" ref="C118:L118" ca="1" si="71">IF(OR(C$25="",$A118=""),"",OFFSET(C$61,8*(ROW(B118)-ROW(B$114)),0))</f>
        <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t="str">
        <f t="shared" ref="C119:L119" ca="1" si="72">IF(OR(C$25="",$A119=""),"",OFFSET(C$61,8*(ROW(B119)-ROW(B$114)),0))</f>
        <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345</v>
      </c>
      <c r="B120" s="1"/>
      <c r="D120" s="2"/>
      <c r="E120" s="2"/>
      <c r="F120" s="2"/>
      <c r="G120" s="2"/>
      <c r="H120" s="2"/>
      <c r="I120" s="2"/>
      <c r="J120" s="2"/>
      <c r="K120" s="2"/>
      <c r="L120" s="2"/>
    </row>
    <row r="121" spans="1:12" x14ac:dyDescent="0.35">
      <c r="A121" t="str">
        <f t="shared" ref="A121:A126" si="73">IF(A5="","","    "&amp;A5)</f>
        <v xml:space="preserve">    Upper Basin</v>
      </c>
      <c r="C121" s="65" t="str">
        <f t="shared" ref="C121:L121" ca="1" si="74">IF(OR(C$25="",$A121=""),"",OFFSET(C$62,8*(ROW(B121)-ROW(B$121)),0))</f>
        <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t="str">
        <f t="shared" ref="C122:L122" ca="1" si="75">IF(OR(C$25="",$A122=""),"",OFFSET(C$62,8*(ROW(B122)-ROW(B$121)),0))</f>
        <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t="str">
        <f t="shared" ref="C123:L123" ca="1" si="76">IF(OR(C$25="",$A123=""),"",OFFSET(C$62,8*(ROW(B123)-ROW(B$121)),0))</f>
        <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t="str">
        <f t="shared" ref="C124:L124" ca="1" si="77">IF(OR(C$25="",$A124=""),"",OFFSET(C$62,8*(ROW(B124)-ROW(B$121)),0))</f>
        <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t="str">
        <f t="shared" ref="C125:L125" ca="1" si="78">IF(OR(C$25="",$A125=""),"",OFFSET(C$62,8*(ROW(B125)-ROW(B$121)),0))</f>
        <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t="str">
        <f t="shared" ref="C126:L126" ca="1" si="79">IF(OR(C$25="",$A126=""),"",OFFSET(C$62,8*(ROW(B126)-ROW(B$121)),0))</f>
        <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340</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251</v>
      </c>
      <c r="B131" s="1"/>
      <c r="C131" s="81" t="str">
        <f>IF(C$25&lt;&gt;"",VLOOKUP(C129*1000000,'Powell-Elevation-Area'!$B$5:$H$689,7),"")</f>
        <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252</v>
      </c>
      <c r="B132" s="1"/>
      <c r="C132" s="81" t="str">
        <f>IF(C$25&lt;&gt;"",VLOOKUP(C130*1000000,'Mead-Elevation-Area'!$B$5:$H$689,7),"")</f>
        <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264</v>
      </c>
      <c r="B133" s="1"/>
    </row>
    <row r="134" spans="1:14" x14ac:dyDescent="0.35">
      <c r="A134" s="30" t="s">
        <v>265</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279</v>
      </c>
      <c r="B135" s="1"/>
      <c r="C135" s="81" t="str">
        <f>IF(C$25&lt;&gt;"",VLOOKUP(C131,PowellReleaseTemperature!$A$5:$B$11,2),"")</f>
        <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270</v>
      </c>
    </row>
    <row r="136" spans="1:14" s="83" customFormat="1" ht="62.5" customHeight="1" x14ac:dyDescent="0.35">
      <c r="A136" s="115" t="s">
        <v>280</v>
      </c>
      <c r="B136" s="82"/>
      <c r="C136" s="114" t="str">
        <f>IF(C$25&lt;&gt;"",VLOOKUP(C$131,PowellReleaseTemperature!$A$5:$E$11,5),"")</f>
        <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286</v>
      </c>
      <c r="B137" s="82"/>
      <c r="C137" s="114" t="str">
        <f>IF(C$25&lt;&gt;"",VLOOKUP(C$131,PowellReleaseTemperature!$A$5:$F$11,6),"")</f>
        <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62"/>
      <c r="I3" s="62"/>
      <c r="J3" s="62"/>
      <c r="K3" s="62"/>
    </row>
    <row r="4" spans="1:13" x14ac:dyDescent="0.35">
      <c r="A4" s="51" t="s">
        <v>38</v>
      </c>
      <c r="B4" s="51" t="s">
        <v>42</v>
      </c>
      <c r="C4" s="254" t="s">
        <v>43</v>
      </c>
      <c r="D4" s="255"/>
      <c r="E4" s="255"/>
      <c r="F4" s="255"/>
      <c r="G4" s="256"/>
      <c r="M4" s="1" t="s">
        <v>290</v>
      </c>
    </row>
    <row r="5" spans="1:13" x14ac:dyDescent="0.35">
      <c r="A5" s="122" t="s">
        <v>39</v>
      </c>
      <c r="B5" s="122" t="s">
        <v>150</v>
      </c>
      <c r="C5" s="244" t="s">
        <v>293</v>
      </c>
      <c r="D5" s="239"/>
      <c r="E5" s="239"/>
      <c r="F5" s="239"/>
      <c r="G5" s="239"/>
      <c r="M5" t="s">
        <v>291</v>
      </c>
    </row>
    <row r="6" spans="1:13" x14ac:dyDescent="0.35">
      <c r="A6" s="122" t="s">
        <v>40</v>
      </c>
      <c r="B6" s="122" t="s">
        <v>150</v>
      </c>
      <c r="C6" s="244" t="s">
        <v>294</v>
      </c>
      <c r="D6" s="239"/>
      <c r="E6" s="239"/>
      <c r="F6" s="239"/>
      <c r="G6" s="239"/>
      <c r="M6" t="s">
        <v>296</v>
      </c>
    </row>
    <row r="7" spans="1:13" x14ac:dyDescent="0.35">
      <c r="A7" s="122" t="s">
        <v>41</v>
      </c>
      <c r="B7" s="122" t="s">
        <v>150</v>
      </c>
      <c r="C7" s="244" t="s">
        <v>295</v>
      </c>
      <c r="D7" s="239"/>
      <c r="E7" s="239"/>
      <c r="F7" s="239"/>
      <c r="G7" s="239"/>
      <c r="M7" t="s">
        <v>297</v>
      </c>
    </row>
    <row r="8" spans="1:13" x14ac:dyDescent="0.35">
      <c r="A8" s="105" t="s">
        <v>154</v>
      </c>
      <c r="B8" s="105" t="s">
        <v>150</v>
      </c>
      <c r="C8" s="246" t="s">
        <v>292</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310</v>
      </c>
      <c r="C13" s="259"/>
      <c r="D13" s="259"/>
      <c r="E13" s="259"/>
      <c r="F13" s="259"/>
    </row>
    <row r="14" spans="1:13" x14ac:dyDescent="0.35">
      <c r="B14" s="260" t="s">
        <v>299</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274</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240</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275</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251</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252</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264</v>
      </c>
      <c r="B133" s="1"/>
    </row>
    <row r="134" spans="1:14" x14ac:dyDescent="0.35">
      <c r="A134" s="30" t="s">
        <v>265</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279</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270</v>
      </c>
    </row>
    <row r="136" spans="1:14" s="83" customFormat="1" ht="62.5" customHeight="1" x14ac:dyDescent="0.35">
      <c r="A136" s="115" t="s">
        <v>280</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286</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290</v>
      </c>
    </row>
    <row r="5" spans="1:13" x14ac:dyDescent="0.35">
      <c r="A5" s="122" t="s">
        <v>39</v>
      </c>
      <c r="B5" s="122" t="s">
        <v>150</v>
      </c>
      <c r="C5" s="244" t="s">
        <v>300</v>
      </c>
      <c r="D5" s="239"/>
      <c r="E5" s="239"/>
      <c r="F5" s="239"/>
      <c r="G5" s="239"/>
      <c r="M5" t="s">
        <v>291</v>
      </c>
    </row>
    <row r="6" spans="1:13" x14ac:dyDescent="0.35">
      <c r="A6" s="122" t="s">
        <v>40</v>
      </c>
      <c r="B6" s="122" t="s">
        <v>150</v>
      </c>
      <c r="C6" s="244" t="s">
        <v>300</v>
      </c>
      <c r="D6" s="239"/>
      <c r="E6" s="239"/>
      <c r="F6" s="239"/>
      <c r="G6" s="239"/>
      <c r="M6" t="s">
        <v>296</v>
      </c>
    </row>
    <row r="7" spans="1:13" x14ac:dyDescent="0.35">
      <c r="A7" s="122" t="s">
        <v>41</v>
      </c>
      <c r="B7" s="122" t="s">
        <v>150</v>
      </c>
      <c r="C7" s="244" t="s">
        <v>300</v>
      </c>
      <c r="D7" s="239"/>
      <c r="E7" s="239"/>
      <c r="F7" s="239"/>
      <c r="G7" s="239"/>
      <c r="M7" t="s">
        <v>297</v>
      </c>
    </row>
    <row r="8" spans="1:13" x14ac:dyDescent="0.35">
      <c r="A8" s="111" t="s">
        <v>154</v>
      </c>
      <c r="B8" s="111" t="s">
        <v>150</v>
      </c>
      <c r="C8" s="246" t="s">
        <v>292</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310</v>
      </c>
      <c r="C13" s="259"/>
      <c r="D13" s="259"/>
      <c r="E13" s="259"/>
      <c r="F13" s="259"/>
    </row>
    <row r="14" spans="1:13" x14ac:dyDescent="0.35">
      <c r="B14" s="260" t="s">
        <v>299</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274</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240</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275</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251</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252</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264</v>
      </c>
      <c r="B133" s="1"/>
    </row>
    <row r="134" spans="1:14" x14ac:dyDescent="0.35">
      <c r="A134" s="30" t="s">
        <v>265</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279</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270</v>
      </c>
    </row>
    <row r="136" spans="1:14" s="83" customFormat="1" ht="62.5" customHeight="1" x14ac:dyDescent="0.35">
      <c r="A136" s="115" t="s">
        <v>280</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286</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53" t="s">
        <v>148</v>
      </c>
      <c r="B3" s="253"/>
      <c r="C3" s="253"/>
      <c r="D3" s="253"/>
      <c r="E3" s="253"/>
      <c r="F3" s="253"/>
      <c r="G3" s="253"/>
      <c r="H3" s="112"/>
      <c r="I3" s="112"/>
      <c r="J3" s="112"/>
      <c r="K3" s="112"/>
    </row>
    <row r="4" spans="1:13" x14ac:dyDescent="0.35">
      <c r="A4" s="51" t="s">
        <v>38</v>
      </c>
      <c r="B4" s="51" t="s">
        <v>42</v>
      </c>
      <c r="C4" s="254" t="s">
        <v>43</v>
      </c>
      <c r="D4" s="255"/>
      <c r="E4" s="255"/>
      <c r="F4" s="255"/>
      <c r="G4" s="256"/>
      <c r="M4" s="1" t="s">
        <v>290</v>
      </c>
    </row>
    <row r="5" spans="1:13" x14ac:dyDescent="0.35">
      <c r="A5" s="122" t="s">
        <v>39</v>
      </c>
      <c r="B5" s="122"/>
      <c r="C5" s="244" t="s">
        <v>149</v>
      </c>
      <c r="D5" s="239"/>
      <c r="E5" s="239"/>
      <c r="F5" s="239"/>
      <c r="G5" s="239"/>
      <c r="M5" t="s">
        <v>291</v>
      </c>
    </row>
    <row r="6" spans="1:13" x14ac:dyDescent="0.35">
      <c r="A6" s="122" t="s">
        <v>40</v>
      </c>
      <c r="B6" s="122"/>
      <c r="C6" s="244" t="s">
        <v>149</v>
      </c>
      <c r="D6" s="239"/>
      <c r="E6" s="239"/>
      <c r="F6" s="239"/>
      <c r="G6" s="239"/>
      <c r="M6" t="s">
        <v>296</v>
      </c>
    </row>
    <row r="7" spans="1:13" x14ac:dyDescent="0.35">
      <c r="A7" s="122" t="s">
        <v>41</v>
      </c>
      <c r="B7" s="122"/>
      <c r="C7" s="244" t="s">
        <v>149</v>
      </c>
      <c r="D7" s="239"/>
      <c r="E7" s="239"/>
      <c r="F7" s="239"/>
      <c r="G7" s="239"/>
      <c r="M7" t="s">
        <v>297</v>
      </c>
    </row>
    <row r="8" spans="1:13" x14ac:dyDescent="0.35">
      <c r="A8" s="111" t="s">
        <v>154</v>
      </c>
      <c r="B8" s="111"/>
      <c r="C8" s="246" t="s">
        <v>301</v>
      </c>
      <c r="D8" s="246"/>
      <c r="E8" s="246"/>
      <c r="F8" s="246"/>
      <c r="G8" s="246"/>
    </row>
    <row r="9" spans="1:13" x14ac:dyDescent="0.35">
      <c r="A9" s="122"/>
      <c r="B9" s="122"/>
      <c r="C9" s="245"/>
      <c r="D9" s="245"/>
      <c r="E9" s="245"/>
      <c r="F9" s="245"/>
      <c r="G9" s="245"/>
    </row>
    <row r="10" spans="1:13" x14ac:dyDescent="0.35">
      <c r="A10" s="122"/>
      <c r="B10" s="122"/>
      <c r="C10" s="245"/>
      <c r="D10" s="245"/>
      <c r="E10" s="245"/>
      <c r="F10" s="245"/>
      <c r="G10" s="245"/>
    </row>
    <row r="11" spans="1:13" x14ac:dyDescent="0.35">
      <c r="A11" s="15"/>
      <c r="B11" s="2"/>
      <c r="C11"/>
    </row>
    <row r="12" spans="1:13" x14ac:dyDescent="0.35">
      <c r="A12" s="18" t="s">
        <v>45</v>
      </c>
      <c r="B12" s="257" t="s">
        <v>195</v>
      </c>
      <c r="C12" s="257"/>
      <c r="D12" s="257"/>
      <c r="E12" s="257"/>
      <c r="F12" s="257"/>
    </row>
    <row r="13" spans="1:13" x14ac:dyDescent="0.35">
      <c r="B13" s="258" t="s">
        <v>310</v>
      </c>
      <c r="C13" s="259"/>
      <c r="D13" s="259"/>
      <c r="E13" s="259"/>
      <c r="F13" s="259"/>
    </row>
    <row r="14" spans="1:13" x14ac:dyDescent="0.35">
      <c r="B14" s="260" t="s">
        <v>299</v>
      </c>
      <c r="C14" s="261"/>
      <c r="D14" s="261"/>
      <c r="E14" s="261"/>
      <c r="F14" s="261"/>
    </row>
    <row r="15" spans="1:13" x14ac:dyDescent="0.35">
      <c r="B15" s="262" t="s">
        <v>46</v>
      </c>
      <c r="C15" s="262"/>
      <c r="D15" s="262"/>
      <c r="E15" s="262"/>
      <c r="F15" s="262"/>
    </row>
    <row r="17" spans="1:14" x14ac:dyDescent="0.35">
      <c r="A17" s="1" t="s">
        <v>53</v>
      </c>
      <c r="D17" s="257" t="s">
        <v>151</v>
      </c>
      <c r="E17" s="257"/>
      <c r="F17" s="257"/>
      <c r="G17" s="257"/>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274</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240</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275</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251</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252</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264</v>
      </c>
      <c r="B133" s="1"/>
    </row>
    <row r="134" spans="1:14" x14ac:dyDescent="0.35">
      <c r="A134" s="30" t="s">
        <v>265</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279</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270</v>
      </c>
    </row>
    <row r="136" spans="1:14" s="83" customFormat="1" ht="62.5" customHeight="1" x14ac:dyDescent="0.35">
      <c r="A136" s="115" t="s">
        <v>280</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286</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2021-12-03T06:26:22Z</dcterms:modified>
</cp:coreProperties>
</file>