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5"/>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4FDB0390-8A15-4459-B122-4B7DF4BEA4B5}" xr6:coauthVersionLast="36" xr6:coauthVersionMax="36" xr10:uidLastSave="{00000000-0000-0000-0000-000000000000}"/>
  <bookViews>
    <workbookView xWindow="0" yWindow="0" windowWidth="19200" windowHeight="6650" xr2:uid="{5373AB19-D84C-490D-97DC-C516D358024A}"/>
  </bookViews>
  <sheets>
    <sheet name="ReadMe-Directions" sheetId="6" r:id="rId1"/>
    <sheet name="Versions" sheetId="31" r:id="rId2"/>
    <sheet name="Master" sheetId="47" r:id="rId3"/>
    <sheet name="Master-LawOfRiver" sheetId="57" r:id="rId4"/>
    <sheet name="Master-Plots" sheetId="55" r:id="rId5"/>
    <sheet name="SplitInflowPlot" sheetId="59" r:id="rId6"/>
    <sheet name="SplitInflow" sheetId="58" r:id="rId7"/>
    <sheet name="MandatoryConservation" sheetId="41" r:id="rId8"/>
    <sheet name="HydrologicScenarios" sheetId="7" r:id="rId9"/>
    <sheet name="PowellReleaseTemperature" sheetId="43" r:id="rId10"/>
    <sheet name="Powell-Elevation-Area" sheetId="2" r:id="rId11"/>
    <sheet name="Mead-Elevation-Area" sheetId="10" r:id="rId12"/>
    <sheet name="CellType" sheetId="54" r:id="rId1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5" i="58" l="1"/>
  <c r="H34" i="58" l="1"/>
  <c r="I34" i="58"/>
  <c r="J34" i="58"/>
  <c r="K34" i="58" s="1"/>
  <c r="H35" i="58"/>
  <c r="I35" i="58" s="1"/>
  <c r="J35" i="58" s="1"/>
  <c r="K35" i="58" s="1"/>
  <c r="L35" i="58" s="1"/>
  <c r="H38" i="58"/>
  <c r="I38" i="58"/>
  <c r="D35" i="58"/>
  <c r="E35" i="58" s="1"/>
  <c r="F35" i="58" s="1"/>
  <c r="G35" i="58" s="1"/>
  <c r="C35" i="58"/>
  <c r="A46" i="58"/>
  <c r="A45" i="58"/>
  <c r="B44" i="58"/>
  <c r="A44" i="58"/>
  <c r="B43" i="58"/>
  <c r="A43" i="58"/>
  <c r="A42" i="58"/>
  <c r="A41" i="58"/>
  <c r="A40" i="58"/>
  <c r="I39" i="58"/>
  <c r="H39" i="58"/>
  <c r="G38" i="58"/>
  <c r="F38" i="58"/>
  <c r="A37" i="58"/>
  <c r="C34" i="58"/>
  <c r="C38" i="58" s="1"/>
  <c r="C33" i="58"/>
  <c r="C36" i="58" s="1"/>
  <c r="C37" i="58" s="1"/>
  <c r="L31" i="58"/>
  <c r="K31" i="58"/>
  <c r="J31" i="58"/>
  <c r="I31" i="58"/>
  <c r="H31" i="58"/>
  <c r="G31" i="58"/>
  <c r="F31" i="58"/>
  <c r="E31" i="58"/>
  <c r="D31" i="58"/>
  <c r="C31" i="58"/>
  <c r="L30" i="58"/>
  <c r="K30" i="58"/>
  <c r="J30" i="58"/>
  <c r="I30" i="58"/>
  <c r="H30" i="58"/>
  <c r="G30" i="58"/>
  <c r="G39" i="58" s="1"/>
  <c r="F30" i="58"/>
  <c r="E30" i="58"/>
  <c r="D30" i="58"/>
  <c r="C30" i="58"/>
  <c r="L29" i="58"/>
  <c r="L39" i="58" s="1"/>
  <c r="K29" i="58"/>
  <c r="K39" i="58" s="1"/>
  <c r="J29" i="58"/>
  <c r="J39" i="58" s="1"/>
  <c r="I29" i="58"/>
  <c r="H29" i="58"/>
  <c r="G29" i="58"/>
  <c r="F29" i="58"/>
  <c r="E29" i="58"/>
  <c r="D29" i="58"/>
  <c r="C29" i="58"/>
  <c r="C39" i="58" s="1"/>
  <c r="N27" i="58"/>
  <c r="B25" i="58"/>
  <c r="B22" i="58"/>
  <c r="B24" i="58" s="1"/>
  <c r="C21" i="58"/>
  <c r="B21" i="58"/>
  <c r="A1" i="58"/>
  <c r="L34" i="58" l="1"/>
  <c r="L38" i="58" s="1"/>
  <c r="K38" i="58"/>
  <c r="J38" i="58"/>
  <c r="F39" i="58"/>
  <c r="D33" i="58"/>
  <c r="E33" i="58" s="1"/>
  <c r="F33" i="58" s="1"/>
  <c r="D34" i="58"/>
  <c r="D39" i="58"/>
  <c r="E39" i="58"/>
  <c r="D97" i="57"/>
  <c r="E97" i="57"/>
  <c r="F97" i="57"/>
  <c r="G97" i="57"/>
  <c r="D81" i="57"/>
  <c r="E81" i="57"/>
  <c r="F81" i="57"/>
  <c r="G81" i="57"/>
  <c r="C81" i="57"/>
  <c r="D73" i="57"/>
  <c r="E73" i="57"/>
  <c r="F73" i="57"/>
  <c r="G73" i="57"/>
  <c r="C73" i="57"/>
  <c r="D65" i="57"/>
  <c r="E65" i="57"/>
  <c r="F65" i="57"/>
  <c r="G65" i="57"/>
  <c r="C65" i="57"/>
  <c r="C28" i="57"/>
  <c r="C97" i="57" s="1"/>
  <c r="G33" i="58" l="1"/>
  <c r="F36" i="58"/>
  <c r="F37" i="58" s="1"/>
  <c r="F45" i="58" s="1"/>
  <c r="F46" i="58" s="1"/>
  <c r="D36" i="58"/>
  <c r="E34" i="58"/>
  <c r="D38" i="58"/>
  <c r="C46" i="58"/>
  <c r="B41" i="58" s="1"/>
  <c r="A6" i="57"/>
  <c r="A68" i="57" s="1"/>
  <c r="A7" i="57"/>
  <c r="A112" i="57" s="1"/>
  <c r="L112" i="57" s="1"/>
  <c r="A8" i="57"/>
  <c r="A36" i="57" s="1"/>
  <c r="A9" i="57"/>
  <c r="B9" i="57" s="1"/>
  <c r="A5" i="57"/>
  <c r="A43" i="57" s="1"/>
  <c r="J43" i="57" s="1"/>
  <c r="D28" i="57"/>
  <c r="E28" i="57"/>
  <c r="F28" i="57"/>
  <c r="F30" i="57" s="1"/>
  <c r="G28" i="57"/>
  <c r="B23" i="57"/>
  <c r="B24" i="57"/>
  <c r="B22"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M101" i="57"/>
  <c r="A100" i="57"/>
  <c r="M94" i="57"/>
  <c r="M93" i="57"/>
  <c r="M86" i="57"/>
  <c r="M85" i="57"/>
  <c r="M78" i="57"/>
  <c r="M77" i="57"/>
  <c r="M70" i="57"/>
  <c r="M69" i="57"/>
  <c r="M62" i="57"/>
  <c r="M61" i="57"/>
  <c r="N59" i="57"/>
  <c r="K57" i="57"/>
  <c r="A57" i="57"/>
  <c r="H57" i="57" s="1"/>
  <c r="A56" i="57"/>
  <c r="K56" i="57" s="1"/>
  <c r="B54" i="57"/>
  <c r="L50" i="57"/>
  <c r="K50" i="57"/>
  <c r="J50" i="57"/>
  <c r="I50" i="57"/>
  <c r="H50" i="57"/>
  <c r="L49" i="57"/>
  <c r="K49" i="57"/>
  <c r="J49" i="57"/>
  <c r="I49" i="57"/>
  <c r="H49"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N27" i="57"/>
  <c r="C21" i="57"/>
  <c r="B21" i="57"/>
  <c r="A1" i="57"/>
  <c r="F44" i="58" l="1"/>
  <c r="F43" i="58" s="1"/>
  <c r="H33" i="58"/>
  <c r="G36" i="58"/>
  <c r="G37" i="58" s="1"/>
  <c r="G45" i="58" s="1"/>
  <c r="D37" i="58"/>
  <c r="D45" i="58" s="1"/>
  <c r="D46" i="58" s="1"/>
  <c r="D44" i="58" s="1"/>
  <c r="D43" i="58" s="1"/>
  <c r="F34" i="58"/>
  <c r="G34" i="58" s="1"/>
  <c r="E38" i="58"/>
  <c r="E36" i="58"/>
  <c r="C44" i="58"/>
  <c r="C43" i="58" s="1"/>
  <c r="E31" i="57"/>
  <c r="I123" i="57"/>
  <c r="D31" i="57"/>
  <c r="H130" i="57"/>
  <c r="F29" i="57"/>
  <c r="F134" i="57" s="1"/>
  <c r="A129" i="57"/>
  <c r="J129" i="57" s="1"/>
  <c r="C115" i="57"/>
  <c r="A54" i="57"/>
  <c r="H54" i="57" s="1"/>
  <c r="E30" i="57"/>
  <c r="A33" i="57"/>
  <c r="K33" i="57" s="1"/>
  <c r="A60" i="57"/>
  <c r="A61" i="57" s="1"/>
  <c r="A62" i="57" s="1"/>
  <c r="F115" i="57"/>
  <c r="A122" i="57"/>
  <c r="K122" i="57" s="1"/>
  <c r="A37" i="57"/>
  <c r="H37" i="57" s="1"/>
  <c r="A55" i="57"/>
  <c r="L55" i="57" s="1"/>
  <c r="A92" i="57"/>
  <c r="G115" i="57"/>
  <c r="B55" i="57"/>
  <c r="H115" i="57"/>
  <c r="A47" i="57"/>
  <c r="L47" i="57" s="1"/>
  <c r="H48" i="57"/>
  <c r="I48" i="57"/>
  <c r="L48" i="57"/>
  <c r="I56" i="57"/>
  <c r="A34" i="57"/>
  <c r="I34" i="57" s="1"/>
  <c r="J56" i="57"/>
  <c r="G30" i="57"/>
  <c r="A110" i="57"/>
  <c r="L110" i="57" s="1"/>
  <c r="G31" i="57"/>
  <c r="B34" i="57"/>
  <c r="C34" i="57" s="1"/>
  <c r="F31" i="57"/>
  <c r="A52" i="57"/>
  <c r="J51" i="57" s="1"/>
  <c r="C40" i="57"/>
  <c r="D30" i="57"/>
  <c r="C123" i="57"/>
  <c r="C32" i="57"/>
  <c r="A114" i="57"/>
  <c r="L114" i="57" s="1"/>
  <c r="K36" i="57"/>
  <c r="L36" i="57"/>
  <c r="A76" i="57"/>
  <c r="A119" i="57"/>
  <c r="H119" i="57" s="1"/>
  <c r="A113" i="57"/>
  <c r="F113" i="57" s="1"/>
  <c r="K34" i="57"/>
  <c r="A45" i="57"/>
  <c r="J45" i="57" s="1"/>
  <c r="A126" i="57"/>
  <c r="J126" i="57" s="1"/>
  <c r="A53" i="57"/>
  <c r="H53" i="57" s="1"/>
  <c r="L34" i="57"/>
  <c r="A111" i="57"/>
  <c r="H111" i="57" s="1"/>
  <c r="A35" i="57"/>
  <c r="L35" i="57" s="1"/>
  <c r="A84" i="57"/>
  <c r="A85" i="57" s="1"/>
  <c r="F122" i="57"/>
  <c r="A51" i="57"/>
  <c r="P51" i="57" s="1"/>
  <c r="A118" i="57"/>
  <c r="G118" i="57" s="1"/>
  <c r="A125" i="57"/>
  <c r="J125" i="57" s="1"/>
  <c r="K53" i="57"/>
  <c r="J112" i="57"/>
  <c r="A120" i="57"/>
  <c r="J120" i="57" s="1"/>
  <c r="A44" i="57"/>
  <c r="I44" i="57" s="1"/>
  <c r="K112" i="57"/>
  <c r="A121" i="57"/>
  <c r="E121" i="57" s="1"/>
  <c r="C112" i="57"/>
  <c r="A127" i="57"/>
  <c r="H127" i="57" s="1"/>
  <c r="A128" i="57"/>
  <c r="L128" i="57" s="1"/>
  <c r="H36" i="57"/>
  <c r="A46" i="57"/>
  <c r="H46" i="57" s="1"/>
  <c r="I36" i="57"/>
  <c r="H43" i="57"/>
  <c r="I43" i="57"/>
  <c r="K43" i="57"/>
  <c r="L43" i="57"/>
  <c r="E29" i="57"/>
  <c r="E50" i="57" s="1"/>
  <c r="D112" i="57"/>
  <c r="D29" i="57"/>
  <c r="F50" i="57"/>
  <c r="G29" i="57"/>
  <c r="C41" i="57"/>
  <c r="C49" i="57" s="1"/>
  <c r="C42" i="57"/>
  <c r="F118" i="57"/>
  <c r="G110" i="57"/>
  <c r="F110" i="57"/>
  <c r="J123" i="57"/>
  <c r="B38" i="57"/>
  <c r="B33" i="57"/>
  <c r="C33" i="57" s="1"/>
  <c r="H33" i="57"/>
  <c r="I55" i="57"/>
  <c r="C110" i="57"/>
  <c r="J118" i="57"/>
  <c r="K54" i="57"/>
  <c r="I129" i="57"/>
  <c r="I33" i="57"/>
  <c r="D110" i="57"/>
  <c r="J54" i="57"/>
  <c r="H56" i="57"/>
  <c r="L56" i="57"/>
  <c r="J110" i="57"/>
  <c r="K38" i="57"/>
  <c r="C38" i="57"/>
  <c r="J38" i="57"/>
  <c r="H38" i="57"/>
  <c r="L38" i="57"/>
  <c r="J55" i="57"/>
  <c r="I112" i="57"/>
  <c r="H112" i="57"/>
  <c r="G112" i="57"/>
  <c r="F112" i="57"/>
  <c r="E112" i="57"/>
  <c r="J33" i="57"/>
  <c r="H123" i="57"/>
  <c r="G123" i="57"/>
  <c r="F123" i="57"/>
  <c r="E123" i="57"/>
  <c r="L123" i="57"/>
  <c r="D123" i="57"/>
  <c r="I57" i="57"/>
  <c r="I113" i="57"/>
  <c r="I115" i="57"/>
  <c r="J130" i="57"/>
  <c r="J57" i="57"/>
  <c r="J111" i="57"/>
  <c r="J113" i="57"/>
  <c r="J115" i="57"/>
  <c r="K130" i="57"/>
  <c r="J119" i="57"/>
  <c r="L130" i="57"/>
  <c r="J36" i="57"/>
  <c r="J48" i="57"/>
  <c r="L57" i="57"/>
  <c r="L113" i="57"/>
  <c r="D115" i="57"/>
  <c r="L115" i="57"/>
  <c r="J122" i="57"/>
  <c r="L125" i="57"/>
  <c r="C36" i="57"/>
  <c r="E115" i="57"/>
  <c r="B55" i="47"/>
  <c r="B25" i="47"/>
  <c r="B25" i="57" s="1"/>
  <c r="D42" i="58" l="1"/>
  <c r="D41" i="58" s="1"/>
  <c r="D40" i="58" s="1"/>
  <c r="G46" i="58"/>
  <c r="G44" i="58"/>
  <c r="G43" i="58" s="1"/>
  <c r="C42" i="58"/>
  <c r="C41" i="58" s="1"/>
  <c r="C40" i="58" s="1"/>
  <c r="H36" i="58"/>
  <c r="H37" i="58" s="1"/>
  <c r="H45" i="58" s="1"/>
  <c r="H46" i="58" s="1"/>
  <c r="H44" i="58" s="1"/>
  <c r="H43" i="58" s="1"/>
  <c r="H42" i="58" s="1"/>
  <c r="H41" i="58" s="1"/>
  <c r="H40" i="58" s="1"/>
  <c r="I33" i="58"/>
  <c r="F42" i="58"/>
  <c r="F41" i="58" s="1"/>
  <c r="F40" i="58" s="1"/>
  <c r="E37" i="58"/>
  <c r="E45" i="58" s="1"/>
  <c r="E46" i="58" s="1"/>
  <c r="E44" i="58" s="1"/>
  <c r="E43" i="58" s="1"/>
  <c r="I54" i="57"/>
  <c r="A69" i="57"/>
  <c r="A70" i="57" s="1"/>
  <c r="A72" i="57" s="1"/>
  <c r="K128" i="57"/>
  <c r="G55" i="57"/>
  <c r="L54" i="57"/>
  <c r="E110" i="57"/>
  <c r="F55" i="57"/>
  <c r="K119" i="57"/>
  <c r="K111" i="57"/>
  <c r="G111" i="57"/>
  <c r="I119" i="57"/>
  <c r="L33" i="57"/>
  <c r="J34" i="57"/>
  <c r="E111" i="57"/>
  <c r="D111" i="57"/>
  <c r="H34" i="57"/>
  <c r="K47" i="57"/>
  <c r="I122" i="57"/>
  <c r="F129" i="57"/>
  <c r="G129" i="57"/>
  <c r="J47" i="57"/>
  <c r="K55" i="57"/>
  <c r="H129" i="57"/>
  <c r="E122" i="57"/>
  <c r="H47" i="57"/>
  <c r="K129" i="57"/>
  <c r="L129" i="57"/>
  <c r="H122" i="57"/>
  <c r="F47" i="57"/>
  <c r="I47" i="57"/>
  <c r="G47" i="57"/>
  <c r="G122" i="57"/>
  <c r="H110" i="57"/>
  <c r="B37" i="57"/>
  <c r="C37" i="57" s="1"/>
  <c r="C47" i="57" s="1"/>
  <c r="I110" i="57"/>
  <c r="K110" i="57"/>
  <c r="H118" i="57"/>
  <c r="D122" i="57"/>
  <c r="L122" i="57"/>
  <c r="J53" i="57"/>
  <c r="H55" i="57"/>
  <c r="F37" i="57"/>
  <c r="A93" i="57"/>
  <c r="A94" i="57" s="1"/>
  <c r="A96" i="57" s="1"/>
  <c r="L96" i="57" s="1"/>
  <c r="I111" i="57"/>
  <c r="J37" i="57"/>
  <c r="L37" i="57"/>
  <c r="L52" i="57"/>
  <c r="H45" i="57"/>
  <c r="L126" i="57"/>
  <c r="K37" i="57"/>
  <c r="G37" i="57"/>
  <c r="C111" i="57"/>
  <c r="A77" i="57"/>
  <c r="A78" i="57" s="1"/>
  <c r="A80" i="57" s="1"/>
  <c r="P52" i="57"/>
  <c r="H52" i="57"/>
  <c r="I37" i="57"/>
  <c r="A101" i="57"/>
  <c r="A102" i="57" s="1"/>
  <c r="A104" i="57" s="1"/>
  <c r="G119" i="57"/>
  <c r="F111" i="57"/>
  <c r="J52" i="57"/>
  <c r="L111" i="57"/>
  <c r="K114" i="57"/>
  <c r="H44" i="57"/>
  <c r="I125" i="57"/>
  <c r="K51" i="57"/>
  <c r="K127" i="57"/>
  <c r="I120" i="57"/>
  <c r="L51" i="57"/>
  <c r="H51" i="57"/>
  <c r="I52" i="57"/>
  <c r="I35" i="57"/>
  <c r="K52" i="57"/>
  <c r="C113" i="57"/>
  <c r="I53" i="57"/>
  <c r="K113" i="57"/>
  <c r="L53" i="57"/>
  <c r="E113" i="57"/>
  <c r="J44" i="57"/>
  <c r="I51" i="57"/>
  <c r="G113" i="57"/>
  <c r="A86" i="57"/>
  <c r="A88" i="57" s="1"/>
  <c r="G114" i="57"/>
  <c r="H114" i="57"/>
  <c r="I114" i="57"/>
  <c r="C114" i="57"/>
  <c r="F114" i="57"/>
  <c r="J114" i="57"/>
  <c r="D114" i="57"/>
  <c r="E114" i="57"/>
  <c r="E116" i="57" s="1"/>
  <c r="I126" i="57"/>
  <c r="D113" i="57"/>
  <c r="I45" i="57"/>
  <c r="L127" i="57"/>
  <c r="C35" i="57"/>
  <c r="C45" i="57" s="1"/>
  <c r="H126" i="57"/>
  <c r="L119" i="57"/>
  <c r="F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F120" i="57"/>
  <c r="L120" i="57"/>
  <c r="G120" i="57"/>
  <c r="I128" i="57"/>
  <c r="H128" i="57"/>
  <c r="K120" i="57"/>
  <c r="H120" i="57"/>
  <c r="D50" i="57"/>
  <c r="C48" i="57"/>
  <c r="F116" i="57"/>
  <c r="G116" i="57"/>
  <c r="G50" i="57"/>
  <c r="G134" i="57"/>
  <c r="G136" i="57" s="1"/>
  <c r="G41" i="57"/>
  <c r="G49" i="57" s="1"/>
  <c r="F136" i="57"/>
  <c r="C44" i="57"/>
  <c r="C46" i="57"/>
  <c r="C43" i="57"/>
  <c r="M112" i="57"/>
  <c r="M115" i="57"/>
  <c r="A63" i="57"/>
  <c r="A64" i="57"/>
  <c r="F50" i="47"/>
  <c r="G50" i="47"/>
  <c r="H50" i="47"/>
  <c r="I50" i="47"/>
  <c r="J50" i="47"/>
  <c r="K50" i="47"/>
  <c r="L50" i="47"/>
  <c r="F51" i="47"/>
  <c r="G51" i="47"/>
  <c r="H51" i="47"/>
  <c r="I51" i="47"/>
  <c r="J51" i="47"/>
  <c r="K51" i="47"/>
  <c r="L51" i="47"/>
  <c r="F52" i="47"/>
  <c r="G52" i="47"/>
  <c r="H52" i="47"/>
  <c r="I52" i="47"/>
  <c r="J52" i="47"/>
  <c r="K52" i="47"/>
  <c r="L52" i="47"/>
  <c r="F53" i="47"/>
  <c r="G53" i="47"/>
  <c r="H53" i="47"/>
  <c r="I53" i="47"/>
  <c r="J53" i="47"/>
  <c r="K53" i="47"/>
  <c r="L53" i="47"/>
  <c r="F54" i="47"/>
  <c r="G54" i="47"/>
  <c r="H54" i="47"/>
  <c r="I54" i="47"/>
  <c r="J54" i="47"/>
  <c r="K54" i="47"/>
  <c r="L54" i="47"/>
  <c r="F56" i="47"/>
  <c r="G56" i="47"/>
  <c r="H56" i="47"/>
  <c r="I56" i="47"/>
  <c r="J56" i="47"/>
  <c r="K56" i="47"/>
  <c r="L56" i="47"/>
  <c r="F57" i="47"/>
  <c r="G57" i="47"/>
  <c r="H57" i="47"/>
  <c r="I57" i="47"/>
  <c r="J57" i="47"/>
  <c r="K57" i="47"/>
  <c r="L57" i="47"/>
  <c r="E42" i="58" l="1"/>
  <c r="E41" i="58" s="1"/>
  <c r="E40" i="58" s="1"/>
  <c r="G42" i="58"/>
  <c r="G41" i="58" s="1"/>
  <c r="G40" i="58" s="1"/>
  <c r="I36" i="58"/>
  <c r="I37" i="58" s="1"/>
  <c r="I45" i="58" s="1"/>
  <c r="J33" i="58"/>
  <c r="C116" i="57"/>
  <c r="M110" i="57"/>
  <c r="M111" i="57"/>
  <c r="A95" i="57"/>
  <c r="F95" i="57" s="1"/>
  <c r="G96" i="57"/>
  <c r="M114" i="57"/>
  <c r="F96" i="57"/>
  <c r="J96" i="57"/>
  <c r="I96" i="57"/>
  <c r="M113" i="57"/>
  <c r="D116" i="57"/>
  <c r="D63" i="57" s="1"/>
  <c r="H96" i="57"/>
  <c r="K96" i="57"/>
  <c r="I95" i="57"/>
  <c r="H95" i="57"/>
  <c r="J95" i="57"/>
  <c r="K95" i="57"/>
  <c r="L95" i="57"/>
  <c r="L63" i="57"/>
  <c r="K63" i="57"/>
  <c r="I63" i="57"/>
  <c r="H63" i="57"/>
  <c r="E63" i="57"/>
  <c r="G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H65" i="57" s="1"/>
  <c r="A65" i="57"/>
  <c r="L64" i="57"/>
  <c r="L65" i="57" s="1"/>
  <c r="I64" i="57"/>
  <c r="I65" i="57" s="1"/>
  <c r="J64" i="57"/>
  <c r="J65" i="57" s="1"/>
  <c r="K64" i="57"/>
  <c r="K65" i="57" s="1"/>
  <c r="A57" i="47"/>
  <c r="J36" i="58" l="1"/>
  <c r="J37" i="58" s="1"/>
  <c r="J45" i="58" s="1"/>
  <c r="K33" i="58"/>
  <c r="I46" i="58"/>
  <c r="I44" i="58" s="1"/>
  <c r="I43" i="58" s="1"/>
  <c r="I42" i="58" s="1"/>
  <c r="I41" i="58" s="1"/>
  <c r="I40" i="58" s="1"/>
  <c r="E95" i="57"/>
  <c r="C63" i="57"/>
  <c r="C95" i="57"/>
  <c r="G95" i="57"/>
  <c r="M95" i="57"/>
  <c r="D95" i="57"/>
  <c r="A66" i="57"/>
  <c r="J66" i="57" s="1"/>
  <c r="A97" i="57"/>
  <c r="A89" i="57"/>
  <c r="A90" i="57" s="1"/>
  <c r="I90" i="57" s="1"/>
  <c r="A73" i="57"/>
  <c r="A74" i="57" s="1"/>
  <c r="I74" i="57" s="1"/>
  <c r="A81" i="57"/>
  <c r="A82" i="57" s="1"/>
  <c r="L82" i="57" s="1"/>
  <c r="L87" i="57"/>
  <c r="D87" i="57"/>
  <c r="K87" i="57"/>
  <c r="C87" i="57"/>
  <c r="I87" i="57"/>
  <c r="H87" i="57"/>
  <c r="F87" i="57"/>
  <c r="E87" i="57"/>
  <c r="G87" i="57"/>
  <c r="J87" i="57"/>
  <c r="M87" i="57"/>
  <c r="L79" i="57"/>
  <c r="D79" i="57"/>
  <c r="K79" i="57"/>
  <c r="C79" i="57"/>
  <c r="I79" i="57"/>
  <c r="H79" i="57"/>
  <c r="M79" i="57"/>
  <c r="J79" i="57"/>
  <c r="E79" i="57"/>
  <c r="G79" i="57"/>
  <c r="F79" i="57"/>
  <c r="I66" i="57"/>
  <c r="H66" i="57"/>
  <c r="L103" i="57"/>
  <c r="D103" i="57"/>
  <c r="K103" i="57"/>
  <c r="C103" i="57"/>
  <c r="J103" i="57"/>
  <c r="I103" i="57"/>
  <c r="H103" i="57"/>
  <c r="F103" i="57"/>
  <c r="E103" i="57"/>
  <c r="G103" i="57"/>
  <c r="M103" i="57"/>
  <c r="A105" i="57"/>
  <c r="A106" i="57" s="1"/>
  <c r="L71" i="57"/>
  <c r="D71" i="57"/>
  <c r="K71" i="57"/>
  <c r="C71" i="57"/>
  <c r="I71" i="57"/>
  <c r="H71" i="57"/>
  <c r="J71" i="57"/>
  <c r="G71" i="57"/>
  <c r="F71" i="57"/>
  <c r="E71" i="57"/>
  <c r="M71" i="57"/>
  <c r="B24" i="47"/>
  <c r="L33" i="58" l="1"/>
  <c r="L36" i="58" s="1"/>
  <c r="L37" i="58" s="1"/>
  <c r="L45" i="58" s="1"/>
  <c r="L46" i="58" s="1"/>
  <c r="L44" i="58" s="1"/>
  <c r="L43" i="58" s="1"/>
  <c r="L42" i="58" s="1"/>
  <c r="L41" i="58" s="1"/>
  <c r="L40" i="58" s="1"/>
  <c r="K36" i="58"/>
  <c r="K37" i="58" s="1"/>
  <c r="K45" i="58" s="1"/>
  <c r="K46" i="58" s="1"/>
  <c r="K44" i="58" s="1"/>
  <c r="K43" i="58" s="1"/>
  <c r="K42" i="58" s="1"/>
  <c r="K41" i="58" s="1"/>
  <c r="K40" i="58" s="1"/>
  <c r="J46" i="58"/>
  <c r="J44" i="58" s="1"/>
  <c r="J43" i="58" s="1"/>
  <c r="J42" i="58" s="1"/>
  <c r="J41" i="58" s="1"/>
  <c r="J40" i="58" s="1"/>
  <c r="A98" i="57"/>
  <c r="J98" i="57" s="1"/>
  <c r="K66" i="57"/>
  <c r="L66" i="57"/>
  <c r="L90" i="57"/>
  <c r="K90" i="57"/>
  <c r="J74" i="57"/>
  <c r="H74" i="57"/>
  <c r="J82" i="57"/>
  <c r="H82" i="57"/>
  <c r="K74" i="57"/>
  <c r="J90" i="57"/>
  <c r="L74" i="57"/>
  <c r="H90" i="57"/>
  <c r="I82" i="57"/>
  <c r="K82" i="57"/>
  <c r="L106" i="57"/>
  <c r="K106" i="57"/>
  <c r="J106" i="57"/>
  <c r="I106" i="57"/>
  <c r="H106" i="57"/>
  <c r="N59" i="47"/>
  <c r="N27" i="47"/>
  <c r="I98" i="57" l="1"/>
  <c r="K98" i="57"/>
  <c r="L98" i="57"/>
  <c r="H98" i="57"/>
  <c r="F98" i="57"/>
  <c r="G98" i="57"/>
  <c r="A55" i="47"/>
  <c r="B22" i="47"/>
  <c r="G55" i="47" l="1"/>
  <c r="F55" i="47"/>
  <c r="H55" i="47"/>
  <c r="I55" i="47"/>
  <c r="J55" i="47"/>
  <c r="K55" i="47"/>
  <c r="L55" i="47"/>
  <c r="F40" i="47" l="1"/>
  <c r="G40" i="47"/>
  <c r="H40" i="47"/>
  <c r="I40" i="47"/>
  <c r="J40" i="47"/>
  <c r="K40" i="47"/>
  <c r="L40" i="47"/>
  <c r="F41" i="47"/>
  <c r="G41" i="47"/>
  <c r="H41" i="47"/>
  <c r="I41" i="47"/>
  <c r="J41" i="47"/>
  <c r="K41" i="47"/>
  <c r="L41" i="47"/>
  <c r="C41" i="47"/>
  <c r="C40" i="47"/>
  <c r="G7" i="43" l="1"/>
  <c r="G8" i="43"/>
  <c r="G9" i="43"/>
  <c r="G10" i="43"/>
  <c r="G11" i="43"/>
  <c r="G6" i="43"/>
  <c r="G5" i="43"/>
  <c r="D33" i="57" l="1"/>
  <c r="B54" i="47"/>
  <c r="D32" i="57" l="1"/>
  <c r="H30" i="47"/>
  <c r="I30" i="47"/>
  <c r="J30" i="47"/>
  <c r="K30" i="47"/>
  <c r="L30" i="47"/>
  <c r="D30" i="47"/>
  <c r="E30" i="47"/>
  <c r="F30" i="47"/>
  <c r="G30" i="47"/>
  <c r="C30" i="47"/>
  <c r="C30" i="57" s="1"/>
  <c r="D41" i="57" l="1"/>
  <c r="D49" i="57" s="1"/>
  <c r="D40" i="57"/>
  <c r="D42" i="57" s="1"/>
  <c r="D48" i="57" l="1"/>
  <c r="D56" i="57" s="1"/>
  <c r="D44" i="57"/>
  <c r="D45" i="57"/>
  <c r="D47" i="57"/>
  <c r="D46" i="57"/>
  <c r="D43" i="57"/>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63" i="47" s="1"/>
  <c r="A56" i="47"/>
  <c r="A54" i="47"/>
  <c r="A53" i="47"/>
  <c r="A52" i="47"/>
  <c r="A51" i="47"/>
  <c r="L49" i="47"/>
  <c r="K49" i="47"/>
  <c r="J49" i="47"/>
  <c r="I49" i="47"/>
  <c r="H49" i="47"/>
  <c r="A48" i="47"/>
  <c r="K48" i="47" s="1"/>
  <c r="A47" i="47"/>
  <c r="F47" i="47" s="1"/>
  <c r="A46" i="47"/>
  <c r="K46" i="47" s="1"/>
  <c r="A45" i="47"/>
  <c r="I45" i="47" s="1"/>
  <c r="A44" i="47"/>
  <c r="I44" i="47" s="1"/>
  <c r="A43" i="47"/>
  <c r="J43" i="47" s="1"/>
  <c r="L42" i="47"/>
  <c r="K42" i="47"/>
  <c r="J42" i="47"/>
  <c r="I42" i="47"/>
  <c r="H42" i="47"/>
  <c r="C49"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C31" i="47"/>
  <c r="C31" i="57" s="1"/>
  <c r="L29" i="47"/>
  <c r="L134" i="47" s="1"/>
  <c r="K29" i="47"/>
  <c r="K134" i="47" s="1"/>
  <c r="J29" i="47"/>
  <c r="J134" i="47" s="1"/>
  <c r="I29" i="47"/>
  <c r="I134" i="47" s="1"/>
  <c r="H29" i="47"/>
  <c r="G29" i="47"/>
  <c r="F29" i="47"/>
  <c r="E29" i="47"/>
  <c r="E50" i="47" s="1"/>
  <c r="D29" i="47"/>
  <c r="D50" i="47" s="1"/>
  <c r="C29" i="47"/>
  <c r="C21" i="47"/>
  <c r="B34" i="47" s="1"/>
  <c r="B21" i="47"/>
  <c r="A1" i="47"/>
  <c r="F9" i="43"/>
  <c r="E6" i="43"/>
  <c r="E7" i="43" s="1"/>
  <c r="E11" i="43"/>
  <c r="C50" i="47" l="1"/>
  <c r="C29" i="57"/>
  <c r="D57" i="57"/>
  <c r="D55" i="57" s="1"/>
  <c r="D104" i="57"/>
  <c r="D106" i="57" s="1"/>
  <c r="D130" i="57" s="1"/>
  <c r="E38" i="57" s="1"/>
  <c r="F37" i="47"/>
  <c r="B37" i="47"/>
  <c r="C37" i="47" s="1"/>
  <c r="P51" i="47"/>
  <c r="P52" i="47"/>
  <c r="F114" i="47"/>
  <c r="G111" i="47"/>
  <c r="H114" i="47"/>
  <c r="I111" i="47"/>
  <c r="I129" i="47"/>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G37"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F129" i="47"/>
  <c r="I130" i="47"/>
  <c r="K34" i="47"/>
  <c r="K43" i="47"/>
  <c r="K113" i="47"/>
  <c r="E115" i="47"/>
  <c r="L129" i="47"/>
  <c r="C34" i="47"/>
  <c r="H43" i="47"/>
  <c r="C115" i="47"/>
  <c r="L43" i="47"/>
  <c r="L113" i="47"/>
  <c r="F115" i="47"/>
  <c r="G47" i="47"/>
  <c r="D110" i="47"/>
  <c r="C113" i="47"/>
  <c r="I115" i="47"/>
  <c r="H47" i="47"/>
  <c r="H48" i="47"/>
  <c r="L110" i="47"/>
  <c r="D113" i="47"/>
  <c r="K115" i="47"/>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C50" i="57" l="1"/>
  <c r="D96" i="57"/>
  <c r="D98" i="57" s="1"/>
  <c r="D129" i="57" s="1"/>
  <c r="E37" i="57" s="1"/>
  <c r="D54" i="57"/>
  <c r="C47" i="47"/>
  <c r="M114" i="47"/>
  <c r="A88" i="47"/>
  <c r="A87" i="47"/>
  <c r="C48" i="47"/>
  <c r="C56" i="47" s="1"/>
  <c r="C57" i="47" s="1"/>
  <c r="B52" i="47" s="1"/>
  <c r="M115" i="47"/>
  <c r="C36" i="47"/>
  <c r="C46" i="47" s="1"/>
  <c r="M113" i="47"/>
  <c r="F116" i="47"/>
  <c r="G116" i="47"/>
  <c r="D116" i="47"/>
  <c r="E116" i="47"/>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6" i="57" l="1"/>
  <c r="C104" i="57" s="1"/>
  <c r="C106" i="57" s="1"/>
  <c r="C130" i="57" s="1"/>
  <c r="D38" i="57" s="1"/>
  <c r="D88" i="57"/>
  <c r="D90" i="57" s="1"/>
  <c r="D128" i="57" s="1"/>
  <c r="E36" i="57" s="1"/>
  <c r="D53" i="57"/>
  <c r="C55" i="47"/>
  <c r="C54" i="47" s="1"/>
  <c r="A65" i="47"/>
  <c r="A89" i="47" s="1"/>
  <c r="K64" i="47"/>
  <c r="L64" i="47"/>
  <c r="F64" i="47"/>
  <c r="G64" i="47"/>
  <c r="H64" i="47"/>
  <c r="J64" i="47"/>
  <c r="I64" i="47"/>
  <c r="F104" i="47"/>
  <c r="H104" i="47"/>
  <c r="G104" i="47"/>
  <c r="J104" i="47"/>
  <c r="K104" i="47"/>
  <c r="L104" i="47"/>
  <c r="I104" i="47"/>
  <c r="L96" i="47"/>
  <c r="J96" i="47"/>
  <c r="K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7" i="57" l="1"/>
  <c r="D52" i="57"/>
  <c r="D80" i="57"/>
  <c r="C53" i="47"/>
  <c r="C52" i="47" s="1"/>
  <c r="C96" i="47"/>
  <c r="A105" i="47"/>
  <c r="A106" i="47" s="1"/>
  <c r="A73" i="47"/>
  <c r="A74" i="47" s="1"/>
  <c r="A81" i="47"/>
  <c r="A82" i="47" s="1"/>
  <c r="A66" i="47"/>
  <c r="A90" i="47"/>
  <c r="A98" i="47"/>
  <c r="B52" i="57" l="1"/>
  <c r="C55" i="57"/>
  <c r="D120" i="57"/>
  <c r="D51" i="57"/>
  <c r="D64" i="57" s="1"/>
  <c r="D72" i="57"/>
  <c r="C51" i="47"/>
  <c r="C88" i="47"/>
  <c r="C90" i="47" s="1"/>
  <c r="C128" i="47" s="1"/>
  <c r="D36" i="47" s="1"/>
  <c r="K90" i="47"/>
  <c r="L90" i="47"/>
  <c r="J90" i="47"/>
  <c r="I90" i="47"/>
  <c r="H90" i="47"/>
  <c r="I82" i="47"/>
  <c r="J82" i="47"/>
  <c r="H82" i="47"/>
  <c r="L82" i="47"/>
  <c r="K82" i="47"/>
  <c r="L74" i="47"/>
  <c r="H74" i="47"/>
  <c r="K74" i="47"/>
  <c r="J74" i="47"/>
  <c r="I74" i="47"/>
  <c r="L66" i="47"/>
  <c r="K66" i="47"/>
  <c r="J66" i="47"/>
  <c r="I66" i="47"/>
  <c r="H66" i="47"/>
  <c r="F98" i="47"/>
  <c r="L98" i="47"/>
  <c r="K98" i="47"/>
  <c r="C98" i="47"/>
  <c r="C129" i="47" s="1"/>
  <c r="D37" i="47" s="1"/>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96" i="57" l="1"/>
  <c r="C54" i="57"/>
  <c r="D82" i="57"/>
  <c r="D127" i="57" s="1"/>
  <c r="E35" i="57" s="1"/>
  <c r="D119" i="57"/>
  <c r="D118" i="57"/>
  <c r="C64" i="47"/>
  <c r="C66" i="47" s="1"/>
  <c r="C125" i="47" s="1"/>
  <c r="D33" i="47" s="1"/>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53" i="57" l="1"/>
  <c r="C88" i="57"/>
  <c r="C90" i="57" s="1"/>
  <c r="C128" i="57" s="1"/>
  <c r="D36" i="57" s="1"/>
  <c r="C122" i="57"/>
  <c r="D66" i="57"/>
  <c r="D125" i="57" s="1"/>
  <c r="D74" i="57"/>
  <c r="D126" i="57" s="1"/>
  <c r="E34" i="57" s="1"/>
  <c r="E33" i="57"/>
  <c r="C72" i="47"/>
  <c r="C74" i="47" s="1"/>
  <c r="C126" i="47" s="1"/>
  <c r="D34" i="47" s="1"/>
  <c r="P5" i="41"/>
  <c r="C98" i="57" l="1"/>
  <c r="C129" i="57" s="1"/>
  <c r="D37" i="57" s="1"/>
  <c r="C80" i="57"/>
  <c r="C120" i="57" s="1"/>
  <c r="C52" i="57"/>
  <c r="D131" i="57"/>
  <c r="D133" i="57"/>
  <c r="D134" i="57"/>
  <c r="E32" i="57"/>
  <c r="C131" i="47"/>
  <c r="C134" i="47" s="1"/>
  <c r="D41" i="47" s="1"/>
  <c r="D49" i="47" s="1"/>
  <c r="F32" i="31"/>
  <c r="C82" i="57" l="1"/>
  <c r="C127" i="57" s="1"/>
  <c r="D35" i="57" s="1"/>
  <c r="C72" i="57"/>
  <c r="C119" i="57" s="1"/>
  <c r="C51" i="57"/>
  <c r="C64" i="57" s="1"/>
  <c r="C118" i="57" s="1"/>
  <c r="E41" i="57"/>
  <c r="E49" i="57" s="1"/>
  <c r="D136" i="57"/>
  <c r="D138" i="57"/>
  <c r="D135" i="57"/>
  <c r="E40" i="57"/>
  <c r="E42" i="57" s="1"/>
  <c r="D32" i="47"/>
  <c r="C133" i="47"/>
  <c r="C138" i="47" s="1"/>
  <c r="C136" i="47"/>
  <c r="C66" i="57" l="1"/>
  <c r="C125" i="57" s="1"/>
  <c r="C74" i="57"/>
  <c r="C126" i="57" s="1"/>
  <c r="D34" i="57"/>
  <c r="D141" i="57"/>
  <c r="D139" i="57"/>
  <c r="D140" i="57"/>
  <c r="E48" i="57"/>
  <c r="E56" i="57" s="1"/>
  <c r="E47" i="57"/>
  <c r="E46" i="57"/>
  <c r="E43" i="57"/>
  <c r="E44" i="57"/>
  <c r="E45" i="57"/>
  <c r="F32" i="57"/>
  <c r="D40" i="47"/>
  <c r="D42" i="47" s="1"/>
  <c r="D47" i="47" s="1"/>
  <c r="C135" i="47"/>
  <c r="C141" i="47" s="1"/>
  <c r="C131" i="57" l="1"/>
  <c r="C134" i="57" s="1"/>
  <c r="C136" i="57" s="1"/>
  <c r="E104" i="57"/>
  <c r="E106" i="57" s="1"/>
  <c r="E130" i="57" s="1"/>
  <c r="F38" i="57" s="1"/>
  <c r="E57" i="57"/>
  <c r="E55" i="57" s="1"/>
  <c r="F33" i="57"/>
  <c r="F41" i="57"/>
  <c r="F49" i="57" s="1"/>
  <c r="D45" i="47"/>
  <c r="D48" i="47"/>
  <c r="D56" i="47" s="1"/>
  <c r="D46" i="47"/>
  <c r="D44" i="47"/>
  <c r="D43" i="47"/>
  <c r="C140" i="47"/>
  <c r="C139" i="47"/>
  <c r="C133" i="57" l="1"/>
  <c r="C138" i="57" s="1"/>
  <c r="E54" i="57"/>
  <c r="E96" i="57"/>
  <c r="E98" i="57" s="1"/>
  <c r="E129" i="57" s="1"/>
  <c r="F42" i="57"/>
  <c r="F44" i="57" s="1"/>
  <c r="D57" i="47"/>
  <c r="D55" i="47" s="1"/>
  <c r="D54" i="47" s="1"/>
  <c r="D53" i="47" s="1"/>
  <c r="D52" i="47" s="1"/>
  <c r="D51" i="47" s="1"/>
  <c r="D104" i="47"/>
  <c r="D106" i="47" s="1"/>
  <c r="D130" i="47" s="1"/>
  <c r="E38" i="47" s="1"/>
  <c r="C135" i="57" l="1"/>
  <c r="C141" i="57" s="1"/>
  <c r="E88" i="57"/>
  <c r="E90" i="57" s="1"/>
  <c r="E128" i="57" s="1"/>
  <c r="F36" i="57" s="1"/>
  <c r="E53" i="57"/>
  <c r="F40" i="57"/>
  <c r="F43" i="57"/>
  <c r="F48" i="57"/>
  <c r="F56" i="57" s="1"/>
  <c r="F54" i="57" s="1"/>
  <c r="F45" i="57"/>
  <c r="F46" i="57"/>
  <c r="F57" i="57"/>
  <c r="F104" i="57"/>
  <c r="F106" i="57" s="1"/>
  <c r="F130" i="57" s="1"/>
  <c r="G38" i="57" s="1"/>
  <c r="C139" i="57" l="1"/>
  <c r="C140" i="57"/>
  <c r="E52" i="57"/>
  <c r="E80" i="57"/>
  <c r="F88" i="57"/>
  <c r="F90" i="57" s="1"/>
  <c r="F128" i="57" s="1"/>
  <c r="G36" i="57" s="1"/>
  <c r="F53" i="57"/>
  <c r="D96" i="47"/>
  <c r="D98" i="47" s="1"/>
  <c r="D129" i="47" s="1"/>
  <c r="E37" i="47" s="1"/>
  <c r="D88" i="47"/>
  <c r="D90" i="47" s="1"/>
  <c r="D128" i="47" s="1"/>
  <c r="E36" i="47" s="1"/>
  <c r="D80" i="47"/>
  <c r="D82" i="47" s="1"/>
  <c r="D127" i="47" s="1"/>
  <c r="E35" i="47" s="1"/>
  <c r="E120" i="57" l="1"/>
  <c r="E82" i="57"/>
  <c r="E127" i="57" s="1"/>
  <c r="F35" i="57" s="1"/>
  <c r="E51" i="57"/>
  <c r="E64" i="57" s="1"/>
  <c r="E72" i="57"/>
  <c r="F52" i="57"/>
  <c r="F80" i="57"/>
  <c r="F82" i="57" s="1"/>
  <c r="F127" i="57" s="1"/>
  <c r="G35" i="57" s="1"/>
  <c r="D64" i="47"/>
  <c r="D66" i="47" s="1"/>
  <c r="D125" i="47" s="1"/>
  <c r="E33" i="47" s="1"/>
  <c r="D72" i="47"/>
  <c r="D74" i="47" s="1"/>
  <c r="D126" i="47" s="1"/>
  <c r="E34" i="47" s="1"/>
  <c r="E118" i="57" l="1"/>
  <c r="E66" i="57"/>
  <c r="E125" i="57" s="1"/>
  <c r="E119" i="57"/>
  <c r="F51" i="57"/>
  <c r="F64" i="57" s="1"/>
  <c r="F66" i="57" s="1"/>
  <c r="F125" i="57" s="1"/>
  <c r="F72" i="57"/>
  <c r="F74" i="57" s="1"/>
  <c r="F126" i="57" s="1"/>
  <c r="G34" i="57" s="1"/>
  <c r="D131" i="47"/>
  <c r="E32" i="47" s="1"/>
  <c r="E74" i="57" l="1"/>
  <c r="E126" i="57" s="1"/>
  <c r="F34" i="57" s="1"/>
  <c r="F131" i="57"/>
  <c r="G33" i="57"/>
  <c r="D133" i="47"/>
  <c r="E40" i="47" s="1"/>
  <c r="D134" i="47"/>
  <c r="D136" i="47" s="1"/>
  <c r="E131" i="57" l="1"/>
  <c r="G32" i="57"/>
  <c r="F133" i="57"/>
  <c r="E41" i="47"/>
  <c r="E49" i="47" s="1"/>
  <c r="D138" i="47"/>
  <c r="D135" i="47"/>
  <c r="D140" i="47" s="1"/>
  <c r="E133" i="57" l="1"/>
  <c r="E134" i="57"/>
  <c r="E136" i="57" s="1"/>
  <c r="F135" i="57"/>
  <c r="F138" i="57"/>
  <c r="G40" i="57"/>
  <c r="G42" i="57" s="1"/>
  <c r="E42" i="47"/>
  <c r="D141" i="47"/>
  <c r="D139" i="47"/>
  <c r="E135" i="57" l="1"/>
  <c r="E138" i="57"/>
  <c r="E48" i="47"/>
  <c r="E56" i="47" s="1"/>
  <c r="E104" i="47" s="1"/>
  <c r="E106" i="47" s="1"/>
  <c r="E130" i="47" s="1"/>
  <c r="F38" i="47" s="1"/>
  <c r="E47" i="47"/>
  <c r="G46" i="57"/>
  <c r="G43" i="57"/>
  <c r="G44" i="57"/>
  <c r="G48" i="57"/>
  <c r="G56" i="57" s="1"/>
  <c r="G45" i="57"/>
  <c r="F140" i="57"/>
  <c r="F141" i="57"/>
  <c r="F139" i="57"/>
  <c r="E45" i="47"/>
  <c r="E46" i="47"/>
  <c r="E43" i="47"/>
  <c r="E44" i="47"/>
  <c r="E57" i="47" l="1"/>
  <c r="E140" i="57"/>
  <c r="E139" i="57"/>
  <c r="E141" i="57"/>
  <c r="E55" i="47"/>
  <c r="E96" i="47" s="1"/>
  <c r="E98" i="47" s="1"/>
  <c r="E129" i="47" s="1"/>
  <c r="G54" i="57"/>
  <c r="G57" i="57"/>
  <c r="G104" i="57"/>
  <c r="G106" i="57" s="1"/>
  <c r="G130" i="57" s="1"/>
  <c r="E54" i="47" l="1"/>
  <c r="G53" i="57"/>
  <c r="G88" i="57"/>
  <c r="G90" i="57" s="1"/>
  <c r="G128" i="57" s="1"/>
  <c r="E88" i="47" l="1"/>
  <c r="E90" i="47" s="1"/>
  <c r="E128" i="47" s="1"/>
  <c r="F36" i="47" s="1"/>
  <c r="E53" i="47"/>
  <c r="G52" i="57"/>
  <c r="G80" i="57"/>
  <c r="G82" i="57" s="1"/>
  <c r="G127" i="57" s="1"/>
  <c r="F49" i="47"/>
  <c r="E52" i="47" l="1"/>
  <c r="E80" i="47"/>
  <c r="E82" i="47" s="1"/>
  <c r="E127" i="47" s="1"/>
  <c r="F35" i="47" s="1"/>
  <c r="G51" i="57"/>
  <c r="G64" i="57" s="1"/>
  <c r="G66" i="57" s="1"/>
  <c r="G125" i="57" s="1"/>
  <c r="G131" i="57" s="1"/>
  <c r="G133" i="57" s="1"/>
  <c r="G72" i="57"/>
  <c r="G74" i="57" s="1"/>
  <c r="G126" i="57" s="1"/>
  <c r="F42" i="47"/>
  <c r="E51" i="47" l="1"/>
  <c r="E64" i="47" s="1"/>
  <c r="E66" i="47" s="1"/>
  <c r="E125" i="47" s="1"/>
  <c r="E72" i="47"/>
  <c r="E74" i="47" s="1"/>
  <c r="E126" i="47" s="1"/>
  <c r="F34" i="47" s="1"/>
  <c r="G135" i="57"/>
  <c r="G138" i="57"/>
  <c r="F46" i="47"/>
  <c r="F48" i="47"/>
  <c r="F45" i="47"/>
  <c r="F43" i="47"/>
  <c r="F44" i="47"/>
  <c r="F33" i="47" l="1"/>
  <c r="E131" i="47"/>
  <c r="G140" i="57"/>
  <c r="G141" i="57"/>
  <c r="G139" i="57"/>
  <c r="F106" i="47"/>
  <c r="F130" i="47" s="1"/>
  <c r="G38" i="47" s="1"/>
  <c r="F66" i="47"/>
  <c r="F125" i="47" s="1"/>
  <c r="G33" i="47" s="1"/>
  <c r="F32" i="47" l="1"/>
  <c r="E133" i="47"/>
  <c r="E134" i="47"/>
  <c r="E136" i="47" s="1"/>
  <c r="F90" i="47"/>
  <c r="F128" i="47" s="1"/>
  <c r="G36" i="47" s="1"/>
  <c r="E138" i="47" l="1"/>
  <c r="E135" i="47"/>
  <c r="F82" i="47"/>
  <c r="F127" i="47" s="1"/>
  <c r="G35" i="47" s="1"/>
  <c r="F74" i="47"/>
  <c r="F126" i="47" s="1"/>
  <c r="E140" i="47" l="1"/>
  <c r="E139" i="47"/>
  <c r="E141" i="47"/>
  <c r="G34" i="47"/>
  <c r="F131" i="47"/>
  <c r="G32" i="47" l="1"/>
  <c r="F133" i="47"/>
  <c r="F134" i="47"/>
  <c r="F136" i="47" l="1"/>
  <c r="G49" i="47"/>
  <c r="G42" i="47"/>
  <c r="F138" i="47"/>
  <c r="F135" i="47"/>
  <c r="G43" i="47" l="1"/>
  <c r="G48" i="47"/>
  <c r="G44" i="47"/>
  <c r="G45" i="47"/>
  <c r="G46" i="47"/>
  <c r="G66" i="47"/>
  <c r="G125" i="47" s="1"/>
  <c r="F139" i="47"/>
  <c r="F140" i="47"/>
  <c r="F141" i="47"/>
  <c r="G82" i="47" l="1"/>
  <c r="G127" i="47" s="1"/>
  <c r="G106" i="47"/>
  <c r="G130"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G135" i="47" l="1"/>
  <c r="G140" i="47" s="1"/>
  <c r="G134" i="47"/>
  <c r="G136" i="47" s="1"/>
  <c r="G141" i="47"/>
  <c r="G139" i="47"/>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alcChain>
</file>

<file path=xl/sharedStrings.xml><?xml version="1.0" encoding="utf-8"?>
<sst xmlns="http://schemas.openxmlformats.org/spreadsheetml/2006/main" count="790" uniqueCount="389">
  <si>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</si>
  <si>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</si>
  <si>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</si>
  <si>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</si>
  <si>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</si>
  <si>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</si>
  <si>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</si>
  <si>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</si>
  <si>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</si>
  <si>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</si>
  <si>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</si>
  <si>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</si>
  <si>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</si>
  <si>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</si>
  <si>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</si>
  <si>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</si>
  <si>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</si>
  <si>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</si>
  <si>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</si>
  <si>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</si>
  <si>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</si>
  <si>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</si>
  <si>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</si>
  <si>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</si>
  <si>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</si>
  <si>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</si>
  <si>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</si>
  <si>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</si>
  <si>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</si>
  <si>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</si>
  <si>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</si>
  <si>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</si>
  <si>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</si>
  <si>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</si>
  <si>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</si>
  <si>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</si>
  <si>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</si>
  <si>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</si>
  <si>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</si>
  <si>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</si>
  <si>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</si>
  <si>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</si>
  <si>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</si>
  <si>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</si>
  <si>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</si>
  <si>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</si>
  <si>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</si>
  <si>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</si>
  <si>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</si>
  <si>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</si>
  <si>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</si>
  <si>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</si>
  <si>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</si>
  <si>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</si>
  <si>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</si>
  <si>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</si>
  <si>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</si>
  <si>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</si>
  <si>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</si>
  <si>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</si>
  <si>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</si>
  <si>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</si>
  <si>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</si>
  <si>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</si>
  <si>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</si>
  <si>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</si>
  <si>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</si>
  <si>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</si>
  <si>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</si>
  <si>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</si>
  <si>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</si>
  <si>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</si>
  <si>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</si>
  <si>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</si>
  <si>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</si>
  <si>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</si>
  <si>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</si>
  <si>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</si>
  <si>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</si>
  <si>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</si>
  <si>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</si>
  <si>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</si>
  <si>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</si>
  <si>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</si>
  <si>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</si>
  <si>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</si>
  <si>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</si>
  <si>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</si>
  <si>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</si>
  <si>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</si>
  <si>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</si>
  <si>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</si>
  <si>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</si>
  <si>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</si>
  <si>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</si>
  <si>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</si>
  <si>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</si>
  <si>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</si>
  <si>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</si>
  <si>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</si>
  <si>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</si>
  <si>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</si>
  <si>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</si>
  <si>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</si>
  <si>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</si>
  <si>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</si>
  <si>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</si>
  <si>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</si>
  <si>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</si>
  <si>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</si>
  <si>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</si>
  <si>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</si>
  <si>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</si>
  <si>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</si>
  <si>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</si>
  <si>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</si>
  <si>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</si>
  <si>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</si>
  <si>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</si>
  <si>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</si>
  <si>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</si>
  <si>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</si>
  <si>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</si>
  <si>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</si>
  <si>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</si>
  <si>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</si>
  <si>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</si>
  <si>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</si>
  <si>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</si>
  <si>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</si>
  <si>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</si>
  <si>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</si>
  <si>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</si>
  <si>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</si>
  <si>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</si>
  <si>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</si>
  <si>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</si>
  <si>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</si>
  <si>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</si>
  <si>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</si>
  <si>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</si>
  <si>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</si>
  <si>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</si>
  <si>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</si>
  <si>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</si>
  <si>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</si>
  <si>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</si>
  <si>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</si>
  <si>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</si>
  <si>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</si>
  <si>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</si>
  <si>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</si>
  <si>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</si>
  <si>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</si>
  <si>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</si>
  <si>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</si>
  <si>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</si>
  <si>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</si>
  <si>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</si>
  <si>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</si>
  <si>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</si>
  <si>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</si>
  <si>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</si>
  <si>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</si>
  <si>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</si>
  <si>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</si>
  <si>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</si>
  <si>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</si>
  <si>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</si>
  <si>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</si>
  <si>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</si>
  <si>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</si>
  <si>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</si>
  <si>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</si>
  <si>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</si>
  <si>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</si>
  <si>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</si>
  <si>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</si>
  <si>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</si>
  <si>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</si>
  <si>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</si>
  <si>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</si>
  <si>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</si>
  <si>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</si>
  <si>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</si>
  <si>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</si>
  <si>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</si>
  <si>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</si>
  <si>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</si>
  <si>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</si>
  <si>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</si>
  <si>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</si>
  <si>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</si>
  <si>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</si>
  <si>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</si>
  <si>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</si>
  <si>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</si>
  <si>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</si>
  <si>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</si>
  <si>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</si>
  <si>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</si>
  <si>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</si>
  <si>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</si>
  <si>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</si>
  <si>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</si>
  <si>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</si>
  <si>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</si>
  <si>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</si>
  <si>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</si>
  <si>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</si>
  <si>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</si>
  <si>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</si>
  <si>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</si>
  <si>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</si>
  <si>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</si>
  <si>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</si>
  <si>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</si>
  <si>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</si>
  <si>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</si>
  <si>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</si>
  <si>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</si>
  <si>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</si>
  <si>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</si>
  <si>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</si>
  <si>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</si>
  <si>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</si>
  <si>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</si>
  <si>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</si>
  <si>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</si>
  <si>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</si>
  <si>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</si>
  <si>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</si>
  <si>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</si>
  <si>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</si>
  <si>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</si>
  <si>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</si>
  <si>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</si>
  <si>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</si>
  <si>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</si>
  <si>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</si>
  <si>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</si>
  <si>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</si>
  <si>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</si>
  <si>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</si>
  <si>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</si>
  <si>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</si>
  <si>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</si>
  <si>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</si>
  <si>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</si>
  <si>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</si>
  <si>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</si>
  <si>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</si>
  <si>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</si>
  <si>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</si>
  <si>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</si>
  <si>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</si>
  <si>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</si>
  <si>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</si>
  <si>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</si>
  <si>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</si>
  <si>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</si>
  <si>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</si>
  <si>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</si>
  <si>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</si>
  <si>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</si>
  <si>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</si>
  <si>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</si>
  <si>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</si>
  <si>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</si>
  <si>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</si>
  <si>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</si>
  <si>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</si>
  <si>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</si>
  <si>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</si>
  <si>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</si>
  <si>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</si>
  <si>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</si>
  <si>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</si>
  <si>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</si>
  <si>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</si>
  <si>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</si>
  <si>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</si>
  <si>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</si>
  <si>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</si>
  <si>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</si>
  <si>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</si>
  <si>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</si>
  <si>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</si>
  <si>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</si>
  <si>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</si>
  <si>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</si>
  <si>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</si>
  <si>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</si>
  <si>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</si>
  <si>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</si>
  <si>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</si>
  <si>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</si>
  <si>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</si>
  <si>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</si>
  <si>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</si>
  <si>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</si>
  <si>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</si>
  <si>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</si>
  <si>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</si>
  <si>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</si>
  <si>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</si>
  <si>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</si>
  <si>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</si>
  <si>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</si>
  <si>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</si>
  <si>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</si>
  <si>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</si>
  <si>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</si>
  <si>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</si>
  <si>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</si>
  <si>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</si>
  <si>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</si>
  <si>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</si>
  <si>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</si>
  <si>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</si>
  <si>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</si>
  <si>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</si>
  <si>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</si>
  <si>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</si>
  <si>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</si>
  <si>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</si>
  <si>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</si>
  <si>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</si>
  <si>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</si>
  <si>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https://github.com/dzeke/ColoradoRiverFutures/tree/master/ModelMusings</t>
  </si>
  <si>
    <t>Model Repository</t>
  </si>
  <si>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</si>
  <si>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</si>
  <si>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</si>
  <si>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</si>
  <si>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</si>
  <si>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</si>
  <si>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</si>
  <si>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</si>
  <si>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</si>
  <si>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</si>
  <si>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</si>
  <si>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</si>
  <si>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</si>
  <si>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</si>
  <si>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</si>
  <si>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</si>
  <si>
    <t/>
  </si>
  <si>
    <t>5.0.1</t>
  </si>
  <si>
    <t>In Law of River workbook, assume First Nations consume all available water</t>
  </si>
  <si>
    <t>5.0.2</t>
  </si>
  <si>
    <t>On Law of River withdraws, withdraw 0.001 maf less than available water to keep constraints satisfied.</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</si>
  <si>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</si>
  <si>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</si>
  <si>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</si>
  <si>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</si>
  <si>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</si>
  <si>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</si>
  <si>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</si>
  <si>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</si>
  <si>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</si>
  <si>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</si>
  <si>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</si>
  <si>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</si>
  <si>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</si>
  <si>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a. For example, in Rows 4-10, particants select a </t>
    </r>
    <r>
      <rPr>
        <b/>
        <sz val="11"/>
        <color theme="1"/>
        <rFont val="Calibri"/>
        <family val="2"/>
        <scheme val="minor"/>
      </rPr>
      <t>Party</t>
    </r>
    <r>
      <rPr>
        <sz val="11"/>
        <color theme="1"/>
        <rFont val="Calibri"/>
        <family val="2"/>
        <scheme val="minor"/>
      </rPr>
      <t xml:space="preserve"> and enter a </t>
    </r>
    <r>
      <rPr>
        <b/>
        <sz val="11"/>
        <color theme="1"/>
        <rFont val="Calibri"/>
        <family val="2"/>
        <scheme val="minor"/>
      </rPr>
      <t>Strategy</t>
    </r>
    <r>
      <rPr>
        <sz val="11"/>
        <color theme="1"/>
        <rFont val="Calibri"/>
        <family val="2"/>
        <scheme val="minor"/>
      </rPr>
      <t>. If fewer than 6 participants, participants select multiple parties.</t>
    </r>
  </si>
  <si>
    <r>
      <t xml:space="preserve">b. Enter the Lake Powell natural flow for Year 1 in </t>
    </r>
    <r>
      <rPr>
        <b/>
        <sz val="11"/>
        <color rgb="FF0000FF"/>
        <rFont val="Calibri"/>
        <family val="2"/>
        <scheme val="minor"/>
      </rPr>
      <t>Cell C28</t>
    </r>
    <r>
      <rPr>
        <sz val="11"/>
        <color theme="1"/>
        <rFont val="Calibri"/>
        <family val="2"/>
        <scheme val="minor"/>
      </rPr>
      <t>. Cells below will populate.</t>
    </r>
  </si>
  <si>
    <r>
      <t xml:space="preserve">c. Participants continue to enter values in Year 1 (Column C) down to Row 142 in row blocks with </t>
    </r>
    <r>
      <rPr>
        <b/>
        <sz val="11"/>
        <color rgb="FF0000FF"/>
        <rFont val="Calibri"/>
        <family val="2"/>
        <scheme val="minor"/>
      </rPr>
      <t>Blue text</t>
    </r>
    <r>
      <rPr>
        <sz val="11"/>
        <color theme="1"/>
        <rFont val="Calibri"/>
        <family val="2"/>
        <scheme val="minor"/>
      </rPr>
      <t>.</t>
    </r>
  </si>
  <si>
    <r>
      <t xml:space="preserve">d. Move to Year 2 (Column D). Enter Lake Powell natural flow in </t>
    </r>
    <r>
      <rPr>
        <b/>
        <sz val="11"/>
        <color rgb="FF0000FF"/>
        <rFont val="Calibri"/>
        <family val="2"/>
        <scheme val="minor"/>
      </rPr>
      <t>Cell D28</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</si>
  <si>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</si>
  <si>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VISUALS of KEY IDEAS</t>
  </si>
  <si>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</si>
  <si>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</si>
  <si>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</si>
  <si>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</si>
  <si>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</si>
  <si>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</si>
  <si>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</si>
  <si>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</si>
  <si>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t>
    </r>
  </si>
  <si>
    <t>6.0</t>
  </si>
  <si>
    <t xml:space="preserve">Rename filename and title to Colorado River basin accounts. Carry throughout. </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</si>
  <si>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</si>
  <si>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5.1</t>
  </si>
  <si>
    <t>Add SplitInflow and SplitInflowPlot worksheets to visualize splits as a function of Lake Powell natural inflow.</t>
  </si>
  <si>
    <t>This tool gives users the opportunity to experiment with Colorado River basin accounts as a more flexible option to reservoir equalization operations that expire in 2026. The purpose is provoke thought and discussion about new Colorado River operations.</t>
  </si>
  <si>
    <r>
      <t xml:space="preserve">Facilitator: </t>
    </r>
    <r>
      <rPr>
        <sz val="11"/>
        <color theme="1"/>
        <rFont val="Calibri"/>
        <family val="2"/>
        <scheme val="minor"/>
      </rPr>
      <t>1 person to setup in Google Sheets (see Setup below), invite participants, and organize play.</t>
    </r>
  </si>
  <si>
    <t>Colorado River Basin Accounts: Provoke Thought and Discussion about New Operations</t>
  </si>
  <si>
    <t>David E. Rosenberg (2022). "Colorado River Basin Accounts: Provoke Thought and Discussion about New Operations." Utah State University, Logan, UT. https://github.com/dzeke/ColoradoRiverFutures/tree/master/ModelMusings. https://github.com/dzeke/ColoradoRiverFutures/tree/master/ModelMusings.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</si>
</sst>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s>
  <fonts count="18"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s>
  <fills count="22">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76">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169" fontId="2" fillId="13" borderId="1" xfId="9" applyNumberFormat="1" applyBorder="1" applyAlignment="1">
      <alignment horizontal="center"/>
    </xf>
    <xf numFmtId="171" fontId="0" fillId="5" borderId="5" xfId="0" applyNumberFormat="1" applyFont="1" applyFill="1" applyBorder="1" applyAlignment="1">
      <alignment vertical="top" wrapText="1"/>
    </xf>
    <xf numFmtId="171" fontId="0" fillId="5" borderId="5" xfId="0" applyNumberFormat="1" applyFont="1" applyFill="1" applyBorder="1" applyAlignment="1">
      <alignment vertical="top"/>
    </xf>
    <xf numFmtId="171" fontId="0" fillId="5" borderId="17" xfId="0" applyNumberFormat="1" applyFont="1" applyFill="1" applyBorder="1" applyAlignment="1">
      <alignment vertical="top"/>
    </xf>
    <xf numFmtId="171" fontId="0" fillId="0" borderId="0" xfId="0" applyNumberFormat="1" applyFont="1" applyFill="1" applyBorder="1" applyAlignment="1">
      <alignment vertical="top"/>
    </xf>
    <xf numFmtId="0" fontId="0" fillId="0" borderId="0" xfId="0" applyFont="1" applyFill="1" applyBorder="1" applyAlignment="1">
      <alignment horizontal="left" vertical="top" wrapText="1"/>
    </xf>
    <xf numFmtId="0" fontId="0" fillId="0" borderId="0" xfId="0" applyFont="1" applyFill="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Border="1" applyAlignment="1">
      <alignment horizontal="center" vertical="top"/>
    </xf>
    <xf numFmtId="0" fontId="0" fillId="7" borderId="0" xfId="0" applyFill="1" applyBorder="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2" fillId="13" borderId="9" xfId="9" applyBorder="1" applyAlignment="1">
      <alignment horizontal="center"/>
    </xf>
    <xf numFmtId="0" fontId="0" fillId="0" borderId="0" xfId="0" applyAlignment="1">
      <alignment horizontal="left" vertical="top" wrapText="1"/>
    </xf>
    <xf numFmtId="0" fontId="0" fillId="19" borderId="17" xfId="0" applyFont="1"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6" fillId="21" borderId="2" xfId="6" applyFill="1" applyBorder="1" applyAlignment="1">
      <alignment horizontal="left"/>
    </xf>
    <xf numFmtId="0" fontId="6" fillId="21" borderId="3" xfId="6" applyFill="1" applyBorder="1" applyAlignment="1">
      <alignment horizontal="left"/>
    </xf>
    <xf numFmtId="0" fontId="6" fillId="21" borderId="4" xfId="6" applyFill="1" applyBorder="1" applyAlignment="1">
      <alignment horizontal="left"/>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0" fillId="5" borderId="7" xfId="0" applyFont="1" applyFill="1" applyBorder="1" applyAlignment="1">
      <alignment horizontal="left" vertical="top" wrapText="1"/>
    </xf>
    <xf numFmtId="0" fontId="0" fillId="5" borderId="8"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Border="1" applyAlignment="1">
      <alignment horizontal="left" vertical="top" wrapText="1"/>
    </xf>
    <xf numFmtId="0" fontId="1" fillId="7" borderId="6"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6"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0" fillId="7" borderId="5"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7" borderId="6" xfId="0" applyFont="1" applyFill="1" applyBorder="1" applyAlignment="1">
      <alignment horizontal="left" vertical="top" wrapText="1"/>
    </xf>
    <xf numFmtId="0" fontId="0" fillId="7" borderId="17" xfId="0" applyFont="1" applyFill="1" applyBorder="1" applyAlignment="1">
      <alignment horizontal="left" vertical="top" wrapText="1"/>
    </xf>
    <xf numFmtId="0" fontId="0" fillId="7" borderId="7" xfId="0" applyFont="1" applyFill="1" applyBorder="1" applyAlignment="1">
      <alignment horizontal="left" vertical="top" wrapText="1"/>
    </xf>
    <xf numFmtId="0" fontId="0" fillId="7" borderId="8" xfId="0" applyFont="1" applyFill="1" applyBorder="1" applyAlignment="1">
      <alignment horizontal="left" vertical="top" wrapText="1"/>
    </xf>
    <xf numFmtId="0" fontId="0" fillId="7" borderId="0" xfId="0" applyFill="1" applyBorder="1" applyAlignment="1">
      <alignment horizontal="left" vertical="top" wrapText="1"/>
    </xf>
    <xf numFmtId="0" fontId="0" fillId="7" borderId="6" xfId="0" applyFill="1" applyBorder="1" applyAlignment="1">
      <alignment horizontal="left" vertical="top" wrapText="1"/>
    </xf>
    <xf numFmtId="0" fontId="0" fillId="5" borderId="0" xfId="0" applyFont="1" applyFill="1" applyBorder="1" applyAlignment="1">
      <alignment vertical="top" wrapText="1"/>
    </xf>
    <xf numFmtId="0" fontId="0" fillId="5" borderId="6" xfId="0" applyFont="1" applyFill="1" applyBorder="1" applyAlignment="1">
      <alignment vertical="top" wrapText="1"/>
    </xf>
    <xf numFmtId="171" fontId="1" fillId="5" borderId="5" xfId="0" applyNumberFormat="1" applyFont="1" applyFill="1" applyBorder="1" applyAlignment="1">
      <alignment horizontal="left" vertical="top" wrapText="1"/>
    </xf>
    <xf numFmtId="171" fontId="1" fillId="5" borderId="0" xfId="0" applyNumberFormat="1" applyFont="1" applyFill="1" applyBorder="1" applyAlignment="1">
      <alignment horizontal="left" vertical="top" wrapText="1"/>
    </xf>
    <xf numFmtId="171" fontId="1" fillId="5" borderId="6" xfId="0" applyNumberFormat="1" applyFont="1"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06">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SplitInflow!$A$45</c:f>
              <c:strCache>
                <c:ptCount val="1"/>
                <c:pt idx="0">
                  <c:v>    To Shared, Reserve</c:v>
                </c:pt>
              </c:strCache>
            </c:strRef>
          </c:tx>
          <c:spPr>
            <a:solidFill>
              <a:schemeClr val="accent5">
                <a:lumMod val="50000"/>
              </a:schemeClr>
            </a:solidFill>
            <a:ln w="25400">
              <a:noFill/>
            </a:ln>
            <a:effectLst/>
          </c:spPr>
          <c:cat>
            <c:numRef>
              <c:f>SplitInflow!$C$28:$L$28</c:f>
              <c:numCache>
                <c:formatCode>0.0</c:formatCode>
                <c:ptCount val="10"/>
                <c:pt idx="0">
                  <c:v>0</c:v>
                </c:pt>
                <c:pt idx="1">
                  <c:v>2</c:v>
                </c:pt>
                <c:pt idx="2">
                  <c:v>4</c:v>
                </c:pt>
                <c:pt idx="3">
                  <c:v>6</c:v>
                </c:pt>
                <c:pt idx="4">
                  <c:v>8</c:v>
                </c:pt>
                <c:pt idx="5">
                  <c:v>10</c:v>
                </c:pt>
                <c:pt idx="6">
                  <c:v>12</c:v>
                </c:pt>
                <c:pt idx="7">
                  <c:v>14</c:v>
                </c:pt>
                <c:pt idx="8">
                  <c:v>16</c:v>
                </c:pt>
                <c:pt idx="9">
                  <c:v>18</c:v>
                </c:pt>
              </c:numCache>
            </c:numRef>
          </c:cat>
          <c:val>
            <c:numRef>
              <c:f>SplitInflow!$C$45:$L$45</c:f>
              <c:numCache>
                <c:formatCode>0.0</c:formatCode>
                <c:ptCount val="10"/>
                <c:pt idx="0">
                  <c:v>0.62005566107743937</c:v>
                </c:pt>
                <c:pt idx="1">
                  <c:v>0.62005566107743937</c:v>
                </c:pt>
                <c:pt idx="2">
                  <c:v>0.62005566107743937</c:v>
                </c:pt>
                <c:pt idx="3">
                  <c:v>0.62005566107743937</c:v>
                </c:pt>
                <c:pt idx="4">
                  <c:v>0.62005566107743937</c:v>
                </c:pt>
                <c:pt idx="5">
                  <c:v>0.62005566107743937</c:v>
                </c:pt>
                <c:pt idx="6">
                  <c:v>0.62005566107743937</c:v>
                </c:pt>
                <c:pt idx="7">
                  <c:v>0.62005566107743937</c:v>
                </c:pt>
                <c:pt idx="8">
                  <c:v>0.62005566107743937</c:v>
                </c:pt>
                <c:pt idx="9">
                  <c:v>0.62005566107743937</c:v>
                </c:pt>
              </c:numCache>
            </c:numRef>
          </c:val>
          <c:extLst>
            <c:ext xmlns:c16="http://schemas.microsoft.com/office/drawing/2014/chart" uri="{C3380CC4-5D6E-409C-BE32-E72D297353CC}">
              <c16:uniqueId val="{00000005-55F8-479A-9BB1-FC2B5DB3EE23}"/>
            </c:ext>
          </c:extLst>
        </c:ser>
        <c:ser>
          <c:idx val="4"/>
          <c:order val="1"/>
          <c:tx>
            <c:strRef>
              <c:f>SplitInflow!$A$44</c:f>
              <c:strCache>
                <c:ptCount val="1"/>
                <c:pt idx="0">
                  <c:v>    To First Nations</c:v>
                </c:pt>
              </c:strCache>
            </c:strRef>
          </c:tx>
          <c:spPr>
            <a:solidFill>
              <a:schemeClr val="accent5">
                <a:lumMod val="75000"/>
              </a:schemeClr>
            </a:solidFill>
            <a:ln w="25400">
              <a:noFill/>
            </a:ln>
            <a:effectLst/>
          </c:spPr>
          <c:cat>
            <c:numRef>
              <c:f>SplitInflow!$C$28:$L$28</c:f>
              <c:numCache>
                <c:formatCode>0.0</c:formatCode>
                <c:ptCount val="10"/>
                <c:pt idx="0">
                  <c:v>0</c:v>
                </c:pt>
                <c:pt idx="1">
                  <c:v>2</c:v>
                </c:pt>
                <c:pt idx="2">
                  <c:v>4</c:v>
                </c:pt>
                <c:pt idx="3">
                  <c:v>6</c:v>
                </c:pt>
                <c:pt idx="4">
                  <c:v>8</c:v>
                </c:pt>
                <c:pt idx="5">
                  <c:v>10</c:v>
                </c:pt>
                <c:pt idx="6">
                  <c:v>12</c:v>
                </c:pt>
                <c:pt idx="7">
                  <c:v>14</c:v>
                </c:pt>
                <c:pt idx="8">
                  <c:v>16</c:v>
                </c:pt>
                <c:pt idx="9">
                  <c:v>18</c:v>
                </c:pt>
              </c:numCache>
            </c:numRef>
          </c:cat>
          <c:val>
            <c:numRef>
              <c:f>SplitInflow!$C$44:$L$44</c:f>
              <c:numCache>
                <c:formatCode>0.0</c:formatCode>
                <c:ptCount val="10"/>
                <c:pt idx="0">
                  <c:v>-4.1488174939819843E-2</c:v>
                </c:pt>
                <c:pt idx="1">
                  <c:v>1.7144270975432503</c:v>
                </c:pt>
                <c:pt idx="2">
                  <c:v>1.9444827586206894</c:v>
                </c:pt>
                <c:pt idx="3">
                  <c:v>1.9444827586206894</c:v>
                </c:pt>
                <c:pt idx="4">
                  <c:v>1.9444827586206894</c:v>
                </c:pt>
                <c:pt idx="5">
                  <c:v>1.9444827586206894</c:v>
                </c:pt>
                <c:pt idx="6">
                  <c:v>1.9444827586206894</c:v>
                </c:pt>
                <c:pt idx="7">
                  <c:v>1.9444827586206894</c:v>
                </c:pt>
                <c:pt idx="8">
                  <c:v>1.9444827586206894</c:v>
                </c:pt>
                <c:pt idx="9">
                  <c:v>1.9444827586206894</c:v>
                </c:pt>
              </c:numCache>
            </c:numRef>
          </c:val>
          <c:extLst>
            <c:ext xmlns:c16="http://schemas.microsoft.com/office/drawing/2014/chart" uri="{C3380CC4-5D6E-409C-BE32-E72D297353CC}">
              <c16:uniqueId val="{00000004-55F8-479A-9BB1-FC2B5DB3EE23}"/>
            </c:ext>
          </c:extLst>
        </c:ser>
        <c:ser>
          <c:idx val="3"/>
          <c:order val="2"/>
          <c:tx>
            <c:strRef>
              <c:f>SplitInflow!$A$43</c:f>
              <c:strCache>
                <c:ptCount val="1"/>
                <c:pt idx="0">
                  <c:v>    To Colorado River Delta</c:v>
                </c:pt>
              </c:strCache>
            </c:strRef>
          </c:tx>
          <c:spPr>
            <a:solidFill>
              <a:schemeClr val="accent4"/>
            </a:solidFill>
            <a:ln w="25400">
              <a:noFill/>
            </a:ln>
            <a:effectLst/>
          </c:spPr>
          <c:cat>
            <c:numRef>
              <c:f>SplitInflow!$C$28:$L$28</c:f>
              <c:numCache>
                <c:formatCode>0.0</c:formatCode>
                <c:ptCount val="10"/>
                <c:pt idx="0">
                  <c:v>0</c:v>
                </c:pt>
                <c:pt idx="1">
                  <c:v>2</c:v>
                </c:pt>
                <c:pt idx="2">
                  <c:v>4</c:v>
                </c:pt>
                <c:pt idx="3">
                  <c:v>6</c:v>
                </c:pt>
                <c:pt idx="4">
                  <c:v>8</c:v>
                </c:pt>
                <c:pt idx="5">
                  <c:v>10</c:v>
                </c:pt>
                <c:pt idx="6">
                  <c:v>12</c:v>
                </c:pt>
                <c:pt idx="7">
                  <c:v>14</c:v>
                </c:pt>
                <c:pt idx="8">
                  <c:v>16</c:v>
                </c:pt>
                <c:pt idx="9">
                  <c:v>18</c:v>
                </c:pt>
              </c:numCache>
            </c:numRef>
          </c:cat>
          <c:val>
            <c:numRef>
              <c:f>SplitInflow!$C$43:$L$43</c:f>
              <c:numCache>
                <c:formatCode>0.000</c:formatCode>
                <c:ptCount val="10"/>
                <c:pt idx="0">
                  <c:v>1.5555555555555553E-2</c:v>
                </c:pt>
                <c:pt idx="1">
                  <c:v>1.5555555555555553E-2</c:v>
                </c:pt>
                <c:pt idx="2">
                  <c:v>1.5555555555555553E-2</c:v>
                </c:pt>
                <c:pt idx="3">
                  <c:v>1.5555555555555553E-2</c:v>
                </c:pt>
                <c:pt idx="4">
                  <c:v>1.5555555555555553E-2</c:v>
                </c:pt>
                <c:pt idx="5">
                  <c:v>1.5555555555555553E-2</c:v>
                </c:pt>
                <c:pt idx="6">
                  <c:v>1.5555555555555553E-2</c:v>
                </c:pt>
                <c:pt idx="7">
                  <c:v>1.5555555555555553E-2</c:v>
                </c:pt>
                <c:pt idx="8">
                  <c:v>1.5555555555555553E-2</c:v>
                </c:pt>
                <c:pt idx="9">
                  <c:v>1.5555555555555553E-2</c:v>
                </c:pt>
              </c:numCache>
            </c:numRef>
          </c:val>
          <c:extLst>
            <c:ext xmlns:c16="http://schemas.microsoft.com/office/drawing/2014/chart" uri="{C3380CC4-5D6E-409C-BE32-E72D297353CC}">
              <c16:uniqueId val="{00000003-55F8-479A-9BB1-FC2B5DB3EE23}"/>
            </c:ext>
          </c:extLst>
        </c:ser>
        <c:ser>
          <c:idx val="2"/>
          <c:order val="3"/>
          <c:tx>
            <c:strRef>
              <c:f>SplitInflow!$A$42</c:f>
              <c:strCache>
                <c:ptCount val="1"/>
                <c:pt idx="0">
                  <c:v>    To Mexico</c:v>
                </c:pt>
              </c:strCache>
            </c:strRef>
          </c:tx>
          <c:spPr>
            <a:solidFill>
              <a:schemeClr val="accent5">
                <a:lumMod val="60000"/>
                <a:lumOff val="40000"/>
              </a:schemeClr>
            </a:solidFill>
            <a:ln w="25400">
              <a:noFill/>
            </a:ln>
            <a:effectLst/>
          </c:spPr>
          <c:cat>
            <c:numRef>
              <c:f>SplitInflow!$C$28:$L$28</c:f>
              <c:numCache>
                <c:formatCode>0.0</c:formatCode>
                <c:ptCount val="10"/>
                <c:pt idx="0">
                  <c:v>0</c:v>
                </c:pt>
                <c:pt idx="1">
                  <c:v>2</c:v>
                </c:pt>
                <c:pt idx="2">
                  <c:v>4</c:v>
                </c:pt>
                <c:pt idx="3">
                  <c:v>6</c:v>
                </c:pt>
                <c:pt idx="4">
                  <c:v>8</c:v>
                </c:pt>
                <c:pt idx="5">
                  <c:v>10</c:v>
                </c:pt>
                <c:pt idx="6">
                  <c:v>12</c:v>
                </c:pt>
                <c:pt idx="7">
                  <c:v>14</c:v>
                </c:pt>
                <c:pt idx="8">
                  <c:v>16</c:v>
                </c:pt>
                <c:pt idx="9">
                  <c:v>18</c:v>
                </c:pt>
              </c:numCache>
            </c:numRef>
          </c:cat>
          <c:val>
            <c:numRef>
              <c:f>SplitInflow!$C$42:$L$42</c:f>
              <c:numCache>
                <c:formatCode>0.00</c:formatCode>
                <c:ptCount val="10"/>
                <c:pt idx="0">
                  <c:v>0</c:v>
                </c:pt>
                <c:pt idx="1">
                  <c:v>0</c:v>
                </c:pt>
                <c:pt idx="2">
                  <c:v>1.2971072796934864</c:v>
                </c:pt>
                <c:pt idx="3">
                  <c:v>1.2971072796934864</c:v>
                </c:pt>
                <c:pt idx="4">
                  <c:v>1.2971072796934864</c:v>
                </c:pt>
                <c:pt idx="5">
                  <c:v>1.2971072796934864</c:v>
                </c:pt>
                <c:pt idx="6">
                  <c:v>1.2971072796934864</c:v>
                </c:pt>
                <c:pt idx="7">
                  <c:v>1.2971072796934864</c:v>
                </c:pt>
                <c:pt idx="8">
                  <c:v>1.2971072796934864</c:v>
                </c:pt>
                <c:pt idx="9">
                  <c:v>1.2971072796934864</c:v>
                </c:pt>
              </c:numCache>
            </c:numRef>
          </c:val>
          <c:extLst>
            <c:ext xmlns:c16="http://schemas.microsoft.com/office/drawing/2014/chart" uri="{C3380CC4-5D6E-409C-BE32-E72D297353CC}">
              <c16:uniqueId val="{00000002-55F8-479A-9BB1-FC2B5DB3EE23}"/>
            </c:ext>
          </c:extLst>
        </c:ser>
        <c:ser>
          <c:idx val="1"/>
          <c:order val="4"/>
          <c:tx>
            <c:strRef>
              <c:f>SplitInflow!$A$41</c:f>
              <c:strCache>
                <c:ptCount val="1"/>
                <c:pt idx="0">
                  <c:v>    To Lower Basin</c:v>
                </c:pt>
              </c:strCache>
            </c:strRef>
          </c:tx>
          <c:spPr>
            <a:solidFill>
              <a:schemeClr val="accent5">
                <a:lumMod val="40000"/>
                <a:lumOff val="60000"/>
              </a:schemeClr>
            </a:solidFill>
            <a:ln w="25400">
              <a:noFill/>
            </a:ln>
            <a:effectLst/>
          </c:spPr>
          <c:val>
            <c:numRef>
              <c:f>SplitInflow!$C$41:$L$41</c:f>
              <c:numCache>
                <c:formatCode>0.0</c:formatCode>
                <c:ptCount val="10"/>
                <c:pt idx="0">
                  <c:v>0</c:v>
                </c:pt>
                <c:pt idx="1">
                  <c:v>0</c:v>
                </c:pt>
                <c:pt idx="2">
                  <c:v>0</c:v>
                </c:pt>
                <c:pt idx="3">
                  <c:v>0.55304688210495856</c:v>
                </c:pt>
                <c:pt idx="4">
                  <c:v>2.5530468821049586</c:v>
                </c:pt>
                <c:pt idx="5">
                  <c:v>4.5530468821049581</c:v>
                </c:pt>
                <c:pt idx="6">
                  <c:v>6.2770514806590798</c:v>
                </c:pt>
                <c:pt idx="7">
                  <c:v>6.2770514806590798</c:v>
                </c:pt>
                <c:pt idx="8">
                  <c:v>6.2770514806590798</c:v>
                </c:pt>
                <c:pt idx="9">
                  <c:v>6.2770514806590798</c:v>
                </c:pt>
              </c:numCache>
            </c:numRef>
          </c:val>
          <c:extLst>
            <c:ext xmlns:c16="http://schemas.microsoft.com/office/drawing/2014/chart" uri="{C3380CC4-5D6E-409C-BE32-E72D297353CC}">
              <c16:uniqueId val="{00000006-55F8-479A-9BB1-FC2B5DB3EE23}"/>
            </c:ext>
          </c:extLst>
        </c:ser>
        <c:ser>
          <c:idx val="0"/>
          <c:order val="5"/>
          <c:tx>
            <c:strRef>
              <c:f>SplitInflow!$A$40</c:f>
              <c:strCache>
                <c:ptCount val="1"/>
                <c:pt idx="0">
                  <c:v>    To Upper Basin</c:v>
                </c:pt>
              </c:strCache>
            </c:strRef>
          </c:tx>
          <c:spPr>
            <a:solidFill>
              <a:schemeClr val="accent5">
                <a:lumMod val="20000"/>
                <a:lumOff val="80000"/>
              </a:schemeClr>
            </a:solidFill>
            <a:ln w="25400">
              <a:noFill/>
            </a:ln>
            <a:effectLst/>
          </c:spPr>
          <c:cat>
            <c:numRef>
              <c:f>SplitInflow!$C$28:$L$28</c:f>
              <c:numCache>
                <c:formatCode>0.0</c:formatCode>
                <c:ptCount val="10"/>
                <c:pt idx="0">
                  <c:v>0</c:v>
                </c:pt>
                <c:pt idx="1">
                  <c:v>2</c:v>
                </c:pt>
                <c:pt idx="2">
                  <c:v>4</c:v>
                </c:pt>
                <c:pt idx="3">
                  <c:v>6</c:v>
                </c:pt>
                <c:pt idx="4">
                  <c:v>8</c:v>
                </c:pt>
                <c:pt idx="5">
                  <c:v>10</c:v>
                </c:pt>
                <c:pt idx="6">
                  <c:v>12</c:v>
                </c:pt>
                <c:pt idx="7">
                  <c:v>14</c:v>
                </c:pt>
                <c:pt idx="8">
                  <c:v>16</c:v>
                </c:pt>
                <c:pt idx="9">
                  <c:v>18</c:v>
                </c:pt>
              </c:numCache>
            </c:numRef>
          </c:cat>
          <c:val>
            <c:numRef>
              <c:f>SplitInflow!$C$40:$L$40</c:f>
              <c:numCache>
                <c:formatCode>0.0</c:formatCode>
                <c:ptCount val="10"/>
                <c:pt idx="0">
                  <c:v>2.5932619384264277E-2</c:v>
                </c:pt>
                <c:pt idx="1">
                  <c:v>4.996168582375482E-2</c:v>
                </c:pt>
                <c:pt idx="2">
                  <c:v>0.52279874505282908</c:v>
                </c:pt>
                <c:pt idx="3">
                  <c:v>1.969751862947871</c:v>
                </c:pt>
                <c:pt idx="4">
                  <c:v>1.969751862947871</c:v>
                </c:pt>
                <c:pt idx="5">
                  <c:v>1.9697518629478719</c:v>
                </c:pt>
                <c:pt idx="6">
                  <c:v>2.2457472643937511</c:v>
                </c:pt>
                <c:pt idx="7">
                  <c:v>4.2457472643937511</c:v>
                </c:pt>
                <c:pt idx="8">
                  <c:v>6.2457472643937511</c:v>
                </c:pt>
                <c:pt idx="9">
                  <c:v>8.2457472643937511</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Lake</a:t>
                </a:r>
                <a:r>
                  <a:rPr lang="en-US" sz="2800" baseline="0"/>
                  <a:t> Powell Natural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7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13001006" cy="9438409"/>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raw/main/ModelMusings/ColoradoRiverBasinAccounts-KeyIdeas.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1"/>
  <sheetViews>
    <sheetView tabSelected="1" zoomScale="150" zoomScaleNormal="15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10" t="s">
        <v>387</v>
      </c>
      <c r="B1" s="210"/>
      <c r="C1" s="210"/>
      <c r="D1" s="210"/>
      <c r="E1" s="210"/>
      <c r="F1" s="210"/>
      <c r="G1" s="210"/>
      <c r="H1" s="210"/>
      <c r="I1" s="210"/>
      <c r="J1" s="210"/>
      <c r="K1" s="210"/>
      <c r="L1" s="210"/>
    </row>
    <row r="2" spans="1:18" x14ac:dyDescent="0.35">
      <c r="A2" s="1"/>
      <c r="B2" s="1"/>
      <c r="C2" s="2"/>
      <c r="D2"/>
    </row>
    <row r="3" spans="1:18" x14ac:dyDescent="0.35">
      <c r="A3" s="172" t="s">
        <v>352</v>
      </c>
      <c r="B3" s="173"/>
      <c r="C3" s="174"/>
      <c r="D3" s="175"/>
      <c r="E3" s="175"/>
      <c r="F3" s="175"/>
      <c r="G3" s="175"/>
      <c r="H3" s="175"/>
      <c r="I3" s="175"/>
      <c r="J3" s="175"/>
      <c r="K3" s="175"/>
      <c r="L3" s="176"/>
      <c r="N3" s="1"/>
    </row>
    <row r="4" spans="1:18" s="59" customFormat="1" ht="30.75" customHeight="1" x14ac:dyDescent="0.35">
      <c r="A4" s="207" t="s">
        <v>385</v>
      </c>
      <c r="B4" s="208"/>
      <c r="C4" s="208"/>
      <c r="D4" s="208"/>
      <c r="E4" s="208"/>
      <c r="F4" s="208"/>
      <c r="G4" s="208"/>
      <c r="H4" s="208"/>
      <c r="I4" s="208"/>
      <c r="J4" s="208"/>
      <c r="K4" s="208"/>
      <c r="L4" s="209"/>
      <c r="N4" s="206"/>
      <c r="O4" s="206"/>
      <c r="P4" s="206"/>
      <c r="Q4" s="206"/>
      <c r="R4" s="206"/>
    </row>
    <row r="5" spans="1:18" s="94" customFormat="1" ht="14.5" customHeight="1" x14ac:dyDescent="0.35">
      <c r="A5" s="125"/>
      <c r="B5" s="125"/>
      <c r="C5" s="125"/>
      <c r="D5" s="125"/>
      <c r="E5" s="125"/>
      <c r="F5" s="125"/>
      <c r="G5" s="125"/>
      <c r="H5" s="125"/>
      <c r="I5" s="125"/>
      <c r="J5" s="125"/>
      <c r="K5" s="125"/>
      <c r="L5" s="125"/>
    </row>
    <row r="6" spans="1:18" s="94" customFormat="1" ht="14.5" customHeight="1" x14ac:dyDescent="0.35">
      <c r="A6" s="228" t="s">
        <v>353</v>
      </c>
      <c r="B6" s="229"/>
      <c r="C6" s="229"/>
      <c r="D6" s="229"/>
      <c r="E6" s="229"/>
      <c r="F6" s="229"/>
      <c r="G6" s="229"/>
      <c r="H6" s="229"/>
      <c r="I6" s="229"/>
      <c r="J6" s="229"/>
      <c r="K6" s="229"/>
      <c r="L6" s="230"/>
    </row>
    <row r="7" spans="1:18" s="94" customFormat="1" ht="14.5" customHeight="1" x14ac:dyDescent="0.35">
      <c r="A7" s="222" t="s">
        <v>386</v>
      </c>
      <c r="B7" s="223"/>
      <c r="C7" s="223"/>
      <c r="D7" s="223"/>
      <c r="E7" s="223"/>
      <c r="F7" s="223"/>
      <c r="G7" s="223"/>
      <c r="H7" s="223"/>
      <c r="I7" s="223"/>
      <c r="J7" s="223"/>
      <c r="K7" s="223"/>
      <c r="L7" s="224"/>
    </row>
    <row r="8" spans="1:18" s="94" customFormat="1" ht="14.5" customHeight="1" x14ac:dyDescent="0.35">
      <c r="A8" s="231" t="s">
        <v>354</v>
      </c>
      <c r="B8" s="232"/>
      <c r="C8" s="232"/>
      <c r="D8" s="232"/>
      <c r="E8" s="232"/>
      <c r="F8" s="232"/>
      <c r="G8" s="232"/>
      <c r="H8" s="232"/>
      <c r="I8" s="232"/>
      <c r="J8" s="232"/>
      <c r="K8" s="232"/>
      <c r="L8" s="233"/>
    </row>
    <row r="9" spans="1:18" s="94" customFormat="1" ht="14.5" customHeight="1" x14ac:dyDescent="0.35">
      <c r="A9" s="231" t="s">
        <v>355</v>
      </c>
      <c r="B9" s="232"/>
      <c r="C9" s="232"/>
      <c r="D9" s="232"/>
      <c r="E9" s="232"/>
      <c r="F9" s="232"/>
      <c r="G9" s="232"/>
      <c r="H9" s="232"/>
      <c r="I9" s="232"/>
      <c r="J9" s="232"/>
      <c r="K9" s="232"/>
      <c r="L9" s="233"/>
    </row>
    <row r="10" spans="1:18" s="94" customFormat="1" ht="14.5" customHeight="1" x14ac:dyDescent="0.35">
      <c r="A10" s="234" t="s">
        <v>356</v>
      </c>
      <c r="B10" s="235"/>
      <c r="C10" s="235"/>
      <c r="D10" s="235"/>
      <c r="E10" s="235"/>
      <c r="F10" s="235"/>
      <c r="G10" s="235"/>
      <c r="H10" s="235"/>
      <c r="I10" s="235"/>
      <c r="J10" s="235"/>
      <c r="K10" s="235"/>
      <c r="L10" s="236"/>
    </row>
    <row r="11" spans="1:18" s="94" customFormat="1" ht="14.5" customHeight="1" x14ac:dyDescent="0.35">
      <c r="A11" s="125"/>
      <c r="B11" s="125"/>
      <c r="C11" s="125"/>
      <c r="D11" s="125"/>
      <c r="E11" s="125"/>
      <c r="F11" s="125"/>
      <c r="G11" s="125"/>
      <c r="H11" s="125"/>
      <c r="I11" s="125"/>
      <c r="J11" s="125"/>
      <c r="K11" s="125"/>
      <c r="L11" s="125"/>
    </row>
    <row r="12" spans="1:18" s="94" customFormat="1" ht="16.5" customHeight="1" x14ac:dyDescent="0.35">
      <c r="A12" s="215" t="s">
        <v>357</v>
      </c>
      <c r="B12" s="216"/>
      <c r="C12" s="216"/>
      <c r="D12" s="216"/>
      <c r="E12" s="216"/>
      <c r="F12" s="216"/>
      <c r="G12" s="216"/>
      <c r="H12" s="216"/>
      <c r="I12" s="216"/>
      <c r="J12" s="216"/>
      <c r="K12" s="216"/>
      <c r="L12" s="217"/>
      <c r="N12" s="1"/>
    </row>
    <row r="13" spans="1:18" s="94" customFormat="1" ht="16.5" customHeight="1" x14ac:dyDescent="0.35">
      <c r="A13" s="225" t="s">
        <v>373</v>
      </c>
      <c r="B13" s="226"/>
      <c r="C13" s="226"/>
      <c r="D13" s="226"/>
      <c r="E13" s="226"/>
      <c r="F13" s="226"/>
      <c r="G13" s="226"/>
      <c r="H13" s="226"/>
      <c r="I13" s="226"/>
      <c r="J13" s="226"/>
      <c r="K13" s="226"/>
      <c r="L13" s="227"/>
      <c r="N13" s="1"/>
    </row>
    <row r="14" spans="1:18" s="94" customFormat="1" ht="15" customHeight="1" x14ac:dyDescent="0.35">
      <c r="A14" s="184">
        <v>1</v>
      </c>
      <c r="B14" s="218" t="s">
        <v>372</v>
      </c>
      <c r="C14" s="218"/>
      <c r="D14" s="218"/>
      <c r="E14" s="218"/>
      <c r="F14" s="218"/>
      <c r="G14" s="218"/>
      <c r="H14" s="218"/>
      <c r="I14" s="218"/>
      <c r="J14" s="218"/>
      <c r="K14" s="218"/>
      <c r="L14" s="219"/>
    </row>
    <row r="15" spans="1:18" s="94" customFormat="1" ht="15" customHeight="1" x14ac:dyDescent="0.35">
      <c r="A15" s="184">
        <v>2</v>
      </c>
      <c r="B15" s="218" t="s">
        <v>363</v>
      </c>
      <c r="C15" s="218"/>
      <c r="D15" s="218"/>
      <c r="E15" s="218"/>
      <c r="F15" s="218"/>
      <c r="G15" s="218"/>
      <c r="H15" s="218"/>
      <c r="I15" s="218"/>
      <c r="J15" s="218"/>
      <c r="K15" s="218"/>
      <c r="L15" s="219"/>
      <c r="N15" s="117"/>
    </row>
    <row r="16" spans="1:18" s="94" customFormat="1" ht="15" customHeight="1" x14ac:dyDescent="0.35">
      <c r="A16" s="184">
        <v>3</v>
      </c>
      <c r="B16" s="218" t="s">
        <v>358</v>
      </c>
      <c r="C16" s="218"/>
      <c r="D16" s="218"/>
      <c r="E16" s="218"/>
      <c r="F16" s="218"/>
      <c r="G16" s="218"/>
      <c r="H16" s="218"/>
      <c r="I16" s="218"/>
      <c r="J16" s="218"/>
      <c r="K16" s="218"/>
      <c r="L16" s="219"/>
      <c r="N16" s="117"/>
    </row>
    <row r="17" spans="1:14" s="94" customFormat="1" ht="15" customHeight="1" x14ac:dyDescent="0.35">
      <c r="A17" s="184">
        <v>4</v>
      </c>
      <c r="B17" s="218" t="s">
        <v>359</v>
      </c>
      <c r="C17" s="218"/>
      <c r="D17" s="218"/>
      <c r="E17" s="218"/>
      <c r="F17" s="218"/>
      <c r="G17" s="218"/>
      <c r="H17" s="218"/>
      <c r="I17" s="218"/>
      <c r="J17" s="218"/>
      <c r="K17" s="218"/>
      <c r="L17" s="219"/>
      <c r="N17" s="117"/>
    </row>
    <row r="18" spans="1:14" s="94" customFormat="1" ht="15" customHeight="1" x14ac:dyDescent="0.35">
      <c r="A18" s="184">
        <v>5</v>
      </c>
      <c r="B18" s="218" t="s">
        <v>360</v>
      </c>
      <c r="C18" s="218"/>
      <c r="D18" s="218"/>
      <c r="E18" s="218"/>
      <c r="F18" s="218"/>
      <c r="G18" s="218"/>
      <c r="H18" s="218"/>
      <c r="I18" s="218"/>
      <c r="J18" s="218"/>
      <c r="K18" s="218"/>
      <c r="L18" s="219"/>
      <c r="N18" s="117"/>
    </row>
    <row r="19" spans="1:14" s="94" customFormat="1" ht="15" customHeight="1" x14ac:dyDescent="0.35">
      <c r="A19" s="184"/>
      <c r="B19" s="218" t="s">
        <v>361</v>
      </c>
      <c r="C19" s="218"/>
      <c r="D19" s="218"/>
      <c r="E19" s="218"/>
      <c r="F19" s="218"/>
      <c r="G19" s="218"/>
      <c r="H19" s="218"/>
      <c r="I19" s="218"/>
      <c r="J19" s="218"/>
      <c r="K19" s="218"/>
      <c r="L19" s="219"/>
      <c r="N19" s="117"/>
    </row>
    <row r="20" spans="1:14" s="94" customFormat="1" ht="15" customHeight="1" x14ac:dyDescent="0.35">
      <c r="A20" s="184"/>
      <c r="B20" s="218" t="s">
        <v>362</v>
      </c>
      <c r="C20" s="218"/>
      <c r="D20" s="218"/>
      <c r="E20" s="218"/>
      <c r="F20" s="218"/>
      <c r="G20" s="218"/>
      <c r="H20" s="218"/>
      <c r="I20" s="218"/>
      <c r="J20" s="218"/>
      <c r="K20" s="218"/>
      <c r="L20" s="219"/>
      <c r="N20" s="117"/>
    </row>
    <row r="21" spans="1:14" s="94" customFormat="1" ht="15" customHeight="1" x14ac:dyDescent="0.35">
      <c r="A21" s="241" t="s">
        <v>374</v>
      </c>
      <c r="B21" s="242"/>
      <c r="C21" s="242"/>
      <c r="D21" s="242"/>
      <c r="E21" s="242"/>
      <c r="F21" s="242"/>
      <c r="G21" s="242"/>
      <c r="H21" s="242"/>
      <c r="I21" s="242"/>
      <c r="J21" s="242"/>
      <c r="K21" s="242"/>
      <c r="L21" s="243"/>
      <c r="N21" s="117"/>
    </row>
    <row r="22" spans="1:14" s="94" customFormat="1" ht="15" customHeight="1" x14ac:dyDescent="0.35">
      <c r="A22" s="184">
        <v>1</v>
      </c>
      <c r="B22" s="218" t="s">
        <v>364</v>
      </c>
      <c r="C22" s="218"/>
      <c r="D22" s="218"/>
      <c r="E22" s="218"/>
      <c r="F22" s="218"/>
      <c r="G22" s="218"/>
      <c r="H22" s="218"/>
      <c r="I22" s="218"/>
      <c r="J22" s="218"/>
      <c r="K22" s="218"/>
      <c r="L22" s="219"/>
      <c r="N22" s="117"/>
    </row>
    <row r="23" spans="1:14" s="94" customFormat="1" ht="30.75" customHeight="1" x14ac:dyDescent="0.35">
      <c r="A23" s="184"/>
      <c r="B23" s="239" t="s">
        <v>365</v>
      </c>
      <c r="C23" s="239"/>
      <c r="D23" s="239"/>
      <c r="E23" s="239"/>
      <c r="F23" s="239"/>
      <c r="G23" s="239"/>
      <c r="H23" s="239"/>
      <c r="I23" s="239"/>
      <c r="J23" s="239"/>
      <c r="K23" s="239"/>
      <c r="L23" s="240"/>
      <c r="N23" s="117"/>
    </row>
    <row r="24" spans="1:14" s="94" customFormat="1" ht="15" customHeight="1" x14ac:dyDescent="0.35">
      <c r="A24" s="184"/>
      <c r="B24" s="239" t="s">
        <v>366</v>
      </c>
      <c r="C24" s="239"/>
      <c r="D24" s="239"/>
      <c r="E24" s="239"/>
      <c r="F24" s="239"/>
      <c r="G24" s="239"/>
      <c r="H24" s="239"/>
      <c r="I24" s="239"/>
      <c r="J24" s="239"/>
      <c r="K24" s="239"/>
      <c r="L24" s="240"/>
      <c r="N24" s="117"/>
    </row>
    <row r="25" spans="1:14" s="94" customFormat="1" ht="15" customHeight="1" x14ac:dyDescent="0.35">
      <c r="A25" s="184"/>
      <c r="B25" s="239" t="s">
        <v>367</v>
      </c>
      <c r="C25" s="239"/>
      <c r="D25" s="239"/>
      <c r="E25" s="239"/>
      <c r="F25" s="239"/>
      <c r="G25" s="239"/>
      <c r="H25" s="239"/>
      <c r="I25" s="239"/>
      <c r="J25" s="239"/>
      <c r="K25" s="239"/>
      <c r="L25" s="240"/>
      <c r="N25" s="117"/>
    </row>
    <row r="26" spans="1:14" s="94" customFormat="1" ht="16.5" customHeight="1" x14ac:dyDescent="0.35">
      <c r="A26" s="184"/>
      <c r="B26" s="218" t="s">
        <v>368</v>
      </c>
      <c r="C26" s="218"/>
      <c r="D26" s="218"/>
      <c r="E26" s="218"/>
      <c r="F26" s="218"/>
      <c r="G26" s="218"/>
      <c r="H26" s="218"/>
      <c r="I26" s="218"/>
      <c r="J26" s="218"/>
      <c r="K26" s="218"/>
      <c r="L26" s="219"/>
    </row>
    <row r="27" spans="1:14" s="65" customFormat="1" ht="15" customHeight="1" x14ac:dyDescent="0.35">
      <c r="A27" s="185">
        <v>2</v>
      </c>
      <c r="B27" s="218" t="s">
        <v>369</v>
      </c>
      <c r="C27" s="218"/>
      <c r="D27" s="218"/>
      <c r="E27" s="218"/>
      <c r="F27" s="218"/>
      <c r="G27" s="218"/>
      <c r="H27" s="218"/>
      <c r="I27" s="218"/>
      <c r="J27" s="218"/>
      <c r="K27" s="218"/>
      <c r="L27" s="219"/>
    </row>
    <row r="28" spans="1:14" s="94" customFormat="1" ht="30.75" customHeight="1" x14ac:dyDescent="0.35">
      <c r="A28" s="186">
        <v>3</v>
      </c>
      <c r="B28" s="220" t="s">
        <v>379</v>
      </c>
      <c r="C28" s="220"/>
      <c r="D28" s="220"/>
      <c r="E28" s="220"/>
      <c r="F28" s="220"/>
      <c r="G28" s="220"/>
      <c r="H28" s="220"/>
      <c r="I28" s="220"/>
      <c r="J28" s="220"/>
      <c r="K28" s="220"/>
      <c r="L28" s="221"/>
    </row>
    <row r="29" spans="1:14" s="189" customFormat="1" ht="18" customHeight="1" x14ac:dyDescent="0.35">
      <c r="A29" s="187"/>
      <c r="B29" s="188"/>
      <c r="C29" s="188"/>
      <c r="D29" s="188"/>
      <c r="E29" s="188"/>
      <c r="F29" s="188"/>
      <c r="G29" s="188"/>
      <c r="H29" s="188"/>
      <c r="I29" s="188"/>
      <c r="J29" s="188"/>
      <c r="K29" s="188"/>
      <c r="L29" s="188"/>
    </row>
    <row r="30" spans="1:14" s="1" customFormat="1" ht="16.5" customHeight="1" x14ac:dyDescent="0.35">
      <c r="A30" s="212" t="s">
        <v>370</v>
      </c>
      <c r="B30" s="213"/>
      <c r="C30" s="213"/>
      <c r="D30" s="213"/>
      <c r="E30" s="213"/>
      <c r="F30" s="213"/>
      <c r="G30" s="213"/>
      <c r="H30" s="213"/>
      <c r="I30" s="213"/>
      <c r="J30" s="213"/>
      <c r="K30" s="213"/>
      <c r="L30" s="214"/>
    </row>
    <row r="31" spans="1:14" s="1" customFormat="1" ht="16.5" customHeight="1" x14ac:dyDescent="0.35">
      <c r="A31" s="190" t="s">
        <v>371</v>
      </c>
      <c r="B31" s="191"/>
      <c r="C31" s="191"/>
      <c r="D31" s="191"/>
      <c r="E31" s="191"/>
      <c r="F31" s="191"/>
      <c r="G31" s="191"/>
      <c r="H31" s="191"/>
      <c r="I31" s="191"/>
      <c r="J31" s="191"/>
      <c r="K31" s="191"/>
      <c r="L31" s="192"/>
    </row>
    <row r="32" spans="1:14" ht="14.25" customHeight="1" x14ac:dyDescent="0.35">
      <c r="B32" s="180"/>
      <c r="C32" s="180"/>
      <c r="D32" s="180"/>
      <c r="E32" s="180"/>
      <c r="F32" s="180"/>
      <c r="G32" s="180"/>
      <c r="H32" s="180"/>
      <c r="I32" s="180"/>
      <c r="J32" s="180"/>
      <c r="K32" s="180"/>
      <c r="L32" s="180"/>
    </row>
    <row r="33" spans="1:12" ht="16.5" customHeight="1" x14ac:dyDescent="0.35">
      <c r="A33" s="193" t="s">
        <v>260</v>
      </c>
      <c r="B33" s="194"/>
      <c r="C33" s="194"/>
      <c r="D33" s="195"/>
      <c r="E33" s="194"/>
      <c r="F33" s="194"/>
      <c r="G33" s="194"/>
      <c r="H33" s="194"/>
      <c r="I33" s="194"/>
      <c r="J33" s="194"/>
      <c r="K33" s="194"/>
      <c r="L33" s="196"/>
    </row>
    <row r="34" spans="1:12" ht="15" customHeight="1" x14ac:dyDescent="0.35">
      <c r="A34" s="197"/>
      <c r="B34" s="198" t="s">
        <v>74</v>
      </c>
      <c r="C34" s="199" t="s">
        <v>96</v>
      </c>
      <c r="D34" s="199"/>
      <c r="E34" s="199"/>
      <c r="F34" s="199"/>
      <c r="G34" s="199"/>
      <c r="H34" s="199"/>
      <c r="I34" s="199"/>
      <c r="J34" s="199"/>
      <c r="K34" s="199"/>
      <c r="L34" s="200"/>
    </row>
    <row r="35" spans="1:12" ht="14.25" customHeight="1" x14ac:dyDescent="0.35">
      <c r="A35" s="197"/>
      <c r="B35" s="198" t="s">
        <v>98</v>
      </c>
      <c r="C35" s="199" t="s">
        <v>123</v>
      </c>
      <c r="D35" s="199"/>
      <c r="E35" s="199"/>
      <c r="F35" s="199"/>
      <c r="G35" s="199"/>
      <c r="H35" s="199"/>
      <c r="I35" s="199"/>
      <c r="J35" s="199"/>
      <c r="K35" s="199"/>
      <c r="L35" s="200"/>
    </row>
    <row r="36" spans="1:12" s="64" customFormat="1" ht="33.75" customHeight="1" x14ac:dyDescent="0.35">
      <c r="A36" s="197"/>
      <c r="B36" s="198" t="s">
        <v>74</v>
      </c>
      <c r="C36" s="237" t="s">
        <v>210</v>
      </c>
      <c r="D36" s="237"/>
      <c r="E36" s="237"/>
      <c r="F36" s="237"/>
      <c r="G36" s="237"/>
      <c r="H36" s="237"/>
      <c r="I36" s="237"/>
      <c r="J36" s="237"/>
      <c r="K36" s="237"/>
      <c r="L36" s="238"/>
    </row>
    <row r="37" spans="1:12" s="65" customFormat="1" ht="30.75" customHeight="1" x14ac:dyDescent="0.35">
      <c r="A37" s="197"/>
      <c r="B37" s="198" t="s">
        <v>208</v>
      </c>
      <c r="C37" s="237" t="s">
        <v>211</v>
      </c>
      <c r="D37" s="237"/>
      <c r="E37" s="237"/>
      <c r="F37" s="237"/>
      <c r="G37" s="237"/>
      <c r="H37" s="237"/>
      <c r="I37" s="237"/>
      <c r="J37" s="237"/>
      <c r="K37" s="237"/>
      <c r="L37" s="238"/>
    </row>
    <row r="38" spans="1:12" ht="30.75" customHeight="1" x14ac:dyDescent="0.35">
      <c r="A38" s="197"/>
      <c r="B38" s="198" t="s">
        <v>209</v>
      </c>
      <c r="C38" s="237" t="s">
        <v>212</v>
      </c>
      <c r="D38" s="237"/>
      <c r="E38" s="237"/>
      <c r="F38" s="237"/>
      <c r="G38" s="237"/>
      <c r="H38" s="237"/>
      <c r="I38" s="237"/>
      <c r="J38" s="237"/>
      <c r="K38" s="237"/>
      <c r="L38" s="238"/>
    </row>
    <row r="39" spans="1:12" x14ac:dyDescent="0.35">
      <c r="A39" s="197"/>
      <c r="B39" s="198" t="s">
        <v>346</v>
      </c>
      <c r="C39" s="199" t="s">
        <v>154</v>
      </c>
      <c r="D39" s="199"/>
      <c r="E39" s="199"/>
      <c r="F39" s="199"/>
      <c r="G39" s="199"/>
      <c r="H39" s="199"/>
      <c r="I39" s="199"/>
      <c r="J39" s="199"/>
      <c r="K39" s="199"/>
      <c r="L39" s="200"/>
    </row>
    <row r="40" spans="1:12" ht="29.25" customHeight="1" x14ac:dyDescent="0.35">
      <c r="A40" s="197"/>
      <c r="B40" s="198" t="s">
        <v>75</v>
      </c>
      <c r="C40" s="237" t="s">
        <v>76</v>
      </c>
      <c r="D40" s="237"/>
      <c r="E40" s="237"/>
      <c r="F40" s="237"/>
      <c r="G40" s="237"/>
      <c r="H40" s="237"/>
      <c r="I40" s="237"/>
      <c r="J40" s="237"/>
      <c r="K40" s="237"/>
      <c r="L40" s="238"/>
    </row>
    <row r="41" spans="1:12" x14ac:dyDescent="0.35">
      <c r="A41" s="197"/>
      <c r="B41" s="198" t="s">
        <v>77</v>
      </c>
      <c r="C41" s="199" t="s">
        <v>78</v>
      </c>
      <c r="D41" s="199"/>
      <c r="E41" s="199"/>
      <c r="F41" s="199"/>
      <c r="G41" s="199"/>
      <c r="H41" s="199"/>
      <c r="I41" s="199"/>
      <c r="J41" s="199"/>
      <c r="K41" s="199"/>
      <c r="L41" s="200"/>
    </row>
    <row r="42" spans="1:12" x14ac:dyDescent="0.35">
      <c r="A42" s="197"/>
      <c r="B42" s="198" t="s">
        <v>91</v>
      </c>
      <c r="C42" s="199" t="s">
        <v>92</v>
      </c>
      <c r="D42" s="199"/>
      <c r="E42" s="199"/>
      <c r="F42" s="199"/>
      <c r="G42" s="199"/>
      <c r="H42" s="199"/>
      <c r="I42" s="199"/>
      <c r="J42" s="199"/>
      <c r="K42" s="199"/>
      <c r="L42" s="200"/>
    </row>
    <row r="43" spans="1:12" x14ac:dyDescent="0.35">
      <c r="A43" s="201"/>
      <c r="B43" s="202" t="s">
        <v>249</v>
      </c>
      <c r="C43" s="203" t="s">
        <v>250</v>
      </c>
      <c r="D43" s="203"/>
      <c r="E43" s="203"/>
      <c r="F43" s="203"/>
      <c r="G43" s="203"/>
      <c r="H43" s="203"/>
      <c r="I43" s="203"/>
      <c r="J43" s="203"/>
      <c r="K43" s="203"/>
      <c r="L43" s="204"/>
    </row>
    <row r="45" spans="1:12" x14ac:dyDescent="0.35">
      <c r="A45" s="1" t="s">
        <v>126</v>
      </c>
    </row>
    <row r="46" spans="1:12" x14ac:dyDescent="0.35">
      <c r="A46" t="s">
        <v>127</v>
      </c>
    </row>
    <row r="47" spans="1:12" x14ac:dyDescent="0.35">
      <c r="A47" t="s">
        <v>128</v>
      </c>
    </row>
    <row r="48" spans="1:12" x14ac:dyDescent="0.35">
      <c r="A48" s="49" t="s">
        <v>129</v>
      </c>
    </row>
    <row r="49" spans="1:12" x14ac:dyDescent="0.35">
      <c r="A49" s="49" t="s">
        <v>130</v>
      </c>
    </row>
    <row r="50" spans="1:12" x14ac:dyDescent="0.35">
      <c r="A50" s="49"/>
    </row>
    <row r="51" spans="1:12" x14ac:dyDescent="0.35">
      <c r="A51" s="1" t="s">
        <v>330</v>
      </c>
    </row>
    <row r="52" spans="1:12" x14ac:dyDescent="0.35">
      <c r="A52" s="49" t="s">
        <v>329</v>
      </c>
    </row>
    <row r="54" spans="1:12" x14ac:dyDescent="0.35">
      <c r="A54" s="1" t="s">
        <v>35</v>
      </c>
    </row>
    <row r="55" spans="1:12" ht="29.15" customHeight="1" x14ac:dyDescent="0.35">
      <c r="A55" s="211" t="s">
        <v>388</v>
      </c>
      <c r="B55" s="211"/>
      <c r="C55" s="211"/>
      <c r="D55" s="211"/>
      <c r="E55" s="211"/>
      <c r="F55" s="211"/>
      <c r="G55" s="211"/>
      <c r="H55" s="211"/>
      <c r="I55" s="211"/>
      <c r="J55" s="211"/>
      <c r="K55" s="211"/>
      <c r="L55" s="211"/>
    </row>
    <row r="60" spans="1:12" ht="16" customHeight="1" x14ac:dyDescent="0.35"/>
    <row r="61" spans="1:12" ht="29.25" customHeight="1" x14ac:dyDescent="0.35"/>
  </sheetData>
  <mergeCells count="31">
    <mergeCell ref="B14:L14"/>
    <mergeCell ref="C36:L36"/>
    <mergeCell ref="C37:L37"/>
    <mergeCell ref="C38:L38"/>
    <mergeCell ref="C40:L40"/>
    <mergeCell ref="B22:L22"/>
    <mergeCell ref="B23:L23"/>
    <mergeCell ref="B24:L24"/>
    <mergeCell ref="B25:L25"/>
    <mergeCell ref="A21:L21"/>
    <mergeCell ref="A13:L13"/>
    <mergeCell ref="A6:L6"/>
    <mergeCell ref="A8:L8"/>
    <mergeCell ref="A9:L9"/>
    <mergeCell ref="A10:L10"/>
    <mergeCell ref="N4:R4"/>
    <mergeCell ref="A4:L4"/>
    <mergeCell ref="A1:L1"/>
    <mergeCell ref="A55:L55"/>
    <mergeCell ref="A30:L30"/>
    <mergeCell ref="A12:L12"/>
    <mergeCell ref="B15:L15"/>
    <mergeCell ref="B16:L16"/>
    <mergeCell ref="B17:L17"/>
    <mergeCell ref="B18:L18"/>
    <mergeCell ref="B19:L19"/>
    <mergeCell ref="B20:L20"/>
    <mergeCell ref="B26:L26"/>
    <mergeCell ref="B27:L27"/>
    <mergeCell ref="B28:L28"/>
    <mergeCell ref="A7:L7"/>
  </mergeCells>
  <hyperlinks>
    <hyperlink ref="A48" r:id="rId1" xr:uid="{6B934EC2-E381-41EE-938C-08FAF5E51BBE}"/>
    <hyperlink ref="A49" r:id="rId2" xr:uid="{785DB934-D308-4A7B-B51A-B3D1C1CB613D}"/>
    <hyperlink ref="A52" r:id="rId3" xr:uid="{628F21D8-1E97-4CD2-A7F4-B694F56F2A98}"/>
    <hyperlink ref="A30:L30" r:id="rId4" display="VISUALS of KEY IDEAS" xr:uid="{859BFD9E-D08B-44CA-9DE3-FFEC8C0810A4}"/>
    <hyperlink ref="A31" r:id="rId5" display="Model Guide (Help)" xr:uid="{8F30E346-4589-4A82-8FC7-799AFE6BC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85</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3">
        <v>60736</v>
      </c>
      <c r="C9" s="6">
        <f t="shared" si="0"/>
        <v>2095736</v>
      </c>
      <c r="D9" s="6">
        <v>30563.999999899999</v>
      </c>
      <c r="E9" s="2">
        <v>5</v>
      </c>
      <c r="H9" s="8">
        <f t="shared" si="1"/>
        <v>897</v>
      </c>
    </row>
    <row r="10" spans="1:13" x14ac:dyDescent="0.35">
      <c r="A10" s="5">
        <v>897.5</v>
      </c>
      <c r="B10" s="23">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zoomScale="280" zoomScaleNormal="280" workbookViewId="0">
      <selection activeCell="A11" sqref="A11:C14"/>
    </sheetView>
  </sheetViews>
  <sheetFormatPr defaultRowHeight="14.5" x14ac:dyDescent="0.35"/>
  <cols>
    <col min="1" max="2" width="8.7265625" style="65"/>
    <col min="3" max="3" width="3.7265625" style="65" customWidth="1"/>
    <col min="4" max="4" width="46.54296875" style="65" customWidth="1"/>
  </cols>
  <sheetData>
    <row r="1" spans="1:4" x14ac:dyDescent="0.35">
      <c r="A1" s="65" t="s">
        <v>248</v>
      </c>
    </row>
    <row r="3" spans="1:4" s="1" customFormat="1" x14ac:dyDescent="0.35">
      <c r="A3" s="271" t="s">
        <v>246</v>
      </c>
      <c r="B3" s="271"/>
      <c r="C3" s="271"/>
      <c r="D3" s="142" t="s">
        <v>245</v>
      </c>
    </row>
    <row r="4" spans="1:4" ht="29" x14ac:dyDescent="0.35">
      <c r="A4" s="272" t="s">
        <v>239</v>
      </c>
      <c r="B4" s="272"/>
      <c r="C4" s="272"/>
      <c r="D4" s="41" t="s">
        <v>244</v>
      </c>
    </row>
    <row r="5" spans="1:4" ht="43.5" x14ac:dyDescent="0.35">
      <c r="A5" s="273" t="s">
        <v>240</v>
      </c>
      <c r="B5" s="273"/>
      <c r="C5" s="273"/>
      <c r="D5" s="41" t="s">
        <v>259</v>
      </c>
    </row>
    <row r="6" spans="1:4" ht="58" x14ac:dyDescent="0.35">
      <c r="A6" s="274" t="s">
        <v>241</v>
      </c>
      <c r="B6" s="274"/>
      <c r="C6" s="274"/>
      <c r="D6" s="41" t="s">
        <v>243</v>
      </c>
    </row>
    <row r="7" spans="1:4" ht="29" x14ac:dyDescent="0.35">
      <c r="A7" s="275" t="s">
        <v>33</v>
      </c>
      <c r="B7" s="275"/>
      <c r="C7" s="275"/>
      <c r="D7" s="41" t="s">
        <v>242</v>
      </c>
    </row>
    <row r="11" spans="1:4" x14ac:dyDescent="0.35">
      <c r="A11" s="272" t="s">
        <v>239</v>
      </c>
      <c r="B11" s="272"/>
      <c r="C11" s="272"/>
    </row>
    <row r="12" spans="1:4" x14ac:dyDescent="0.35">
      <c r="A12" s="273" t="s">
        <v>240</v>
      </c>
      <c r="B12" s="273"/>
      <c r="C12" s="273"/>
    </row>
    <row r="13" spans="1:4" x14ac:dyDescent="0.35">
      <c r="A13" s="274" t="s">
        <v>241</v>
      </c>
      <c r="B13" s="274"/>
      <c r="C13" s="274"/>
    </row>
    <row r="14" spans="1:4" x14ac:dyDescent="0.35">
      <c r="A14" s="275" t="s">
        <v>33</v>
      </c>
      <c r="B14" s="275"/>
      <c r="C14" s="275"/>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5"/>
  <sheetViews>
    <sheetView zoomScale="150" zoomScaleNormal="150" workbookViewId="0">
      <selection activeCell="H8" sqref="H8:I8"/>
    </sheetView>
  </sheetViews>
  <sheetFormatPr defaultRowHeight="14.5" x14ac:dyDescent="0.35"/>
  <cols>
    <col min="1" max="1" width="12.54296875" style="42" customWidth="1"/>
    <col min="2" max="2" width="7.81640625" style="168" customWidth="1"/>
    <col min="3" max="3" width="29.81640625" style="41" customWidth="1"/>
    <col min="4" max="4" width="12.453125" style="44" customWidth="1"/>
    <col min="5" max="5" width="15.1796875" style="44" customWidth="1"/>
    <col min="6" max="6" width="12" style="42" customWidth="1"/>
    <col min="8" max="8" width="32.453125" style="59" customWidth="1"/>
    <col min="9" max="9" width="12.453125" style="59" customWidth="1"/>
    <col min="10" max="10" width="11" style="121" customWidth="1"/>
  </cols>
  <sheetData>
    <row r="1" spans="1:10" s="38" customFormat="1" ht="30.65" customHeight="1" x14ac:dyDescent="0.35">
      <c r="A1" s="39" t="s">
        <v>99</v>
      </c>
      <c r="B1" s="166" t="s">
        <v>111</v>
      </c>
      <c r="C1" s="40" t="s">
        <v>100</v>
      </c>
      <c r="D1" s="39" t="s">
        <v>102</v>
      </c>
      <c r="E1" s="39" t="s">
        <v>101</v>
      </c>
      <c r="F1" s="39" t="s">
        <v>103</v>
      </c>
      <c r="H1" s="118" t="s">
        <v>135</v>
      </c>
      <c r="I1" s="118" t="s">
        <v>101</v>
      </c>
      <c r="J1" s="119" t="s">
        <v>103</v>
      </c>
    </row>
    <row r="2" spans="1:10" x14ac:dyDescent="0.35">
      <c r="A2" s="62"/>
      <c r="B2" s="167"/>
      <c r="C2" s="61"/>
      <c r="D2" s="60"/>
      <c r="E2" s="60"/>
      <c r="F2" s="62"/>
      <c r="H2" s="41"/>
      <c r="I2" s="41"/>
      <c r="J2" s="42"/>
    </row>
    <row r="3" spans="1:10" ht="43.5" x14ac:dyDescent="0.35">
      <c r="A3" s="62">
        <v>44676</v>
      </c>
      <c r="B3" s="167" t="s">
        <v>380</v>
      </c>
      <c r="C3" s="61" t="s">
        <v>381</v>
      </c>
      <c r="D3" s="60" t="s">
        <v>95</v>
      </c>
      <c r="E3" s="60" t="s">
        <v>95</v>
      </c>
      <c r="F3" s="62"/>
      <c r="H3" s="41"/>
      <c r="I3" s="41"/>
      <c r="J3" s="42"/>
    </row>
    <row r="4" spans="1:10" ht="58" x14ac:dyDescent="0.35">
      <c r="A4" s="62">
        <v>44656</v>
      </c>
      <c r="B4" s="167" t="s">
        <v>383</v>
      </c>
      <c r="C4" s="61" t="s">
        <v>384</v>
      </c>
      <c r="D4" s="60" t="s">
        <v>95</v>
      </c>
      <c r="E4" s="60" t="s">
        <v>95</v>
      </c>
      <c r="F4" s="62"/>
      <c r="H4" s="41"/>
      <c r="I4" s="41"/>
      <c r="J4" s="43"/>
    </row>
    <row r="5" spans="1:10" ht="40.5" customHeight="1" x14ac:dyDescent="0.35">
      <c r="A5" s="62">
        <v>44588</v>
      </c>
      <c r="B5" s="167" t="s">
        <v>350</v>
      </c>
      <c r="C5" s="61" t="s">
        <v>351</v>
      </c>
      <c r="D5" s="60" t="s">
        <v>95</v>
      </c>
      <c r="E5" s="60" t="s">
        <v>95</v>
      </c>
      <c r="F5" s="62"/>
      <c r="H5" s="41"/>
      <c r="I5" s="41"/>
      <c r="J5" s="43"/>
    </row>
    <row r="6" spans="1:10" ht="38.5" customHeight="1" x14ac:dyDescent="0.35">
      <c r="A6" s="62">
        <v>44581</v>
      </c>
      <c r="B6" s="167" t="s">
        <v>348</v>
      </c>
      <c r="C6" s="61" t="s">
        <v>349</v>
      </c>
      <c r="D6" s="60" t="s">
        <v>95</v>
      </c>
      <c r="E6" s="60" t="s">
        <v>95</v>
      </c>
      <c r="F6" s="62"/>
      <c r="H6" s="41" t="s">
        <v>136</v>
      </c>
      <c r="I6" s="41" t="s">
        <v>95</v>
      </c>
      <c r="J6" s="42"/>
    </row>
    <row r="7" spans="1:10" ht="101.5" x14ac:dyDescent="0.35">
      <c r="A7" s="62">
        <v>44581</v>
      </c>
      <c r="B7" s="167" t="s">
        <v>342</v>
      </c>
      <c r="C7" s="61" t="s">
        <v>343</v>
      </c>
      <c r="D7" s="60" t="s">
        <v>95</v>
      </c>
      <c r="E7" s="60" t="s">
        <v>344</v>
      </c>
      <c r="F7" s="62" t="s">
        <v>345</v>
      </c>
      <c r="H7" s="41" t="s">
        <v>313</v>
      </c>
      <c r="I7" s="120" t="s">
        <v>155</v>
      </c>
      <c r="J7" s="43">
        <v>44482</v>
      </c>
    </row>
    <row r="8" spans="1:10" ht="87" x14ac:dyDescent="0.35">
      <c r="A8" s="62">
        <v>44532</v>
      </c>
      <c r="B8" s="167" t="s">
        <v>328</v>
      </c>
      <c r="C8" s="61" t="s">
        <v>331</v>
      </c>
      <c r="D8" s="60" t="s">
        <v>95</v>
      </c>
      <c r="E8" s="60" t="s">
        <v>95</v>
      </c>
      <c r="F8" s="62"/>
      <c r="H8" s="41"/>
      <c r="I8" s="120"/>
      <c r="J8" s="43"/>
    </row>
    <row r="9" spans="1:10" ht="29" x14ac:dyDescent="0.35">
      <c r="A9" s="62">
        <v>44501</v>
      </c>
      <c r="B9" s="167" t="s">
        <v>326</v>
      </c>
      <c r="C9" s="61" t="s">
        <v>327</v>
      </c>
      <c r="D9" s="60" t="s">
        <v>95</v>
      </c>
      <c r="E9" s="60" t="s">
        <v>95</v>
      </c>
      <c r="F9" s="62"/>
      <c r="H9" s="41" t="s">
        <v>159</v>
      </c>
      <c r="I9" s="41" t="s">
        <v>155</v>
      </c>
      <c r="J9" s="43">
        <v>44385</v>
      </c>
    </row>
    <row r="10" spans="1:10" ht="72.5" x14ac:dyDescent="0.35">
      <c r="A10" s="62">
        <v>44500</v>
      </c>
      <c r="B10" s="167" t="s">
        <v>324</v>
      </c>
      <c r="C10" s="61" t="s">
        <v>325</v>
      </c>
      <c r="D10" s="60" t="s">
        <v>95</v>
      </c>
      <c r="E10" s="60" t="s">
        <v>95</v>
      </c>
      <c r="F10" s="62"/>
      <c r="H10" s="41" t="s">
        <v>204</v>
      </c>
      <c r="I10" s="120" t="s">
        <v>199</v>
      </c>
      <c r="J10" s="43">
        <v>44391</v>
      </c>
    </row>
    <row r="11" spans="1:10" ht="72.5" x14ac:dyDescent="0.35">
      <c r="A11" s="62">
        <v>44496</v>
      </c>
      <c r="B11" s="167" t="s">
        <v>319</v>
      </c>
      <c r="C11" s="61" t="s">
        <v>320</v>
      </c>
      <c r="D11" s="60" t="s">
        <v>95</v>
      </c>
      <c r="E11" s="60" t="s">
        <v>312</v>
      </c>
      <c r="F11" s="62"/>
      <c r="H11" s="41" t="s">
        <v>157</v>
      </c>
      <c r="I11" s="120" t="s">
        <v>199</v>
      </c>
      <c r="J11" s="43">
        <v>44391</v>
      </c>
    </row>
    <row r="12" spans="1:10" ht="72.5" x14ac:dyDescent="0.35">
      <c r="A12" s="62">
        <v>44496</v>
      </c>
      <c r="B12" s="167" t="s">
        <v>317</v>
      </c>
      <c r="C12" s="61" t="s">
        <v>318</v>
      </c>
      <c r="D12" s="60" t="s">
        <v>95</v>
      </c>
      <c r="E12" s="60" t="s">
        <v>332</v>
      </c>
      <c r="F12" s="62">
        <v>44495</v>
      </c>
      <c r="H12" s="41" t="s">
        <v>158</v>
      </c>
      <c r="I12" s="120" t="s">
        <v>199</v>
      </c>
      <c r="J12" s="43">
        <v>44391</v>
      </c>
    </row>
    <row r="13" spans="1:10" ht="29" x14ac:dyDescent="0.35">
      <c r="A13" s="62">
        <v>44480</v>
      </c>
      <c r="B13" s="167" t="s">
        <v>311</v>
      </c>
      <c r="C13" s="61" t="s">
        <v>308</v>
      </c>
      <c r="D13" s="60" t="s">
        <v>95</v>
      </c>
      <c r="E13" s="60"/>
      <c r="F13" s="62"/>
      <c r="H13" s="41"/>
      <c r="I13" s="41"/>
      <c r="J13" s="42"/>
    </row>
    <row r="14" spans="1:10" ht="29" x14ac:dyDescent="0.35">
      <c r="A14" s="62">
        <v>44480</v>
      </c>
      <c r="B14" s="167" t="s">
        <v>310</v>
      </c>
      <c r="C14" s="61" t="s">
        <v>307</v>
      </c>
      <c r="D14" s="60" t="s">
        <v>95</v>
      </c>
      <c r="E14" s="60" t="s">
        <v>95</v>
      </c>
      <c r="F14" s="62"/>
      <c r="H14" s="41"/>
      <c r="I14" s="41"/>
      <c r="J14" s="42"/>
    </row>
    <row r="15" spans="1:10" ht="29" x14ac:dyDescent="0.35">
      <c r="A15" s="62">
        <v>44480</v>
      </c>
      <c r="B15" s="167" t="s">
        <v>309</v>
      </c>
      <c r="C15" s="61" t="s">
        <v>306</v>
      </c>
      <c r="D15" s="60" t="s">
        <v>95</v>
      </c>
      <c r="E15" s="60" t="s">
        <v>261</v>
      </c>
      <c r="F15" s="62" t="s">
        <v>262</v>
      </c>
      <c r="H15" s="41"/>
      <c r="I15" s="41"/>
      <c r="J15" s="42"/>
    </row>
    <row r="16" spans="1:10" ht="43.5" x14ac:dyDescent="0.35">
      <c r="A16" s="62">
        <v>44474</v>
      </c>
      <c r="B16" s="60">
        <v>3.7</v>
      </c>
      <c r="C16" s="61" t="s">
        <v>251</v>
      </c>
      <c r="D16" s="60" t="s">
        <v>95</v>
      </c>
      <c r="E16" s="60" t="s">
        <v>95</v>
      </c>
      <c r="F16" s="62"/>
      <c r="H16" s="41"/>
      <c r="I16" s="41"/>
      <c r="J16" s="42"/>
    </row>
    <row r="17" spans="1:6" ht="43.5" x14ac:dyDescent="0.35">
      <c r="A17" s="62">
        <v>44463</v>
      </c>
      <c r="B17" s="60" t="s">
        <v>323</v>
      </c>
      <c r="C17" s="61" t="s">
        <v>233</v>
      </c>
      <c r="D17" s="60" t="s">
        <v>95</v>
      </c>
      <c r="E17" s="60" t="s">
        <v>333</v>
      </c>
      <c r="F17" s="62">
        <v>44432</v>
      </c>
    </row>
    <row r="18" spans="1:6" ht="58" x14ac:dyDescent="0.35">
      <c r="A18" s="62">
        <v>44459</v>
      </c>
      <c r="B18" s="60" t="s">
        <v>215</v>
      </c>
      <c r="C18" s="61" t="s">
        <v>216</v>
      </c>
      <c r="D18" s="60" t="s">
        <v>95</v>
      </c>
      <c r="E18" s="60" t="s">
        <v>95</v>
      </c>
      <c r="F18" s="62"/>
    </row>
    <row r="19" spans="1:6" ht="43.5" x14ac:dyDescent="0.35">
      <c r="A19" s="62">
        <v>44459</v>
      </c>
      <c r="B19" s="60">
        <v>3.6</v>
      </c>
      <c r="C19" s="61" t="s">
        <v>217</v>
      </c>
      <c r="D19" s="60" t="s">
        <v>95</v>
      </c>
      <c r="E19" s="60" t="s">
        <v>95</v>
      </c>
      <c r="F19" s="62"/>
    </row>
    <row r="20" spans="1:6" ht="58" x14ac:dyDescent="0.35">
      <c r="A20" s="62">
        <v>44432</v>
      </c>
      <c r="B20" s="60">
        <v>3.5</v>
      </c>
      <c r="C20" s="61" t="s">
        <v>207</v>
      </c>
      <c r="D20" s="60" t="s">
        <v>95</v>
      </c>
      <c r="E20" s="60" t="s">
        <v>95</v>
      </c>
      <c r="F20" s="62">
        <v>44424</v>
      </c>
    </row>
    <row r="21" spans="1:6" ht="101.5" x14ac:dyDescent="0.35">
      <c r="A21" s="62">
        <v>44432</v>
      </c>
      <c r="B21" s="60">
        <v>3.5</v>
      </c>
      <c r="C21" s="61" t="s">
        <v>213</v>
      </c>
      <c r="D21" s="60" t="s">
        <v>95</v>
      </c>
      <c r="E21" s="60" t="s">
        <v>334</v>
      </c>
      <c r="F21" s="62">
        <v>44424</v>
      </c>
    </row>
    <row r="22" spans="1:6" ht="87" x14ac:dyDescent="0.35">
      <c r="A22" s="62">
        <v>44432</v>
      </c>
      <c r="B22" s="60">
        <v>3.5</v>
      </c>
      <c r="C22" s="61" t="s">
        <v>205</v>
      </c>
      <c r="D22" s="60" t="s">
        <v>95</v>
      </c>
      <c r="E22" s="60"/>
      <c r="F22" s="62"/>
    </row>
    <row r="23" spans="1:6" ht="43.5" x14ac:dyDescent="0.35">
      <c r="A23" s="62">
        <v>44423</v>
      </c>
      <c r="B23" s="60" t="s">
        <v>201</v>
      </c>
      <c r="C23" s="61" t="s">
        <v>202</v>
      </c>
      <c r="D23" s="60" t="s">
        <v>95</v>
      </c>
      <c r="E23" s="60" t="s">
        <v>95</v>
      </c>
      <c r="F23" s="62"/>
    </row>
    <row r="24" spans="1:6" ht="43.5" x14ac:dyDescent="0.35">
      <c r="A24" s="62">
        <v>44405</v>
      </c>
      <c r="B24" s="60" t="s">
        <v>198</v>
      </c>
      <c r="C24" s="41" t="s">
        <v>200</v>
      </c>
      <c r="D24" s="60" t="s">
        <v>95</v>
      </c>
      <c r="E24" s="60" t="s">
        <v>335</v>
      </c>
      <c r="F24" s="62">
        <v>44405</v>
      </c>
    </row>
    <row r="25" spans="1:6" ht="29" x14ac:dyDescent="0.35">
      <c r="A25" s="62">
        <v>44405</v>
      </c>
      <c r="B25" s="60" t="s">
        <v>196</v>
      </c>
      <c r="C25" s="61" t="s">
        <v>197</v>
      </c>
      <c r="D25" s="60" t="s">
        <v>95</v>
      </c>
      <c r="E25" s="60" t="s">
        <v>95</v>
      </c>
      <c r="F25" s="62">
        <v>44405</v>
      </c>
    </row>
    <row r="26" spans="1:6" ht="72.5" x14ac:dyDescent="0.35">
      <c r="A26" s="62">
        <v>44405</v>
      </c>
      <c r="B26" s="60" t="s">
        <v>183</v>
      </c>
      <c r="C26" s="61" t="s">
        <v>195</v>
      </c>
      <c r="D26" s="60" t="s">
        <v>95</v>
      </c>
      <c r="E26" s="60" t="s">
        <v>335</v>
      </c>
      <c r="F26" s="62">
        <v>44391</v>
      </c>
    </row>
    <row r="27" spans="1:6" ht="43.5" x14ac:dyDescent="0.35">
      <c r="A27" s="60" t="s">
        <v>180</v>
      </c>
      <c r="B27" s="60" t="s">
        <v>179</v>
      </c>
      <c r="C27" s="41" t="s">
        <v>181</v>
      </c>
      <c r="D27" s="60" t="s">
        <v>95</v>
      </c>
      <c r="E27" s="60" t="s">
        <v>335</v>
      </c>
      <c r="F27" s="62">
        <v>44391</v>
      </c>
    </row>
    <row r="28" spans="1:6" ht="29" x14ac:dyDescent="0.35">
      <c r="A28" s="60" t="s">
        <v>180</v>
      </c>
      <c r="B28" s="60" t="s">
        <v>179</v>
      </c>
      <c r="C28" s="41" t="s">
        <v>156</v>
      </c>
      <c r="D28" s="60" t="s">
        <v>95</v>
      </c>
      <c r="E28" s="60" t="s">
        <v>335</v>
      </c>
      <c r="F28" s="62">
        <v>44391</v>
      </c>
    </row>
    <row r="29" spans="1:6" ht="101.5" x14ac:dyDescent="0.35">
      <c r="A29" s="62">
        <v>44403</v>
      </c>
      <c r="B29" s="60" t="s">
        <v>160</v>
      </c>
      <c r="C29" s="61" t="s">
        <v>161</v>
      </c>
      <c r="D29" s="60" t="s">
        <v>95</v>
      </c>
      <c r="E29" s="60" t="s">
        <v>335</v>
      </c>
      <c r="F29" s="62">
        <v>44391</v>
      </c>
    </row>
    <row r="30" spans="1:6" ht="58" x14ac:dyDescent="0.35">
      <c r="A30" s="43">
        <v>44389</v>
      </c>
      <c r="B30" s="42" t="s">
        <v>152</v>
      </c>
      <c r="C30" s="41" t="s">
        <v>153</v>
      </c>
      <c r="D30" s="44" t="s">
        <v>95</v>
      </c>
      <c r="E30" s="44" t="s">
        <v>95</v>
      </c>
      <c r="F30" s="43">
        <v>44389</v>
      </c>
    </row>
    <row r="31" spans="1:6" ht="29" x14ac:dyDescent="0.35">
      <c r="A31" s="43">
        <v>44389</v>
      </c>
      <c r="B31" s="42" t="s">
        <v>150</v>
      </c>
      <c r="C31" s="41" t="s">
        <v>151</v>
      </c>
      <c r="D31" s="44" t="s">
        <v>95</v>
      </c>
      <c r="E31" s="44" t="s">
        <v>155</v>
      </c>
      <c r="F31" s="43">
        <v>44385</v>
      </c>
    </row>
    <row r="32" spans="1:6" ht="58" x14ac:dyDescent="0.35">
      <c r="A32" s="43">
        <v>44385</v>
      </c>
      <c r="B32" s="42" t="s">
        <v>131</v>
      </c>
      <c r="C32" s="41" t="s">
        <v>132</v>
      </c>
      <c r="D32" s="44" t="s">
        <v>95</v>
      </c>
      <c r="E32" s="44" t="s">
        <v>95</v>
      </c>
      <c r="F32" s="43">
        <f>A32</f>
        <v>44385</v>
      </c>
    </row>
    <row r="33" spans="1:6" ht="29" x14ac:dyDescent="0.35">
      <c r="A33" s="43">
        <v>44384</v>
      </c>
      <c r="B33" s="42" t="s">
        <v>124</v>
      </c>
      <c r="C33" s="41" t="s">
        <v>133</v>
      </c>
      <c r="D33" s="44" t="s">
        <v>95</v>
      </c>
      <c r="E33" s="44" t="s">
        <v>95</v>
      </c>
      <c r="F33" s="43">
        <v>44384</v>
      </c>
    </row>
    <row r="34" spans="1:6" ht="43.5" x14ac:dyDescent="0.35">
      <c r="A34" s="43">
        <v>44384</v>
      </c>
      <c r="B34" s="42" t="s">
        <v>122</v>
      </c>
      <c r="C34" s="41" t="s">
        <v>134</v>
      </c>
      <c r="D34" s="44" t="s">
        <v>95</v>
      </c>
      <c r="E34" s="44" t="s">
        <v>95</v>
      </c>
      <c r="F34" s="43">
        <v>44384</v>
      </c>
    </row>
    <row r="35" spans="1:6" ht="43.5" x14ac:dyDescent="0.35">
      <c r="A35" s="43">
        <v>44378</v>
      </c>
      <c r="B35" s="42" t="s">
        <v>119</v>
      </c>
      <c r="C35" s="41" t="s">
        <v>120</v>
      </c>
      <c r="D35" s="44" t="s">
        <v>95</v>
      </c>
      <c r="E35" s="44" t="s">
        <v>95</v>
      </c>
      <c r="F35" s="43">
        <v>44378</v>
      </c>
    </row>
    <row r="36" spans="1:6" x14ac:dyDescent="0.35">
      <c r="A36" s="43">
        <v>44377</v>
      </c>
      <c r="B36" s="42" t="s">
        <v>117</v>
      </c>
      <c r="C36" s="41" t="s">
        <v>121</v>
      </c>
      <c r="D36" s="44" t="s">
        <v>95</v>
      </c>
      <c r="E36" s="44" t="s">
        <v>95</v>
      </c>
      <c r="F36" s="43">
        <v>44377</v>
      </c>
    </row>
    <row r="37" spans="1:6" ht="72.5" x14ac:dyDescent="0.35">
      <c r="A37" s="43">
        <v>44377</v>
      </c>
      <c r="B37" s="42" t="s">
        <v>115</v>
      </c>
      <c r="C37" s="41" t="s">
        <v>116</v>
      </c>
      <c r="D37" s="44" t="s">
        <v>95</v>
      </c>
      <c r="E37" s="44" t="s">
        <v>336</v>
      </c>
      <c r="F37" s="43">
        <v>44372</v>
      </c>
    </row>
    <row r="38" spans="1:6" ht="43.5" x14ac:dyDescent="0.35">
      <c r="A38" s="43">
        <v>44377</v>
      </c>
      <c r="B38" s="42">
        <v>3.3</v>
      </c>
      <c r="C38" s="41" t="s">
        <v>113</v>
      </c>
      <c r="D38" s="44" t="s">
        <v>95</v>
      </c>
      <c r="E38" s="44" t="s">
        <v>336</v>
      </c>
      <c r="F38" s="43">
        <v>44372</v>
      </c>
    </row>
    <row r="39" spans="1:6" ht="29" x14ac:dyDescent="0.35">
      <c r="A39" s="43">
        <v>44377</v>
      </c>
      <c r="B39" s="42" t="s">
        <v>112</v>
      </c>
      <c r="C39" s="41" t="s">
        <v>104</v>
      </c>
      <c r="D39" s="44" t="s">
        <v>95</v>
      </c>
      <c r="E39" s="44" t="s">
        <v>95</v>
      </c>
      <c r="F39" s="43">
        <v>44377</v>
      </c>
    </row>
    <row r="40" spans="1:6" ht="116" x14ac:dyDescent="0.35">
      <c r="A40" s="43">
        <v>44367</v>
      </c>
      <c r="B40" s="42">
        <v>3.2</v>
      </c>
      <c r="C40" s="41" t="s">
        <v>109</v>
      </c>
      <c r="D40" s="44" t="s">
        <v>95</v>
      </c>
      <c r="E40" s="44" t="s">
        <v>95</v>
      </c>
      <c r="F40" s="43">
        <v>44367</v>
      </c>
    </row>
    <row r="41" spans="1:6" ht="29" x14ac:dyDescent="0.35">
      <c r="A41" s="43">
        <v>44331</v>
      </c>
      <c r="B41" s="42">
        <v>3.1</v>
      </c>
      <c r="C41" s="41" t="s">
        <v>108</v>
      </c>
      <c r="D41" s="44" t="s">
        <v>95</v>
      </c>
      <c r="E41" s="44" t="s">
        <v>95</v>
      </c>
      <c r="F41" s="43">
        <v>44331</v>
      </c>
    </row>
    <row r="42" spans="1:6" ht="72.5" x14ac:dyDescent="0.35">
      <c r="A42" s="43">
        <v>44319</v>
      </c>
      <c r="B42" s="42">
        <v>3</v>
      </c>
      <c r="C42" s="41" t="s">
        <v>107</v>
      </c>
      <c r="D42" s="44" t="s">
        <v>95</v>
      </c>
      <c r="E42" s="44" t="s">
        <v>337</v>
      </c>
      <c r="F42" s="43">
        <v>44315</v>
      </c>
    </row>
    <row r="43" spans="1:6" ht="29" x14ac:dyDescent="0.35">
      <c r="A43" s="43">
        <v>44307</v>
      </c>
      <c r="B43" s="42">
        <v>2</v>
      </c>
      <c r="C43" s="41" t="s">
        <v>105</v>
      </c>
      <c r="D43" s="44" t="s">
        <v>95</v>
      </c>
      <c r="E43" s="44" t="s">
        <v>155</v>
      </c>
      <c r="F43" s="43">
        <v>44294</v>
      </c>
    </row>
    <row r="44" spans="1:6" ht="29" x14ac:dyDescent="0.35">
      <c r="A44" s="43">
        <v>44293</v>
      </c>
      <c r="B44" s="45">
        <v>1</v>
      </c>
      <c r="C44" s="41" t="s">
        <v>106</v>
      </c>
      <c r="D44" s="44" t="s">
        <v>95</v>
      </c>
      <c r="E44" s="44" t="s">
        <v>337</v>
      </c>
      <c r="F44" s="43">
        <v>44291</v>
      </c>
    </row>
    <row r="45" spans="1:6" x14ac:dyDescent="0.35">
      <c r="A45" s="43">
        <v>44291</v>
      </c>
      <c r="B45" s="45">
        <v>0.5</v>
      </c>
      <c r="C45" s="41" t="s">
        <v>322</v>
      </c>
      <c r="D45" s="44" t="s">
        <v>95</v>
      </c>
      <c r="E45" s="44" t="s">
        <v>95</v>
      </c>
      <c r="F45"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zoomScale="150" zoomScaleNormal="150" workbookViewId="0">
      <selection activeCell="A3" sqref="A3:G3"/>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44" t="str">
        <f>'ReadMe-Directions'!A1</f>
        <v>Colorado River Basin Accounts: Provoke Thought and Discussion about New Operations</v>
      </c>
      <c r="B1" s="244"/>
      <c r="C1" s="244"/>
      <c r="D1" s="244"/>
      <c r="E1" s="244"/>
      <c r="F1" s="244"/>
      <c r="G1" s="244"/>
    </row>
    <row r="2" spans="1:14" x14ac:dyDescent="0.35">
      <c r="A2" s="1" t="s">
        <v>376</v>
      </c>
      <c r="B2" s="1"/>
    </row>
    <row r="3" spans="1:14" ht="32.15" customHeight="1" x14ac:dyDescent="0.35">
      <c r="A3" s="254" t="s">
        <v>375</v>
      </c>
      <c r="B3" s="254"/>
      <c r="C3" s="254"/>
      <c r="D3" s="254"/>
      <c r="E3" s="254"/>
      <c r="F3" s="254"/>
      <c r="G3" s="254"/>
      <c r="H3" s="91"/>
      <c r="I3" s="91"/>
      <c r="J3" s="91"/>
      <c r="K3" s="91"/>
      <c r="N3" s="153" t="s">
        <v>303</v>
      </c>
    </row>
    <row r="4" spans="1:14" x14ac:dyDescent="0.35">
      <c r="A4" s="141" t="s">
        <v>236</v>
      </c>
      <c r="B4" s="141" t="s">
        <v>31</v>
      </c>
      <c r="C4" s="255" t="s">
        <v>32</v>
      </c>
      <c r="D4" s="256"/>
      <c r="E4" s="256"/>
      <c r="F4" s="256"/>
      <c r="G4" s="257"/>
      <c r="N4" s="155" t="s">
        <v>267</v>
      </c>
    </row>
    <row r="5" spans="1:14" x14ac:dyDescent="0.35">
      <c r="A5" s="101" t="s">
        <v>28</v>
      </c>
      <c r="B5" s="181"/>
      <c r="C5" s="258"/>
      <c r="D5" s="253"/>
      <c r="E5" s="253"/>
      <c r="F5" s="253"/>
      <c r="G5" s="253"/>
      <c r="N5" s="159"/>
    </row>
    <row r="6" spans="1:14" x14ac:dyDescent="0.35">
      <c r="A6" s="101" t="s">
        <v>29</v>
      </c>
      <c r="B6" s="181"/>
      <c r="C6" s="258"/>
      <c r="D6" s="253"/>
      <c r="E6" s="253"/>
      <c r="F6" s="253"/>
      <c r="G6" s="253"/>
      <c r="N6" s="159"/>
    </row>
    <row r="7" spans="1:14" x14ac:dyDescent="0.35">
      <c r="A7" s="101" t="s">
        <v>30</v>
      </c>
      <c r="B7" s="181"/>
      <c r="C7" s="258"/>
      <c r="D7" s="253"/>
      <c r="E7" s="253"/>
      <c r="F7" s="253"/>
      <c r="G7" s="253"/>
      <c r="N7" s="159"/>
    </row>
    <row r="8" spans="1:14" x14ac:dyDescent="0.35">
      <c r="A8" s="127" t="s">
        <v>94</v>
      </c>
      <c r="B8" s="126"/>
      <c r="C8" s="253"/>
      <c r="D8" s="253"/>
      <c r="E8" s="253"/>
      <c r="F8" s="253"/>
      <c r="G8" s="253"/>
      <c r="N8" s="159"/>
    </row>
    <row r="9" spans="1:14" x14ac:dyDescent="0.35">
      <c r="A9" s="152" t="s">
        <v>341</v>
      </c>
      <c r="B9" s="101"/>
      <c r="C9" s="259"/>
      <c r="D9" s="259"/>
      <c r="E9" s="259"/>
      <c r="F9" s="259"/>
      <c r="G9" s="259"/>
      <c r="N9" s="159"/>
    </row>
    <row r="10" spans="1:14" x14ac:dyDescent="0.35">
      <c r="A10" s="128" t="s">
        <v>97</v>
      </c>
      <c r="B10" s="128"/>
      <c r="C10" s="260"/>
      <c r="D10" s="260"/>
      <c r="E10" s="260"/>
      <c r="F10" s="260"/>
      <c r="G10" s="260"/>
      <c r="N10" s="159"/>
    </row>
    <row r="11" spans="1:14" x14ac:dyDescent="0.35">
      <c r="A11" s="14"/>
      <c r="B11" s="2"/>
      <c r="C11"/>
      <c r="N11" s="159"/>
    </row>
    <row r="12" spans="1:14" x14ac:dyDescent="0.35">
      <c r="A12" s="16" t="s">
        <v>237</v>
      </c>
      <c r="B12" s="261" t="s">
        <v>239</v>
      </c>
      <c r="C12" s="262"/>
      <c r="D12" s="263"/>
      <c r="N12" s="158" t="s">
        <v>268</v>
      </c>
    </row>
    <row r="13" spans="1:14" x14ac:dyDescent="0.35">
      <c r="B13" s="264" t="s">
        <v>240</v>
      </c>
      <c r="C13" s="265"/>
      <c r="D13" s="266"/>
      <c r="N13" s="159"/>
    </row>
    <row r="14" spans="1:14" x14ac:dyDescent="0.35">
      <c r="B14" s="245" t="s">
        <v>241</v>
      </c>
      <c r="C14" s="246"/>
      <c r="D14" s="247"/>
      <c r="N14" s="159"/>
    </row>
    <row r="15" spans="1:14" x14ac:dyDescent="0.35">
      <c r="B15" s="248" t="s">
        <v>33</v>
      </c>
      <c r="C15" s="249"/>
      <c r="D15" s="250"/>
      <c r="N15" s="159"/>
    </row>
    <row r="16" spans="1:14" x14ac:dyDescent="0.35">
      <c r="N16" s="159"/>
    </row>
    <row r="17" spans="1:14" x14ac:dyDescent="0.35">
      <c r="A17" s="1" t="s">
        <v>238</v>
      </c>
      <c r="B17" s="1" t="s">
        <v>81</v>
      </c>
      <c r="C17" s="12" t="s">
        <v>82</v>
      </c>
      <c r="N17" s="158" t="s">
        <v>269</v>
      </c>
    </row>
    <row r="18" spans="1:14" x14ac:dyDescent="0.35">
      <c r="A18" t="s">
        <v>80</v>
      </c>
      <c r="B18" s="122">
        <v>5.73</v>
      </c>
      <c r="C18" s="122">
        <v>6</v>
      </c>
      <c r="D18" s="17"/>
      <c r="N18" s="158" t="s">
        <v>271</v>
      </c>
    </row>
    <row r="19" spans="1:14" x14ac:dyDescent="0.35">
      <c r="A19" t="s">
        <v>263</v>
      </c>
      <c r="B19" s="122">
        <v>7.2</v>
      </c>
      <c r="C19" s="122">
        <v>9</v>
      </c>
      <c r="D19" s="143" t="s">
        <v>247</v>
      </c>
      <c r="F19" s="143"/>
      <c r="N19" s="158" t="s">
        <v>270</v>
      </c>
    </row>
    <row r="20" spans="1:14" x14ac:dyDescent="0.35">
      <c r="A20" t="s">
        <v>118</v>
      </c>
      <c r="B20" s="177">
        <v>3525</v>
      </c>
      <c r="C20" s="177">
        <v>1020</v>
      </c>
      <c r="D20" s="11"/>
      <c r="N20" s="158" t="s">
        <v>272</v>
      </c>
    </row>
    <row r="21" spans="1:14" x14ac:dyDescent="0.35">
      <c r="A21" t="s">
        <v>110</v>
      </c>
      <c r="B21" s="122">
        <f>VLOOKUP(B20,'Powell-Elevation-Area'!$A$5:$B$689,2)/1000000</f>
        <v>5.9265762500000001</v>
      </c>
      <c r="C21" s="122">
        <f>VLOOKUP(C20,'Mead-Elevation-Area'!$A$5:$B$689,2)/1000000</f>
        <v>5.664593</v>
      </c>
      <c r="D21" s="11"/>
      <c r="E21" s="30"/>
      <c r="N21" s="158" t="s">
        <v>274</v>
      </c>
    </row>
    <row r="22" spans="1:14" x14ac:dyDescent="0.35">
      <c r="A22" t="s">
        <v>253</v>
      </c>
      <c r="B22" s="122">
        <f>78.1</f>
        <v>78.099999999999994</v>
      </c>
      <c r="C22"/>
      <c r="D22" s="123"/>
      <c r="E22" s="30"/>
      <c r="N22" s="158" t="s">
        <v>273</v>
      </c>
    </row>
    <row r="23" spans="1:14" x14ac:dyDescent="0.35">
      <c r="A23" t="s">
        <v>254</v>
      </c>
      <c r="B23" s="144">
        <v>0.17</v>
      </c>
      <c r="C23"/>
      <c r="D23" s="123"/>
      <c r="E23" s="30"/>
      <c r="N23" s="158" t="s">
        <v>275</v>
      </c>
    </row>
    <row r="24" spans="1:14" x14ac:dyDescent="0.35">
      <c r="A24" t="s">
        <v>252</v>
      </c>
      <c r="B24" s="122">
        <f>10*(7.5+1.5/2)-B22-B23</f>
        <v>4.2300000000000058</v>
      </c>
      <c r="C24"/>
      <c r="D24" s="123"/>
      <c r="E24" s="30"/>
      <c r="N24" s="158" t="s">
        <v>276</v>
      </c>
    </row>
    <row r="25" spans="1:14" x14ac:dyDescent="0.35">
      <c r="A25" t="s">
        <v>314</v>
      </c>
      <c r="B25" s="122">
        <f>2.7 + 0.3 - IF(A9&lt;&gt;"",1.06,0)</f>
        <v>1.94</v>
      </c>
      <c r="C25"/>
      <c r="D25" s="123"/>
      <c r="E25" s="30"/>
      <c r="N25" s="178" t="s">
        <v>321</v>
      </c>
    </row>
    <row r="26" spans="1:14" x14ac:dyDescent="0.35">
      <c r="B26" s="30"/>
      <c r="N26" s="159"/>
    </row>
    <row r="27" spans="1:14" s="1" customFormat="1" x14ac:dyDescent="0.35">
      <c r="A27" s="113" t="s">
        <v>228</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224</v>
      </c>
      <c r="B28" s="1"/>
      <c r="C28" s="108"/>
      <c r="D28" s="108"/>
      <c r="E28" s="108"/>
      <c r="F28" s="108"/>
      <c r="G28" s="108"/>
      <c r="H28" s="108"/>
      <c r="I28" s="108"/>
      <c r="J28" s="108"/>
      <c r="K28" s="108"/>
      <c r="L28" s="108"/>
      <c r="N28" s="155" t="s">
        <v>277</v>
      </c>
    </row>
    <row r="29" spans="1:14" x14ac:dyDescent="0.35">
      <c r="A29" s="1" t="s">
        <v>86</v>
      </c>
      <c r="B29" s="1"/>
      <c r="C29" s="107" t="str">
        <f>IF(C$28&lt;&gt;"",0.8,"")</f>
        <v/>
      </c>
      <c r="D29" s="107" t="str">
        <f t="shared" ref="D29:L29" si="0">IF(D$28&lt;&gt;"",0.8,"")</f>
        <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8" t="s">
        <v>278</v>
      </c>
    </row>
    <row r="30" spans="1:14" x14ac:dyDescent="0.35">
      <c r="A30" s="1" t="s">
        <v>203</v>
      </c>
      <c r="B30" s="1"/>
      <c r="C30" s="107" t="str">
        <f>IF(C$28&lt;&gt;"",0.2,"")</f>
        <v/>
      </c>
      <c r="D30" s="107" t="str">
        <f t="shared" ref="D30:L30" si="1">IF(D$28&lt;&gt;"",0.2,"")</f>
        <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8" t="s">
        <v>279</v>
      </c>
    </row>
    <row r="31" spans="1:14" x14ac:dyDescent="0.35">
      <c r="A31" s="1" t="s">
        <v>182</v>
      </c>
      <c r="B31" s="1"/>
      <c r="C31" s="107" t="str">
        <f>IF(C$28&lt;&gt;"",0.6,"")</f>
        <v/>
      </c>
      <c r="D31" s="107" t="str">
        <f t="shared" ref="D31:L31" si="2">IF(D$28&lt;&gt;"",0.6,"")</f>
        <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8" t="s">
        <v>280</v>
      </c>
    </row>
    <row r="32" spans="1:14" x14ac:dyDescent="0.35">
      <c r="A32" s="138" t="s">
        <v>225</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281</v>
      </c>
    </row>
    <row r="33" spans="1:14" x14ac:dyDescent="0.35">
      <c r="A33" t="str">
        <f t="shared" ref="A33:A38" si="4">IF(A5="","","    "&amp;A5&amp;" Balance")</f>
        <v xml:space="preserve">    Upper Basin Balance</v>
      </c>
      <c r="B33" s="89">
        <f>B19-B21</f>
        <v>1.2734237500000001</v>
      </c>
      <c r="C33" s="87" t="str">
        <f>IF(OR(C$28="",$A33=""),"",B33)</f>
        <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59"/>
    </row>
    <row r="34" spans="1:14" x14ac:dyDescent="0.35">
      <c r="A34" t="str">
        <f t="shared" si="4"/>
        <v xml:space="preserve">    Lower Basin Balance</v>
      </c>
      <c r="B34" s="89">
        <f>C19-C21-B35</f>
        <v>3.1614070000000001</v>
      </c>
      <c r="C34" s="87" t="str">
        <f t="shared" ref="C34:C38" si="7">IF(OR(C$28="",$A34=""),"",B34)</f>
        <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59"/>
    </row>
    <row r="35" spans="1:14" x14ac:dyDescent="0.35">
      <c r="A35" t="str">
        <f t="shared" si="4"/>
        <v xml:space="preserve">    Mexico Balance</v>
      </c>
      <c r="B35" s="90">
        <v>0.17399999999999999</v>
      </c>
      <c r="C35" s="88" t="str">
        <f t="shared" si="7"/>
        <v/>
      </c>
      <c r="D35" s="36" t="str">
        <f t="shared" si="5"/>
        <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59"/>
    </row>
    <row r="36" spans="1:14" x14ac:dyDescent="0.35">
      <c r="A36" t="str">
        <f t="shared" si="4"/>
        <v xml:space="preserve">    Colorado River Delta Balance</v>
      </c>
      <c r="B36" s="89">
        <v>0</v>
      </c>
      <c r="C36" s="87" t="str">
        <f t="shared" si="7"/>
        <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59"/>
    </row>
    <row r="37" spans="1:14" x14ac:dyDescent="0.35">
      <c r="A37" t="str">
        <f t="shared" si="4"/>
        <v xml:space="preserve">    First Nations Balance</v>
      </c>
      <c r="B37" s="89">
        <f>IF(A37&lt;&gt;"",0,"")</f>
        <v>0</v>
      </c>
      <c r="C37" s="87"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59"/>
    </row>
    <row r="38" spans="1:14" x14ac:dyDescent="0.35">
      <c r="A38" t="str">
        <f t="shared" si="4"/>
        <v xml:space="preserve">    Shared, Reserve Balance</v>
      </c>
      <c r="B38" s="89">
        <f>SUM(B21:C21)</f>
        <v>11.59116925</v>
      </c>
      <c r="C38" s="87" t="str">
        <f t="shared" si="7"/>
        <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59"/>
    </row>
    <row r="39" spans="1:14" x14ac:dyDescent="0.35">
      <c r="A39" s="1" t="s">
        <v>235</v>
      </c>
      <c r="C39"/>
      <c r="N39" s="158" t="s">
        <v>301</v>
      </c>
    </row>
    <row r="40" spans="1:14" x14ac:dyDescent="0.35">
      <c r="A40" t="s">
        <v>83</v>
      </c>
      <c r="C40" s="13" t="str">
        <f>IF(C$28&lt;&gt;"",IF(COLUMN(C27)=COLUMN($C27),$B$19,B133),"")</f>
        <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59"/>
    </row>
    <row r="41" spans="1:14" x14ac:dyDescent="0.35">
      <c r="A41" t="s">
        <v>84</v>
      </c>
      <c r="C41" s="13" t="str">
        <f>IF(C$28&lt;&gt;"",IF(COLUMN(C28)=COLUMN($C28),$C$19,B134),"")</f>
        <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59"/>
    </row>
    <row r="42" spans="1:14" x14ac:dyDescent="0.35">
      <c r="A42" s="1" t="s">
        <v>226</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282</v>
      </c>
    </row>
    <row r="43" spans="1:14" x14ac:dyDescent="0.35">
      <c r="A43" t="str">
        <f t="shared" ref="A43:A48" si="11">IF(A5="","","    "&amp;A5&amp;" Share")</f>
        <v xml:space="preserve">    Upper Basin Share</v>
      </c>
      <c r="B43" s="1"/>
      <c r="C43" s="13" t="str">
        <f t="shared" ref="C43:L43" si="12">IF(OR(C$28="",$A43=""),"",C$42*C33/C$32)</f>
        <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59"/>
    </row>
    <row r="44" spans="1:14" x14ac:dyDescent="0.35">
      <c r="A44" t="str">
        <f t="shared" si="11"/>
        <v xml:space="preserve">    Lower Basin Share</v>
      </c>
      <c r="B44" s="1"/>
      <c r="C44" s="13" t="str">
        <f t="shared" ref="C44:L44" si="13">IF(OR(C$28="",$A44=""),"",C$42*C34/C$32)</f>
        <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59"/>
    </row>
    <row r="45" spans="1:14" x14ac:dyDescent="0.35">
      <c r="A45" t="str">
        <f t="shared" si="11"/>
        <v xml:space="preserve">    Mexico Share</v>
      </c>
      <c r="B45" s="1"/>
      <c r="C45" s="13" t="str">
        <f t="shared" ref="C45:L45" si="14">IF(OR(C$28="",$A45=""),"",C$42*C35/C$32)</f>
        <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59"/>
    </row>
    <row r="46" spans="1:14" x14ac:dyDescent="0.35">
      <c r="A46" t="str">
        <f t="shared" si="11"/>
        <v xml:space="preserve">    Colorado River Delta Share</v>
      </c>
      <c r="B46" s="1"/>
      <c r="C46" s="13" t="str">
        <f t="shared" ref="C46:L46" si="15">IF(OR(C$28="",$A46=""),"",C$42*C36/C$32)</f>
        <v/>
      </c>
      <c r="D46" s="13" t="str">
        <f t="shared" si="15"/>
        <v/>
      </c>
      <c r="E46" s="13" t="str">
        <f t="shared" si="15"/>
        <v/>
      </c>
      <c r="F46" s="13" t="str">
        <f t="shared" si="15"/>
        <v/>
      </c>
      <c r="G46" s="13" t="str">
        <f t="shared" si="15"/>
        <v/>
      </c>
      <c r="H46" s="13" t="str">
        <f t="shared" si="15"/>
        <v/>
      </c>
      <c r="I46" s="13" t="str">
        <f t="shared" si="15"/>
        <v/>
      </c>
      <c r="J46" s="13" t="str">
        <f t="shared" si="15"/>
        <v/>
      </c>
      <c r="K46" s="13" t="str">
        <f t="shared" si="15"/>
        <v/>
      </c>
      <c r="L46" s="13" t="str">
        <f t="shared" si="15"/>
        <v/>
      </c>
      <c r="N46" s="159"/>
    </row>
    <row r="47" spans="1:14" x14ac:dyDescent="0.35">
      <c r="A47" t="str">
        <f t="shared" si="11"/>
        <v xml:space="preserve">    First Nations Share</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59"/>
    </row>
    <row r="48" spans="1:14" x14ac:dyDescent="0.35">
      <c r="A48" t="str">
        <f t="shared" si="11"/>
        <v xml:space="preserve">    Shared, Reserve Share</v>
      </c>
      <c r="B48" s="1"/>
      <c r="C48" s="13" t="str">
        <f t="shared" ref="C48:L48" si="17">IF(OR(C$28="",$A48=""),"",C$42*C38/C$32)</f>
        <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59"/>
    </row>
    <row r="49" spans="1:16" x14ac:dyDescent="0.35">
      <c r="A49" s="1" t="s">
        <v>227</v>
      </c>
      <c r="B49" s="54"/>
      <c r="C49" s="33" t="str">
        <f>IF(C$28&lt;&gt;"",1.5-0.21/9/2-VLOOKUP(C41,MandatoryConservation!$C$5:$P$13,13),"")</f>
        <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8" t="s">
        <v>283</v>
      </c>
    </row>
    <row r="50" spans="1:16" x14ac:dyDescent="0.35">
      <c r="A50" s="138" t="s">
        <v>255</v>
      </c>
      <c r="B50" s="1"/>
      <c r="C50" s="13" t="str">
        <f>IF(C28="","",SUM(C28:C30))</f>
        <v/>
      </c>
      <c r="D50" s="13" t="str">
        <f t="shared" ref="D50:L50" si="18">IF(D28="","",SUM(D28:D30))</f>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156" t="s">
        <v>284</v>
      </c>
      <c r="P50" t="s">
        <v>305</v>
      </c>
    </row>
    <row r="51" spans="1:16" x14ac:dyDescent="0.35">
      <c r="A51" t="str">
        <f t="shared" ref="A51:A56" si="19">IF(A5="","","    To "&amp;A5)</f>
        <v xml:space="preserve">    To Upper Basin</v>
      </c>
      <c r="B51" s="105" t="s">
        <v>315</v>
      </c>
      <c r="C51" s="87" t="str">
        <f>IF(OR(C$28="",$A52=""),"",MAX(0,MAX(0,C50-SUM(C52:C57))))</f>
        <v/>
      </c>
      <c r="D51" s="87" t="str">
        <f t="shared" ref="D51:L51" si="20">IF(OR(D$28="",$A52=""),"",MAX(0,MAX(0,D50-SUM(D52:D57))))</f>
        <v/>
      </c>
      <c r="E51" s="87" t="str">
        <f t="shared" si="20"/>
        <v/>
      </c>
      <c r="F51" s="87" t="str">
        <f t="shared" si="20"/>
        <v/>
      </c>
      <c r="G51" s="87" t="str">
        <f t="shared" si="20"/>
        <v/>
      </c>
      <c r="H51" s="87" t="str">
        <f t="shared" si="20"/>
        <v/>
      </c>
      <c r="I51" s="87" t="str">
        <f t="shared" si="20"/>
        <v/>
      </c>
      <c r="J51" s="87" t="str">
        <f t="shared" si="20"/>
        <v/>
      </c>
      <c r="K51" s="87" t="str">
        <f t="shared" si="20"/>
        <v/>
      </c>
      <c r="L51" s="87" t="str">
        <f t="shared" si="20"/>
        <v/>
      </c>
      <c r="M51" s="19"/>
      <c r="N51" s="160"/>
      <c r="P51" s="87" t="str">
        <f>IF(OR(P$28="",$A51=""),"",MAX(P28-($B$24)-P56*$B$21/SUM($B$21:$C$21),0))</f>
        <v/>
      </c>
    </row>
    <row r="52" spans="1:16" x14ac:dyDescent="0.35">
      <c r="A52" t="str">
        <f t="shared" si="19"/>
        <v xml:space="preserve">    To Lower Basin</v>
      </c>
      <c r="B52" s="106">
        <f>7.5-IF($A$9="",0,0.95)-IF(C57="",0.6,C57)*IF($A$9="",(7.2/8.7),(7.2-0.95)/8.7)</f>
        <v>6.1189655172413788</v>
      </c>
      <c r="C52" s="87" t="str">
        <f>IF(OR(C$28="",$A52=""),"",MAX(0,MIN($B$52,C28-SUM(C53/2,C54/4,C55,C56/2,C57)-MAX(0,MIN($B$25,C28-SUM(C56/2,C54/4,C53/2,1.06))))))</f>
        <v/>
      </c>
      <c r="D52" s="87" t="str">
        <f t="shared" ref="D52:L52" si="21">IF(OR(D$28="",$A52=""),"",MAX(0,MIN($B$52,D28-SUM(D53/2,D54/4,D55,D56/2,D57)-MAX(0,MIN($B$25,D28-SUM(D56/2,D54/4,D53/2,1.06))))))</f>
        <v/>
      </c>
      <c r="E52" s="87" t="str">
        <f t="shared" si="21"/>
        <v/>
      </c>
      <c r="F52" s="87" t="str">
        <f t="shared" si="21"/>
        <v/>
      </c>
      <c r="G52" s="87" t="str">
        <f t="shared" si="21"/>
        <v/>
      </c>
      <c r="H52" s="87" t="str">
        <f t="shared" si="21"/>
        <v/>
      </c>
      <c r="I52" s="87" t="str">
        <f t="shared" si="21"/>
        <v/>
      </c>
      <c r="J52" s="87" t="str">
        <f t="shared" si="21"/>
        <v/>
      </c>
      <c r="K52" s="87" t="str">
        <f t="shared" si="21"/>
        <v/>
      </c>
      <c r="L52" s="87" t="str">
        <f t="shared" si="21"/>
        <v/>
      </c>
      <c r="M52" s="19"/>
      <c r="N52" s="160"/>
      <c r="P52" s="87" t="str">
        <f>IF(OR(P$28="",$A52=""),"",P29+P30-P31-P56*$C$21/SUM($B$21:$C$21)-P53+MIN($B$24,P28))</f>
        <v/>
      </c>
    </row>
    <row r="53" spans="1:16" x14ac:dyDescent="0.35">
      <c r="A53" t="str">
        <f t="shared" si="19"/>
        <v xml:space="preserve">    To Mexico</v>
      </c>
      <c r="B53" s="106" t="s">
        <v>206</v>
      </c>
      <c r="C53" s="88" t="str">
        <f>IF(OR(C$28="",$A53=""),"",MIN(C49-C54/2,C$50-SUM(C54:C57))-C57*(1.5/8.7))</f>
        <v/>
      </c>
      <c r="D53" s="88" t="str">
        <f t="shared" ref="D53:L53" si="22">IF(OR(D$28="",$A53=""),"",MIN(D49-D54/2,D$50-SUM(D54:D57))-D57*(1.5/8.7))</f>
        <v/>
      </c>
      <c r="E53" s="88" t="str">
        <f t="shared" si="22"/>
        <v/>
      </c>
      <c r="F53" s="88" t="str">
        <f t="shared" si="22"/>
        <v/>
      </c>
      <c r="G53" s="88" t="str">
        <f t="shared" si="22"/>
        <v/>
      </c>
      <c r="H53" s="88" t="str">
        <f t="shared" si="22"/>
        <v/>
      </c>
      <c r="I53" s="88" t="str">
        <f t="shared" si="22"/>
        <v/>
      </c>
      <c r="J53" s="88" t="str">
        <f t="shared" si="22"/>
        <v/>
      </c>
      <c r="K53" s="88" t="str">
        <f t="shared" si="22"/>
        <v/>
      </c>
      <c r="L53" s="88" t="str">
        <f t="shared" si="22"/>
        <v/>
      </c>
      <c r="M53" s="19"/>
      <c r="N53" s="160"/>
    </row>
    <row r="54" spans="1:16" x14ac:dyDescent="0.35">
      <c r="A54" t="str">
        <f t="shared" si="19"/>
        <v xml:space="preserve">    To Colorado River Delta</v>
      </c>
      <c r="B54" s="115">
        <f>0.21/9*(2/3)</f>
        <v>1.5555555555555553E-2</v>
      </c>
      <c r="C54" s="116" t="str">
        <f>IF(OR(C$28="",$A54=""),"",MIN($B54,C$50-SUM(C55:C56)))</f>
        <v/>
      </c>
      <c r="D54" s="116" t="str">
        <f t="shared" ref="D54:L54" si="23">IF(OR(D$28="",$A54=""),"",MIN($B54,D$50-SUM(D55:D56)))</f>
        <v/>
      </c>
      <c r="E54" s="116" t="str">
        <f t="shared" si="23"/>
        <v/>
      </c>
      <c r="F54" s="116" t="str">
        <f t="shared" si="23"/>
        <v/>
      </c>
      <c r="G54" s="116" t="str">
        <f t="shared" si="23"/>
        <v/>
      </c>
      <c r="H54" s="116" t="str">
        <f t="shared" si="23"/>
        <v/>
      </c>
      <c r="I54" s="116" t="str">
        <f t="shared" si="23"/>
        <v/>
      </c>
      <c r="J54" s="116" t="str">
        <f t="shared" si="23"/>
        <v/>
      </c>
      <c r="K54" s="116" t="str">
        <f t="shared" si="23"/>
        <v/>
      </c>
      <c r="L54" s="116" t="str">
        <f t="shared" si="23"/>
        <v/>
      </c>
      <c r="M54" s="19"/>
      <c r="N54" s="160"/>
    </row>
    <row r="55" spans="1:16" x14ac:dyDescent="0.35">
      <c r="A55" t="str">
        <f t="shared" si="19"/>
        <v xml:space="preserve">    To First Nations</v>
      </c>
      <c r="B55" s="106">
        <f>IF($A$9&lt;&gt;"",2.01,"")</f>
        <v>2.0099999999999998</v>
      </c>
      <c r="C55" s="87" t="str">
        <f>IF(OR(C$28="",$A55=""),"",MIN($B55,C$50-SUM(C56:C57))-C57*0.95/8.7)</f>
        <v/>
      </c>
      <c r="D55" s="87" t="str">
        <f t="shared" ref="D55:L55" si="24">IF(OR(D$28="",$A55=""),"",MIN($B55,D$50-SUM(D56:D57))-D57*0.95/8.7)</f>
        <v/>
      </c>
      <c r="E55" s="87" t="str">
        <f t="shared" si="24"/>
        <v/>
      </c>
      <c r="F55" s="87" t="str">
        <f t="shared" si="24"/>
        <v/>
      </c>
      <c r="G55" s="87" t="str">
        <f t="shared" si="24"/>
        <v/>
      </c>
      <c r="H55" s="87" t="str">
        <f t="shared" si="24"/>
        <v/>
      </c>
      <c r="I55" s="87" t="str">
        <f t="shared" si="24"/>
        <v/>
      </c>
      <c r="J55" s="87" t="str">
        <f t="shared" si="24"/>
        <v/>
      </c>
      <c r="K55" s="87" t="str">
        <f t="shared" si="24"/>
        <v/>
      </c>
      <c r="L55" s="87" t="str">
        <f t="shared" si="24"/>
        <v/>
      </c>
      <c r="M55" s="19"/>
      <c r="N55" s="160"/>
    </row>
    <row r="56" spans="1:16" x14ac:dyDescent="0.35">
      <c r="A56" t="str">
        <f t="shared" si="19"/>
        <v xml:space="preserve">    To Shared, Reserve</v>
      </c>
      <c r="B56" s="106" t="s">
        <v>214</v>
      </c>
      <c r="C56" s="170" t="str">
        <f>IF(OR(C$28="",$A56=""),"",IF(C$50&gt;C48,C48,C50))</f>
        <v/>
      </c>
      <c r="D56" s="170" t="str">
        <f t="shared" ref="D56:L56" si="25">IF(OR(D$28="",$A56=""),"",IF(D$50&gt;D48,D48,D50))</f>
        <v/>
      </c>
      <c r="E56" s="170" t="str">
        <f t="shared" si="25"/>
        <v/>
      </c>
      <c r="F56" s="170" t="str">
        <f t="shared" si="25"/>
        <v/>
      </c>
      <c r="G56" s="170" t="str">
        <f t="shared" si="25"/>
        <v/>
      </c>
      <c r="H56" s="170" t="str">
        <f t="shared" si="25"/>
        <v/>
      </c>
      <c r="I56" s="170" t="str">
        <f t="shared" si="25"/>
        <v/>
      </c>
      <c r="J56" s="170" t="str">
        <f t="shared" si="25"/>
        <v/>
      </c>
      <c r="K56" s="170" t="str">
        <f t="shared" si="25"/>
        <v/>
      </c>
      <c r="L56" s="170" t="str">
        <f t="shared" si="25"/>
        <v/>
      </c>
      <c r="M56" s="19"/>
      <c r="N56" s="160"/>
    </row>
    <row r="57" spans="1:16" x14ac:dyDescent="0.35">
      <c r="A57" t="str">
        <f>IF(A31="","","    To "&amp;A31)</f>
        <v xml:space="preserve">    To Havasu / Parker evaporation and ET</v>
      </c>
      <c r="B57" s="169" t="s">
        <v>316</v>
      </c>
      <c r="C57" s="171" t="str">
        <f>IF(OR(C$28="",$A57=""),"",MIN(C31,C50-C56))</f>
        <v/>
      </c>
      <c r="D57" s="171" t="str">
        <f t="shared" ref="D57:L57" si="26">IF(OR(D$28="",$A57=""),"",MIN(D31,D50-D56))</f>
        <v/>
      </c>
      <c r="E57" s="171" t="str">
        <f t="shared" si="26"/>
        <v/>
      </c>
      <c r="F57" s="171" t="str">
        <f t="shared" si="26"/>
        <v/>
      </c>
      <c r="G57" s="171" t="str">
        <f t="shared" si="26"/>
        <v/>
      </c>
      <c r="H57" s="171" t="str">
        <f t="shared" si="26"/>
        <v/>
      </c>
      <c r="I57" s="171" t="str">
        <f t="shared" si="26"/>
        <v/>
      </c>
      <c r="J57" s="171" t="str">
        <f t="shared" si="26"/>
        <v/>
      </c>
      <c r="K57" s="171" t="str">
        <f t="shared" si="26"/>
        <v/>
      </c>
      <c r="L57" s="171" t="str">
        <f t="shared" si="26"/>
        <v/>
      </c>
      <c r="M57" s="19"/>
      <c r="N57" s="160"/>
    </row>
    <row r="58" spans="1:16" x14ac:dyDescent="0.35">
      <c r="B58" s="20"/>
      <c r="C58" s="19"/>
      <c r="D58" s="19"/>
      <c r="E58" s="19"/>
      <c r="F58" s="129"/>
      <c r="G58" s="30"/>
      <c r="N58" s="159"/>
    </row>
    <row r="59" spans="1:16" x14ac:dyDescent="0.35">
      <c r="A59" s="112" t="s">
        <v>256</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285</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286</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287</v>
      </c>
    </row>
    <row r="63" spans="1:16" x14ac:dyDescent="0.35">
      <c r="A63" s="21" t="str">
        <f>IF(A62="","","   Net trade volume all players (should be zero)")</f>
        <v xml:space="preserve">   Net trade volume all players (should be zero)</v>
      </c>
      <c r="C63" s="48" t="str">
        <f t="shared" ref="C63:M63" si="27">IF(OR(C$28="",$A63=""),"",C$116)</f>
        <v/>
      </c>
      <c r="D63" s="48" t="str">
        <f t="shared" si="27"/>
        <v/>
      </c>
      <c r="E63" s="48" t="str">
        <f t="shared" si="27"/>
        <v/>
      </c>
      <c r="F63" s="48" t="str">
        <f t="shared" si="27"/>
        <v/>
      </c>
      <c r="G63" s="48" t="str">
        <f t="shared" si="27"/>
        <v/>
      </c>
      <c r="H63" s="48" t="str">
        <f t="shared" si="27"/>
        <v/>
      </c>
      <c r="I63" s="48" t="str">
        <f t="shared" si="27"/>
        <v/>
      </c>
      <c r="J63" s="48" t="str">
        <f t="shared" si="27"/>
        <v/>
      </c>
      <c r="K63" s="48" t="str">
        <f t="shared" si="27"/>
        <v/>
      </c>
      <c r="L63" s="48" t="str">
        <f t="shared" si="27"/>
        <v/>
      </c>
      <c r="M63" t="str">
        <f t="shared" si="27"/>
        <v/>
      </c>
      <c r="N63" s="158" t="s">
        <v>288</v>
      </c>
    </row>
    <row r="64" spans="1:16" x14ac:dyDescent="0.35">
      <c r="A64" s="1" t="str">
        <f>IF(A62="","","   Available Water [maf]")</f>
        <v xml:space="preserve">   Available Water [maf]</v>
      </c>
      <c r="C64" s="13" t="str">
        <f>IF(OR(C$28="",$A64=""),"",C33+C51-C43+C61)</f>
        <v/>
      </c>
      <c r="D64" s="13" t="str">
        <f t="shared" ref="D64:L64" si="28">IF(OR(D$28="",$A64=""),"",D33+D51-D43+D61)</f>
        <v/>
      </c>
      <c r="E64" s="13" t="str">
        <f t="shared" si="28"/>
        <v/>
      </c>
      <c r="F64" s="13" t="str">
        <f t="shared" si="28"/>
        <v/>
      </c>
      <c r="G64" s="13" t="str">
        <f t="shared" si="28"/>
        <v/>
      </c>
      <c r="H64" s="13" t="str">
        <f t="shared" si="28"/>
        <v/>
      </c>
      <c r="I64" s="13" t="str">
        <f t="shared" si="28"/>
        <v/>
      </c>
      <c r="J64" s="13" t="str">
        <f t="shared" si="28"/>
        <v/>
      </c>
      <c r="K64" s="13" t="str">
        <f t="shared" si="28"/>
        <v/>
      </c>
      <c r="L64" s="13" t="str">
        <f t="shared" si="28"/>
        <v/>
      </c>
      <c r="N64" s="158" t="s">
        <v>289</v>
      </c>
    </row>
    <row r="65" spans="1:14" x14ac:dyDescent="0.35">
      <c r="A65" s="138" t="str">
        <f>IF(A64="","","   Enter withdraw [maf] within available water")</f>
        <v xml:space="preserve">   Enter withdraw [maf] within available water</v>
      </c>
      <c r="C65" s="104"/>
      <c r="D65" s="104"/>
      <c r="E65" s="104"/>
      <c r="F65" s="104"/>
      <c r="G65" s="104"/>
      <c r="H65" s="104"/>
      <c r="I65" s="104"/>
      <c r="J65" s="104"/>
      <c r="K65" s="104"/>
      <c r="L65" s="104"/>
      <c r="N65" s="158" t="s">
        <v>302</v>
      </c>
    </row>
    <row r="66" spans="1:14" x14ac:dyDescent="0.35">
      <c r="A66" s="21" t="str">
        <f>IF(A65="","","   End of Year Balance [maf]")</f>
        <v xml:space="preserve">   End of Year Balance [maf]</v>
      </c>
      <c r="C66" s="47" t="str">
        <f>IF(OR(C$28="",$A66=""),"",C64-C65)</f>
        <v/>
      </c>
      <c r="D66" s="47" t="str">
        <f t="shared" ref="D66:L66" si="29">IF(OR(D$28="",$A66=""),"",D64-D65)</f>
        <v/>
      </c>
      <c r="E66" s="47" t="str">
        <f t="shared" si="29"/>
        <v/>
      </c>
      <c r="F66" s="47" t="str">
        <f t="shared" si="29"/>
        <v/>
      </c>
      <c r="G66" s="47" t="str">
        <f t="shared" si="29"/>
        <v/>
      </c>
      <c r="H66" s="47" t="str">
        <f t="shared" si="29"/>
        <v/>
      </c>
      <c r="I66" s="47" t="str">
        <f t="shared" si="29"/>
        <v/>
      </c>
      <c r="J66" s="47" t="str">
        <f t="shared" si="29"/>
        <v/>
      </c>
      <c r="K66" s="47" t="str">
        <f t="shared" si="29"/>
        <v/>
      </c>
      <c r="L66" s="47" t="str">
        <f t="shared" si="29"/>
        <v/>
      </c>
      <c r="N66" s="158" t="s">
        <v>290</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285</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161" t="s">
        <v>286</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287</v>
      </c>
    </row>
    <row r="71" spans="1:14" x14ac:dyDescent="0.35">
      <c r="A71" s="145" t="str">
        <f>IF(A70="","",$A$63)</f>
        <v xml:space="preserve">   Net trade volume all players (should be zero)</v>
      </c>
      <c r="C71" s="48" t="str">
        <f t="shared" ref="C71:M71" si="30">IF(OR(C$28="",$A71=""),"",C$116)</f>
        <v/>
      </c>
      <c r="D71" s="48" t="str">
        <f t="shared" si="30"/>
        <v/>
      </c>
      <c r="E71" s="48" t="str">
        <f t="shared" si="30"/>
        <v/>
      </c>
      <c r="F71" s="48" t="str">
        <f t="shared" si="30"/>
        <v/>
      </c>
      <c r="G71" s="48" t="str">
        <f t="shared" si="30"/>
        <v/>
      </c>
      <c r="H71" s="48" t="str">
        <f t="shared" si="30"/>
        <v/>
      </c>
      <c r="I71" s="48" t="str">
        <f t="shared" si="30"/>
        <v/>
      </c>
      <c r="J71" s="48" t="str">
        <f t="shared" si="30"/>
        <v/>
      </c>
      <c r="K71" s="48" t="str">
        <f t="shared" si="30"/>
        <v/>
      </c>
      <c r="L71" s="48" t="str">
        <f t="shared" si="30"/>
        <v/>
      </c>
      <c r="M71" t="str">
        <f t="shared" si="30"/>
        <v/>
      </c>
      <c r="N71" s="158" t="s">
        <v>288</v>
      </c>
    </row>
    <row r="72" spans="1:14" x14ac:dyDescent="0.35">
      <c r="A72" s="1" t="str">
        <f>IF(A70="","","   Available Water [maf]")</f>
        <v xml:space="preserve">   Available Water [maf]</v>
      </c>
      <c r="C72" s="13" t="str">
        <f>IF(OR(C$28="",$A72=""),"",C34+C52-C44+C69)</f>
        <v/>
      </c>
      <c r="D72" s="13" t="str">
        <f t="shared" ref="D72:L72" si="31">IF(OR(D$28="",$A72=""),"",D34+D52-D44+D69)</f>
        <v/>
      </c>
      <c r="E72" s="13" t="str">
        <f t="shared" si="31"/>
        <v/>
      </c>
      <c r="F72" s="13" t="str">
        <f t="shared" si="31"/>
        <v/>
      </c>
      <c r="G72" s="13" t="str">
        <f t="shared" si="31"/>
        <v/>
      </c>
      <c r="H72" s="13" t="str">
        <f t="shared" si="31"/>
        <v/>
      </c>
      <c r="I72" s="13" t="str">
        <f t="shared" si="31"/>
        <v/>
      </c>
      <c r="J72" s="13" t="str">
        <f t="shared" si="31"/>
        <v/>
      </c>
      <c r="K72" s="13" t="str">
        <f t="shared" si="31"/>
        <v/>
      </c>
      <c r="L72" s="13" t="str">
        <f t="shared" si="31"/>
        <v/>
      </c>
      <c r="N72" s="158" t="s">
        <v>289</v>
      </c>
    </row>
    <row r="73" spans="1:14" x14ac:dyDescent="0.35">
      <c r="A73" s="138" t="str">
        <f>IF(A72="","",$A$65)</f>
        <v xml:space="preserve">   Enter withdraw [maf] within available water</v>
      </c>
      <c r="C73" s="104"/>
      <c r="D73" s="104"/>
      <c r="E73" s="104"/>
      <c r="F73" s="104"/>
      <c r="G73" s="104"/>
      <c r="H73" s="104"/>
      <c r="I73" s="104"/>
      <c r="J73" s="104"/>
      <c r="K73" s="104"/>
      <c r="L73" s="104"/>
      <c r="N73" s="158" t="s">
        <v>302</v>
      </c>
    </row>
    <row r="74" spans="1:14" x14ac:dyDescent="0.35">
      <c r="A74" s="21" t="str">
        <f>IF(A73="","","   End of Year Balance [maf]")</f>
        <v xml:space="preserve">   End of Year Balance [maf]</v>
      </c>
      <c r="C74" s="47" t="str">
        <f>IF(OR(C$28="",$A74=""),"",C72-C73)</f>
        <v/>
      </c>
      <c r="D74" s="47" t="str">
        <f t="shared" ref="D74:L74" si="32">IF(OR(D$28="",$A74=""),"",D72-D73)</f>
        <v/>
      </c>
      <c r="E74" s="47" t="str">
        <f t="shared" si="32"/>
        <v/>
      </c>
      <c r="F74" s="47" t="str">
        <f t="shared" si="32"/>
        <v/>
      </c>
      <c r="G74" s="47" t="str">
        <f t="shared" si="32"/>
        <v/>
      </c>
      <c r="H74" s="47" t="str">
        <f t="shared" si="32"/>
        <v/>
      </c>
      <c r="I74" s="47" t="str">
        <f t="shared" si="32"/>
        <v/>
      </c>
      <c r="J74" s="47" t="str">
        <f t="shared" si="32"/>
        <v/>
      </c>
      <c r="K74" s="47" t="str">
        <f t="shared" si="32"/>
        <v/>
      </c>
      <c r="L74" s="47" t="str">
        <f t="shared" si="32"/>
        <v/>
      </c>
      <c r="N74" s="158" t="s">
        <v>290</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285</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286</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287</v>
      </c>
    </row>
    <row r="79" spans="1:14" x14ac:dyDescent="0.35">
      <c r="A79" s="145" t="str">
        <f>IF(A78="","",$A$63)</f>
        <v xml:space="preserve">   Net trade volume all players (should be zero)</v>
      </c>
      <c r="C79" s="48" t="str">
        <f t="shared" ref="C79:M79" si="33">IF(OR(C$28="",$A79=""),"",C$116)</f>
        <v/>
      </c>
      <c r="D79" s="48" t="str">
        <f t="shared" si="33"/>
        <v/>
      </c>
      <c r="E79" s="48" t="str">
        <f t="shared" si="33"/>
        <v/>
      </c>
      <c r="F79" s="48" t="str">
        <f t="shared" si="33"/>
        <v/>
      </c>
      <c r="G79" s="48" t="str">
        <f t="shared" si="33"/>
        <v/>
      </c>
      <c r="H79" s="48" t="str">
        <f t="shared" si="33"/>
        <v/>
      </c>
      <c r="I79" s="48" t="str">
        <f t="shared" si="33"/>
        <v/>
      </c>
      <c r="J79" s="48" t="str">
        <f t="shared" si="33"/>
        <v/>
      </c>
      <c r="K79" s="48" t="str">
        <f t="shared" si="33"/>
        <v/>
      </c>
      <c r="L79" s="48" t="str">
        <f t="shared" si="33"/>
        <v/>
      </c>
      <c r="M79" t="str">
        <f t="shared" si="33"/>
        <v/>
      </c>
      <c r="N79" s="158" t="s">
        <v>288</v>
      </c>
    </row>
    <row r="80" spans="1:14" x14ac:dyDescent="0.35">
      <c r="A80" s="1" t="str">
        <f>IF(A78="","","   Available Water [maf]")</f>
        <v xml:space="preserve">   Available Water [maf]</v>
      </c>
      <c r="C80" s="13" t="str">
        <f>IF(OR(C$28="",$A80=""),"",C35+C53-C45+C77)</f>
        <v/>
      </c>
      <c r="D80" s="13" t="str">
        <f t="shared" ref="D80:L80" si="34">IF(OR(D$28="",$A80=""),"",D35+D53-D45+D77)</f>
        <v/>
      </c>
      <c r="E80" s="13" t="str">
        <f t="shared" si="34"/>
        <v/>
      </c>
      <c r="F80" s="13" t="str">
        <f t="shared" si="34"/>
        <v/>
      </c>
      <c r="G80" s="13" t="str">
        <f t="shared" si="34"/>
        <v/>
      </c>
      <c r="H80" s="13" t="str">
        <f t="shared" si="34"/>
        <v/>
      </c>
      <c r="I80" s="13" t="str">
        <f t="shared" si="34"/>
        <v/>
      </c>
      <c r="J80" s="13" t="str">
        <f t="shared" si="34"/>
        <v/>
      </c>
      <c r="K80" s="13" t="str">
        <f t="shared" si="34"/>
        <v/>
      </c>
      <c r="L80" s="13" t="str">
        <f t="shared" si="34"/>
        <v/>
      </c>
      <c r="N80" s="158" t="s">
        <v>289</v>
      </c>
    </row>
    <row r="81" spans="1:14" x14ac:dyDescent="0.35">
      <c r="A81" s="138" t="str">
        <f>IF(A80="","",$A$65)</f>
        <v xml:space="preserve">   Enter withdraw [maf] within available water</v>
      </c>
      <c r="C81" s="104"/>
      <c r="D81" s="104"/>
      <c r="E81" s="104"/>
      <c r="F81" s="104"/>
      <c r="G81" s="104"/>
      <c r="H81" s="104"/>
      <c r="I81" s="104"/>
      <c r="J81" s="104"/>
      <c r="K81" s="104"/>
      <c r="L81" s="104"/>
      <c r="N81" s="158" t="s">
        <v>302</v>
      </c>
    </row>
    <row r="82" spans="1:14" x14ac:dyDescent="0.35">
      <c r="A82" s="21" t="str">
        <f>IF(A81="","","   End of Year Balance [maf]")</f>
        <v xml:space="preserve">   End of Year Balance [maf]</v>
      </c>
      <c r="C82" s="47" t="str">
        <f>IF(OR(C$28="",$A82=""),"",C80-C81)</f>
        <v/>
      </c>
      <c r="D82" s="47" t="str">
        <f t="shared" ref="D82:L82" si="35">IF(OR(D$28="",$A82=""),"",D80-D81)</f>
        <v/>
      </c>
      <c r="E82" s="47" t="str">
        <f t="shared" si="35"/>
        <v/>
      </c>
      <c r="F82" s="47" t="str">
        <f t="shared" si="35"/>
        <v/>
      </c>
      <c r="G82" s="47" t="str">
        <f t="shared" si="35"/>
        <v/>
      </c>
      <c r="H82" s="47" t="str">
        <f t="shared" si="35"/>
        <v/>
      </c>
      <c r="I82" s="47" t="str">
        <f t="shared" si="35"/>
        <v/>
      </c>
      <c r="J82" s="47" t="str">
        <f t="shared" si="35"/>
        <v/>
      </c>
      <c r="K82" s="47" t="str">
        <f t="shared" si="35"/>
        <v/>
      </c>
      <c r="L82" s="47" t="str">
        <f t="shared" si="35"/>
        <v/>
      </c>
      <c r="N82" s="158" t="s">
        <v>290</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285</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286</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287</v>
      </c>
    </row>
    <row r="87" spans="1:14" x14ac:dyDescent="0.35">
      <c r="A87" s="145" t="str">
        <f>IF(A86="","",$A$63)</f>
        <v xml:space="preserve">   Net trade volume all players (should be zero)</v>
      </c>
      <c r="C87" s="48" t="str">
        <f t="shared" ref="C87:M87" si="36">IF(OR(C$28="",$A87=""),"",C$116)</f>
        <v/>
      </c>
      <c r="D87" s="48" t="str">
        <f t="shared" si="36"/>
        <v/>
      </c>
      <c r="E87" s="48" t="str">
        <f t="shared" si="36"/>
        <v/>
      </c>
      <c r="F87" s="48" t="str">
        <f t="shared" si="36"/>
        <v/>
      </c>
      <c r="G87" s="48" t="str">
        <f t="shared" si="36"/>
        <v/>
      </c>
      <c r="H87" s="48" t="str">
        <f t="shared" si="36"/>
        <v/>
      </c>
      <c r="I87" s="48" t="str">
        <f t="shared" si="36"/>
        <v/>
      </c>
      <c r="J87" s="48" t="str">
        <f t="shared" si="36"/>
        <v/>
      </c>
      <c r="K87" s="48" t="str">
        <f t="shared" si="36"/>
        <v/>
      </c>
      <c r="L87" s="48" t="str">
        <f t="shared" si="36"/>
        <v/>
      </c>
      <c r="M87" t="str">
        <f t="shared" si="36"/>
        <v/>
      </c>
      <c r="N87" s="158" t="s">
        <v>288</v>
      </c>
    </row>
    <row r="88" spans="1:14" x14ac:dyDescent="0.35">
      <c r="A88" s="1" t="str">
        <f>IF(A86="","","   Available Water [maf]")</f>
        <v xml:space="preserve">   Available Water [maf]</v>
      </c>
      <c r="C88" s="130" t="str">
        <f>IF(OR(C$28="",$A88=""),"",C36+C54-C46+C85)</f>
        <v/>
      </c>
      <c r="D88" s="130" t="str">
        <f t="shared" ref="D88:L88" si="37">IF(OR(D$28="",$A88=""),"",D36+D54-D46+D85)</f>
        <v/>
      </c>
      <c r="E88" s="130" t="str">
        <f t="shared" si="37"/>
        <v/>
      </c>
      <c r="F88" s="130" t="str">
        <f t="shared" si="37"/>
        <v/>
      </c>
      <c r="G88" s="130" t="str">
        <f t="shared" si="37"/>
        <v/>
      </c>
      <c r="H88" s="130" t="str">
        <f t="shared" si="37"/>
        <v/>
      </c>
      <c r="I88" s="130" t="str">
        <f t="shared" si="37"/>
        <v/>
      </c>
      <c r="J88" s="130" t="str">
        <f t="shared" si="37"/>
        <v/>
      </c>
      <c r="K88" s="130" t="str">
        <f t="shared" si="37"/>
        <v/>
      </c>
      <c r="L88" s="130" t="str">
        <f t="shared" si="37"/>
        <v/>
      </c>
      <c r="N88" s="158" t="s">
        <v>289</v>
      </c>
    </row>
    <row r="89" spans="1:14" x14ac:dyDescent="0.35">
      <c r="A89" s="138" t="str">
        <f>IF(A88="","",$A$65)</f>
        <v xml:space="preserve">   Enter withdraw [maf] within available water</v>
      </c>
      <c r="C89" s="131"/>
      <c r="D89" s="131"/>
      <c r="E89" s="131"/>
      <c r="F89" s="131"/>
      <c r="G89" s="131"/>
      <c r="H89" s="131"/>
      <c r="I89" s="131"/>
      <c r="J89" s="131"/>
      <c r="K89" s="131"/>
      <c r="L89" s="131"/>
      <c r="N89" s="158" t="s">
        <v>302</v>
      </c>
    </row>
    <row r="90" spans="1:14" x14ac:dyDescent="0.35">
      <c r="A90" s="21" t="str">
        <f>IF(A89="","","   End of Year Balance [maf]")</f>
        <v xml:space="preserve">   End of Year Balance [maf]</v>
      </c>
      <c r="C90" s="47" t="str">
        <f>IF(OR(C$28="",$A90=""),"",C88-C89)</f>
        <v/>
      </c>
      <c r="D90" s="47" t="str">
        <f t="shared" ref="D90:L90" si="38">IF(OR(D$28="",$A90=""),"",D88-D89)</f>
        <v/>
      </c>
      <c r="E90" s="47" t="str">
        <f t="shared" si="38"/>
        <v/>
      </c>
      <c r="F90" s="47" t="str">
        <f t="shared" si="38"/>
        <v/>
      </c>
      <c r="G90" s="47" t="str">
        <f t="shared" si="38"/>
        <v/>
      </c>
      <c r="H90" s="47" t="str">
        <f t="shared" si="38"/>
        <v/>
      </c>
      <c r="I90" s="47" t="str">
        <f t="shared" si="38"/>
        <v/>
      </c>
      <c r="J90" s="47" t="str">
        <f t="shared" si="38"/>
        <v/>
      </c>
      <c r="K90" s="47" t="str">
        <f t="shared" si="38"/>
        <v/>
      </c>
      <c r="L90" s="47" t="str">
        <f t="shared" si="38"/>
        <v/>
      </c>
      <c r="N90" s="158" t="s">
        <v>290</v>
      </c>
    </row>
    <row r="91" spans="1:14" x14ac:dyDescent="0.35">
      <c r="C91"/>
      <c r="N91" s="159"/>
    </row>
    <row r="92" spans="1:14" x14ac:dyDescent="0.35">
      <c r="A92" s="132" t="str">
        <f>IF(A$9="","[Unused]",A9)</f>
        <v>First Nations</v>
      </c>
      <c r="B92" s="110"/>
      <c r="C92" s="110"/>
      <c r="D92" s="110"/>
      <c r="E92" s="110"/>
      <c r="F92" s="110"/>
      <c r="G92" s="110"/>
      <c r="H92" s="110"/>
      <c r="I92" s="110"/>
      <c r="J92" s="110"/>
      <c r="K92" s="110"/>
      <c r="L92" s="110"/>
      <c r="M92" s="111" t="s">
        <v>79</v>
      </c>
      <c r="N92" s="155" t="s">
        <v>285</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1" t="s">
        <v>286</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2" t="s">
        <v>287</v>
      </c>
    </row>
    <row r="95" spans="1:14" x14ac:dyDescent="0.35">
      <c r="A95" s="145" t="str">
        <f>IF(A94="","",$A$63)</f>
        <v xml:space="preserve">   Net trade volume all players (should be zero)</v>
      </c>
      <c r="C95" s="48" t="str">
        <f t="shared" ref="C95:M95" si="39">IF(OR(C$28="",$A95=""),"",C$116)</f>
        <v/>
      </c>
      <c r="D95" s="48" t="str">
        <f t="shared" si="39"/>
        <v/>
      </c>
      <c r="E95" s="48" t="str">
        <f t="shared" si="39"/>
        <v/>
      </c>
      <c r="F95" s="48" t="str">
        <f t="shared" si="39"/>
        <v/>
      </c>
      <c r="G95" s="48" t="str">
        <f t="shared" si="39"/>
        <v/>
      </c>
      <c r="H95" s="48" t="str">
        <f t="shared" si="39"/>
        <v/>
      </c>
      <c r="I95" s="48" t="str">
        <f t="shared" si="39"/>
        <v/>
      </c>
      <c r="J95" s="48" t="str">
        <f t="shared" si="39"/>
        <v/>
      </c>
      <c r="K95" s="48" t="str">
        <f t="shared" si="39"/>
        <v/>
      </c>
      <c r="L95" s="48" t="str">
        <f t="shared" si="39"/>
        <v/>
      </c>
      <c r="M95" t="str">
        <f t="shared" si="39"/>
        <v/>
      </c>
      <c r="N95" s="158" t="s">
        <v>288</v>
      </c>
    </row>
    <row r="96" spans="1:14" x14ac:dyDescent="0.35">
      <c r="A96" s="1" t="str">
        <f>IF(A94="","","   Available Water [maf]")</f>
        <v xml:space="preserve">   Available Water [maf]</v>
      </c>
      <c r="C96" s="13" t="str">
        <f>IF(OR(C$28="",$A96=""),"",C37+C55-C47+C93)</f>
        <v/>
      </c>
      <c r="D96" s="13" t="str">
        <f t="shared" ref="D96:L96" si="40">IF(OR(D$28="",$A96=""),"",D37+D55-D47+D93)</f>
        <v/>
      </c>
      <c r="E96" s="13" t="str">
        <f t="shared" si="40"/>
        <v/>
      </c>
      <c r="F96" s="13" t="str">
        <f t="shared" si="40"/>
        <v/>
      </c>
      <c r="G96" s="13" t="str">
        <f t="shared" si="40"/>
        <v/>
      </c>
      <c r="H96" s="13" t="str">
        <f t="shared" si="40"/>
        <v/>
      </c>
      <c r="I96" s="13" t="str">
        <f t="shared" si="40"/>
        <v/>
      </c>
      <c r="J96" s="13" t="str">
        <f t="shared" si="40"/>
        <v/>
      </c>
      <c r="K96" s="13" t="str">
        <f t="shared" si="40"/>
        <v/>
      </c>
      <c r="L96" s="13" t="str">
        <f t="shared" si="40"/>
        <v/>
      </c>
      <c r="N96" s="158" t="s">
        <v>289</v>
      </c>
    </row>
    <row r="97" spans="1:14" x14ac:dyDescent="0.35">
      <c r="A97" s="138" t="str">
        <f>IF(A96="","",$A$65)</f>
        <v xml:space="preserve">   Enter withdraw [maf] within available water</v>
      </c>
      <c r="C97" s="104"/>
      <c r="D97" s="104"/>
      <c r="E97" s="104"/>
      <c r="F97" s="104"/>
      <c r="G97" s="104"/>
      <c r="H97" s="104"/>
      <c r="I97" s="104"/>
      <c r="J97" s="104"/>
      <c r="K97" s="104"/>
      <c r="L97" s="104"/>
      <c r="N97" s="158" t="s">
        <v>302</v>
      </c>
    </row>
    <row r="98" spans="1:14" x14ac:dyDescent="0.35">
      <c r="A98" s="21" t="str">
        <f>IF(A97="","","   End of Year Balance [maf]")</f>
        <v xml:space="preserve">   End of Year Balance [maf]</v>
      </c>
      <c r="C98" s="47" t="str">
        <f>IF(OR(C$28="",$A98=""),"",C96-C97)</f>
        <v/>
      </c>
      <c r="D98" s="47" t="str">
        <f t="shared" ref="D98:L98" si="41">IF(OR(D$28="",$A98=""),"",D96-D97)</f>
        <v/>
      </c>
      <c r="E98" s="47" t="str">
        <f t="shared" si="41"/>
        <v/>
      </c>
      <c r="F98" s="47" t="str">
        <f t="shared" si="41"/>
        <v/>
      </c>
      <c r="G98" s="47" t="str">
        <f t="shared" si="41"/>
        <v/>
      </c>
      <c r="H98" s="47" t="str">
        <f t="shared" si="41"/>
        <v/>
      </c>
      <c r="I98" s="47" t="str">
        <f t="shared" si="41"/>
        <v/>
      </c>
      <c r="J98" s="47" t="str">
        <f t="shared" si="41"/>
        <v/>
      </c>
      <c r="K98" s="47" t="str">
        <f t="shared" si="41"/>
        <v/>
      </c>
      <c r="L98" s="47" t="str">
        <f t="shared" si="41"/>
        <v/>
      </c>
      <c r="N98" s="158" t="s">
        <v>290</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300</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players (should be zero)</v>
      </c>
      <c r="C103" s="48" t="str">
        <f t="shared" ref="C103:M103" si="42">IF(OR(C$28="",$A103=""),"",C$116)</f>
        <v/>
      </c>
      <c r="D103" s="48" t="str">
        <f t="shared" si="42"/>
        <v/>
      </c>
      <c r="E103" s="48" t="str">
        <f t="shared" si="42"/>
        <v/>
      </c>
      <c r="F103" s="48" t="str">
        <f t="shared" si="42"/>
        <v/>
      </c>
      <c r="G103" s="48" t="str">
        <f t="shared" si="42"/>
        <v/>
      </c>
      <c r="H103" s="48" t="str">
        <f t="shared" si="42"/>
        <v/>
      </c>
      <c r="I103" s="48" t="str">
        <f t="shared" si="42"/>
        <v/>
      </c>
      <c r="J103" s="48" t="str">
        <f t="shared" si="42"/>
        <v/>
      </c>
      <c r="K103" s="48" t="str">
        <f t="shared" si="42"/>
        <v/>
      </c>
      <c r="L103" s="48" t="str">
        <f t="shared" si="42"/>
        <v/>
      </c>
      <c r="M103" t="str">
        <f t="shared" si="42"/>
        <v/>
      </c>
      <c r="N103" s="159"/>
    </row>
    <row r="104" spans="1:14" x14ac:dyDescent="0.35">
      <c r="A104" s="1" t="str">
        <f>IF(A102="","","   Available Water [maf]")</f>
        <v xml:space="preserve">   Available Water [maf]</v>
      </c>
      <c r="C104" s="13" t="str">
        <f>IF(OR(C$28="",$A104=""),"",C38+C56-C48+C101)</f>
        <v/>
      </c>
      <c r="D104" s="13" t="str">
        <f t="shared" ref="D104:L104" si="43">IF(OR(D$28="",$A104=""),"",D38+D56-D48+D101)</f>
        <v/>
      </c>
      <c r="E104" s="13" t="str">
        <f t="shared" si="43"/>
        <v/>
      </c>
      <c r="F104" s="13" t="str">
        <f t="shared" si="43"/>
        <v/>
      </c>
      <c r="G104" s="13" t="str">
        <f t="shared" si="43"/>
        <v/>
      </c>
      <c r="H104" s="13" t="str">
        <f t="shared" si="43"/>
        <v/>
      </c>
      <c r="I104" s="13" t="str">
        <f t="shared" si="43"/>
        <v/>
      </c>
      <c r="J104" s="13" t="str">
        <f t="shared" si="43"/>
        <v/>
      </c>
      <c r="K104" s="13" t="str">
        <f t="shared" si="43"/>
        <v/>
      </c>
      <c r="L104" s="13" t="str">
        <f t="shared" si="43"/>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44">IF(OR(D$28="",$A106=""),"",D104-D105)</f>
        <v/>
      </c>
      <c r="E106" s="47" t="str">
        <f t="shared" si="44"/>
        <v/>
      </c>
      <c r="F106" s="47" t="str">
        <f t="shared" si="44"/>
        <v/>
      </c>
      <c r="G106" s="47" t="str">
        <f t="shared" si="44"/>
        <v/>
      </c>
      <c r="H106" s="47" t="str">
        <f t="shared" si="44"/>
        <v/>
      </c>
      <c r="I106" s="47" t="str">
        <f t="shared" si="44"/>
        <v/>
      </c>
      <c r="J106" s="47" t="str">
        <f t="shared" si="44"/>
        <v/>
      </c>
      <c r="K106" s="47" t="str">
        <f t="shared" si="44"/>
        <v/>
      </c>
      <c r="L106" s="47" t="str">
        <f t="shared" si="44"/>
        <v/>
      </c>
      <c r="N106" s="159"/>
    </row>
    <row r="107" spans="1:14" x14ac:dyDescent="0.35">
      <c r="C107"/>
      <c r="N107" s="159"/>
    </row>
    <row r="108" spans="1:14" x14ac:dyDescent="0.35">
      <c r="A108" s="112" t="s">
        <v>264</v>
      </c>
      <c r="B108" s="112"/>
      <c r="C108" s="112"/>
      <c r="D108" s="112"/>
      <c r="E108" s="112"/>
      <c r="F108" s="112"/>
      <c r="G108" s="112"/>
      <c r="H108" s="112"/>
      <c r="I108" s="112"/>
      <c r="J108" s="112"/>
      <c r="K108" s="112"/>
      <c r="L108" s="112"/>
      <c r="M108" s="112"/>
      <c r="N108" s="158" t="s">
        <v>291</v>
      </c>
    </row>
    <row r="109" spans="1:14" x14ac:dyDescent="0.35">
      <c r="A109" s="1" t="s">
        <v>219</v>
      </c>
      <c r="C109"/>
      <c r="M109" t="s">
        <v>114</v>
      </c>
      <c r="N109" s="159"/>
    </row>
    <row r="110" spans="1:14" x14ac:dyDescent="0.35">
      <c r="A110" t="str">
        <f t="shared" ref="A110:A115" si="45">IF(A5="","","    "&amp;A5)</f>
        <v xml:space="preserve">    Upper Basin</v>
      </c>
      <c r="B110" s="1"/>
      <c r="C110" s="48" t="str">
        <f t="shared" ref="C110:L110" ca="1" si="46">IF(OR(C$28="",$A110=""),"",OFFSET(C$61,8*(ROW(B110)-ROW(B$110)),0))</f>
        <v/>
      </c>
      <c r="D110" s="48" t="str">
        <f t="shared" ca="1" si="46"/>
        <v/>
      </c>
      <c r="E110" s="48" t="str">
        <f t="shared" ca="1" si="46"/>
        <v/>
      </c>
      <c r="F110" s="48" t="str">
        <f t="shared" ca="1" si="46"/>
        <v/>
      </c>
      <c r="G110" s="48" t="str">
        <f t="shared" ca="1" si="46"/>
        <v/>
      </c>
      <c r="H110" s="48" t="str">
        <f t="shared" ca="1" si="46"/>
        <v/>
      </c>
      <c r="I110" s="48" t="str">
        <f t="shared" ca="1" si="46"/>
        <v/>
      </c>
      <c r="J110" s="48" t="str">
        <f t="shared" ca="1" si="46"/>
        <v/>
      </c>
      <c r="K110" s="48" t="str">
        <f t="shared" ca="1" si="46"/>
        <v/>
      </c>
      <c r="L110" s="149" t="str">
        <f t="shared" ca="1" si="46"/>
        <v/>
      </c>
      <c r="M110" s="150">
        <f ca="1">IF(OR($A110=""),"",SUM(C110:L110))</f>
        <v>0</v>
      </c>
      <c r="N110" s="163"/>
    </row>
    <row r="111" spans="1:14" x14ac:dyDescent="0.35">
      <c r="A111" t="str">
        <f t="shared" si="45"/>
        <v xml:space="preserve">    Lower Basin</v>
      </c>
      <c r="B111" s="1"/>
      <c r="C111" s="48" t="str">
        <f t="shared" ref="C111:L111" ca="1" si="47">IF(OR(C$28="",$A111=""),"",OFFSET(C$61,8*(ROW(B111)-ROW(B$110)),0))</f>
        <v/>
      </c>
      <c r="D111" s="48" t="str">
        <f t="shared" ca="1" si="47"/>
        <v/>
      </c>
      <c r="E111" s="48" t="str">
        <f t="shared" ca="1" si="47"/>
        <v/>
      </c>
      <c r="F111" s="48" t="str">
        <f t="shared" ca="1" si="47"/>
        <v/>
      </c>
      <c r="G111" s="48" t="str">
        <f t="shared" ca="1" si="47"/>
        <v/>
      </c>
      <c r="H111" s="48" t="str">
        <f t="shared" ca="1" si="47"/>
        <v/>
      </c>
      <c r="I111" s="48" t="str">
        <f t="shared" ca="1" si="47"/>
        <v/>
      </c>
      <c r="J111" s="48" t="str">
        <f t="shared" ca="1" si="47"/>
        <v/>
      </c>
      <c r="K111" s="48" t="str">
        <f t="shared" ca="1" si="47"/>
        <v/>
      </c>
      <c r="L111" s="149" t="str">
        <f t="shared" ca="1" si="47"/>
        <v/>
      </c>
      <c r="M111" s="150">
        <f t="shared" ref="M111:M115" ca="1" si="48">IF(OR($A111=""),"",SUM(C111:L111))</f>
        <v>0</v>
      </c>
      <c r="N111" s="163"/>
    </row>
    <row r="112" spans="1:14" x14ac:dyDescent="0.35">
      <c r="A112" t="str">
        <f t="shared" si="45"/>
        <v xml:space="preserve">    Mexico</v>
      </c>
      <c r="B112" s="1"/>
      <c r="C112" s="48" t="str">
        <f t="shared" ref="C112:L112" ca="1" si="49">IF(OR(C$28="",$A112=""),"",OFFSET(C$61,8*(ROW(B112)-ROW(B$110)),0))</f>
        <v/>
      </c>
      <c r="D112" s="48" t="str">
        <f t="shared" ca="1" si="49"/>
        <v/>
      </c>
      <c r="E112" s="48" t="str">
        <f t="shared" ca="1" si="49"/>
        <v/>
      </c>
      <c r="F112" s="48" t="str">
        <f t="shared" ca="1" si="49"/>
        <v/>
      </c>
      <c r="G112" s="48" t="str">
        <f t="shared" ca="1" si="49"/>
        <v/>
      </c>
      <c r="H112" s="48" t="str">
        <f t="shared" ca="1" si="49"/>
        <v/>
      </c>
      <c r="I112" s="48" t="str">
        <f t="shared" ca="1" si="49"/>
        <v/>
      </c>
      <c r="J112" s="48" t="str">
        <f t="shared" ca="1" si="49"/>
        <v/>
      </c>
      <c r="K112" s="48" t="str">
        <f t="shared" ca="1" si="49"/>
        <v/>
      </c>
      <c r="L112" s="149" t="str">
        <f t="shared" ca="1" si="49"/>
        <v/>
      </c>
      <c r="M112" s="150">
        <f t="shared" ca="1" si="48"/>
        <v>0</v>
      </c>
      <c r="N112" s="163"/>
    </row>
    <row r="113" spans="1:14" x14ac:dyDescent="0.35">
      <c r="A113" t="str">
        <f t="shared" si="45"/>
        <v xml:space="preserve">    Colorado River Delta</v>
      </c>
      <c r="B113" s="1"/>
      <c r="C113" s="48" t="str">
        <f t="shared" ref="C113:L113" ca="1" si="50">IF(OR(C$28="",$A113=""),"",OFFSET(C$61,8*(ROW(B113)-ROW(B$110)),0))</f>
        <v/>
      </c>
      <c r="D113" s="48" t="str">
        <f t="shared" ca="1" si="50"/>
        <v/>
      </c>
      <c r="E113" s="48" t="str">
        <f t="shared" ca="1" si="50"/>
        <v/>
      </c>
      <c r="F113" s="48" t="str">
        <f t="shared" ca="1" si="50"/>
        <v/>
      </c>
      <c r="G113" s="48" t="str">
        <f t="shared" ca="1" si="50"/>
        <v/>
      </c>
      <c r="H113" s="48" t="str">
        <f t="shared" ca="1" si="50"/>
        <v/>
      </c>
      <c r="I113" s="48" t="str">
        <f t="shared" ca="1" si="50"/>
        <v/>
      </c>
      <c r="J113" s="48" t="str">
        <f t="shared" ca="1" si="50"/>
        <v/>
      </c>
      <c r="K113" s="48" t="str">
        <f t="shared" ca="1" si="50"/>
        <v/>
      </c>
      <c r="L113" s="149" t="str">
        <f t="shared" ca="1" si="50"/>
        <v/>
      </c>
      <c r="M113" s="150">
        <f t="shared" ca="1" si="48"/>
        <v>0</v>
      </c>
      <c r="N113" s="163"/>
    </row>
    <row r="114" spans="1:14" x14ac:dyDescent="0.35">
      <c r="A114" t="str">
        <f t="shared" si="45"/>
        <v xml:space="preserve">    First Nations</v>
      </c>
      <c r="B114" s="1"/>
      <c r="C114" s="48" t="str">
        <f t="shared" ref="C114:L114" ca="1" si="51">IF(OR(C$28="",$A114=""),"",OFFSET(C$61,8*(ROW(B114)-ROW(B$110)),0))</f>
        <v/>
      </c>
      <c r="D114" s="48" t="str">
        <f t="shared" ca="1" si="51"/>
        <v/>
      </c>
      <c r="E114" s="48" t="str">
        <f t="shared" ca="1" si="51"/>
        <v/>
      </c>
      <c r="F114" s="48" t="str">
        <f t="shared" ca="1" si="51"/>
        <v/>
      </c>
      <c r="G114" s="48" t="str">
        <f t="shared" ca="1" si="51"/>
        <v/>
      </c>
      <c r="H114" s="48" t="str">
        <f t="shared" ca="1" si="51"/>
        <v/>
      </c>
      <c r="I114" s="48" t="str">
        <f t="shared" ca="1" si="51"/>
        <v/>
      </c>
      <c r="J114" s="48" t="str">
        <f t="shared" ca="1" si="51"/>
        <v/>
      </c>
      <c r="K114" s="48" t="str">
        <f t="shared" ca="1" si="51"/>
        <v/>
      </c>
      <c r="L114" s="149" t="str">
        <f t="shared" ca="1" si="51"/>
        <v/>
      </c>
      <c r="M114" s="150">
        <f t="shared" ca="1" si="48"/>
        <v>0</v>
      </c>
      <c r="N114" s="163"/>
    </row>
    <row r="115" spans="1:14" x14ac:dyDescent="0.35">
      <c r="A115" t="str">
        <f t="shared" si="45"/>
        <v xml:space="preserve">    Shared, Reserve</v>
      </c>
      <c r="B115" s="1"/>
      <c r="C115" s="48" t="str">
        <f t="shared" ref="C115:L115" ca="1" si="52">IF(OR(C$28="",$A115=""),"",OFFSET(C$61,8*(ROW(B115)-ROW(B$110)),0))</f>
        <v/>
      </c>
      <c r="D115" s="48" t="str">
        <f t="shared" ca="1" si="52"/>
        <v/>
      </c>
      <c r="E115" s="48" t="str">
        <f t="shared" ca="1" si="52"/>
        <v/>
      </c>
      <c r="F115" s="48" t="str">
        <f t="shared" ca="1" si="52"/>
        <v/>
      </c>
      <c r="G115" s="48" t="str">
        <f t="shared" ca="1" si="52"/>
        <v/>
      </c>
      <c r="H115" s="48" t="str">
        <f t="shared" ca="1" si="52"/>
        <v/>
      </c>
      <c r="I115" s="48" t="str">
        <f t="shared" ca="1" si="52"/>
        <v/>
      </c>
      <c r="J115" s="48" t="str">
        <f t="shared" ca="1" si="52"/>
        <v/>
      </c>
      <c r="K115" s="48" t="str">
        <f t="shared" ca="1" si="52"/>
        <v/>
      </c>
      <c r="L115" s="149" t="str">
        <f t="shared" ca="1" si="52"/>
        <v/>
      </c>
      <c r="M115" s="150">
        <f t="shared" ca="1" si="48"/>
        <v>0</v>
      </c>
      <c r="N115" s="163"/>
    </row>
    <row r="116" spans="1:14" x14ac:dyDescent="0.35">
      <c r="A116" t="s">
        <v>93</v>
      </c>
      <c r="B116" s="1"/>
      <c r="C116" s="35" t="str">
        <f>IF(C$28&lt;&gt;"",SUM(C110:C115),"")</f>
        <v/>
      </c>
      <c r="D116" s="35" t="str">
        <f t="shared" ref="D116:L116" si="53">IF(D$28&lt;&gt;"",SUM(D110:D115),"")</f>
        <v/>
      </c>
      <c r="E116" s="92" t="str">
        <f t="shared" si="53"/>
        <v/>
      </c>
      <c r="F116" s="35" t="str">
        <f t="shared" si="53"/>
        <v/>
      </c>
      <c r="G116" s="35" t="str">
        <f t="shared" si="53"/>
        <v/>
      </c>
      <c r="H116" s="35" t="str">
        <f t="shared" si="53"/>
        <v/>
      </c>
      <c r="I116" s="35" t="str">
        <f t="shared" si="53"/>
        <v/>
      </c>
      <c r="J116" s="35" t="str">
        <f t="shared" si="53"/>
        <v/>
      </c>
      <c r="K116" s="35" t="str">
        <f t="shared" si="53"/>
        <v/>
      </c>
      <c r="L116" s="35" t="str">
        <f t="shared" si="53"/>
        <v/>
      </c>
      <c r="M116" s="22"/>
      <c r="N116" s="165"/>
    </row>
    <row r="117" spans="1:14" x14ac:dyDescent="0.35">
      <c r="A117" s="1" t="s">
        <v>220</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18" ca="1" si="54">IF(OR(C$28="",$A118=""),"",OFFSET(C$65,8*(ROW(B118)-ROW(B$118)),0))</f>
        <v/>
      </c>
      <c r="D118" s="48" t="str">
        <f t="shared" ca="1" si="54"/>
        <v/>
      </c>
      <c r="E118" s="48" t="str">
        <f t="shared" ca="1" si="54"/>
        <v/>
      </c>
      <c r="F118" s="48" t="str">
        <f t="shared" ca="1" si="54"/>
        <v/>
      </c>
      <c r="G118" s="48" t="str">
        <f t="shared" ca="1" si="54"/>
        <v/>
      </c>
      <c r="H118" s="48" t="str">
        <f t="shared" ca="1" si="54"/>
        <v/>
      </c>
      <c r="I118" s="48" t="str">
        <f t="shared" ca="1" si="54"/>
        <v/>
      </c>
      <c r="J118" s="48" t="str">
        <f t="shared" ca="1" si="54"/>
        <v/>
      </c>
      <c r="K118" s="48" t="str">
        <f t="shared" ca="1" si="54"/>
        <v/>
      </c>
      <c r="L118" s="48" t="str">
        <f t="shared" ca="1" si="54"/>
        <v/>
      </c>
      <c r="N118" s="159"/>
    </row>
    <row r="119" spans="1:14" x14ac:dyDescent="0.35">
      <c r="A119" t="str">
        <f>IF(A6="","","    "&amp;A6&amp;" - Release from Mead")</f>
        <v xml:space="preserve">    Lower Basin - Release from Mead</v>
      </c>
      <c r="C119" s="48" t="str">
        <f t="shared" ref="C119:L119" ca="1" si="55">IF(OR(C$28="",$A119=""),"",OFFSET(C$65,8*(ROW(B119)-ROW(B$118)),0))</f>
        <v/>
      </c>
      <c r="D119" s="48" t="str">
        <f t="shared" ca="1" si="55"/>
        <v/>
      </c>
      <c r="E119" s="48" t="str">
        <f t="shared" ca="1" si="55"/>
        <v/>
      </c>
      <c r="F119" s="48" t="str">
        <f t="shared" ca="1" si="55"/>
        <v/>
      </c>
      <c r="G119" s="48" t="str">
        <f t="shared" ca="1" si="55"/>
        <v/>
      </c>
      <c r="H119" s="48" t="str">
        <f t="shared" ca="1" si="55"/>
        <v/>
      </c>
      <c r="I119" s="48" t="str">
        <f t="shared" ca="1" si="55"/>
        <v/>
      </c>
      <c r="J119" s="48" t="str">
        <f t="shared" ca="1" si="55"/>
        <v/>
      </c>
      <c r="K119" s="48" t="str">
        <f t="shared" ca="1" si="55"/>
        <v/>
      </c>
      <c r="L119" s="48" t="str">
        <f t="shared" ca="1" si="55"/>
        <v/>
      </c>
      <c r="N119" s="159"/>
    </row>
    <row r="120" spans="1:14" x14ac:dyDescent="0.35">
      <c r="A120" t="str">
        <f>IF(A7="","","    "&amp;A7&amp;" - Release from Mead")</f>
        <v xml:space="preserve">    Mexico - Release from Mead</v>
      </c>
      <c r="C120" s="48" t="str">
        <f t="shared" ref="C120:L120" ca="1" si="56">IF(OR(C$28="",$A120=""),"",OFFSET(C$65,8*(ROW(B120)-ROW(B$118)),0))</f>
        <v/>
      </c>
      <c r="D120" s="48" t="str">
        <f t="shared" ca="1" si="56"/>
        <v/>
      </c>
      <c r="E120" s="48" t="str">
        <f t="shared" ca="1" si="56"/>
        <v/>
      </c>
      <c r="F120" s="48" t="str">
        <f t="shared" ca="1" si="56"/>
        <v/>
      </c>
      <c r="G120" s="48" t="str">
        <f t="shared" ca="1" si="56"/>
        <v/>
      </c>
      <c r="H120" s="48" t="str">
        <f t="shared" ca="1" si="56"/>
        <v/>
      </c>
      <c r="I120" s="48" t="str">
        <f t="shared" ca="1" si="56"/>
        <v/>
      </c>
      <c r="J120" s="48" t="str">
        <f t="shared" ca="1" si="56"/>
        <v/>
      </c>
      <c r="K120" s="48" t="str">
        <f t="shared" ca="1" si="56"/>
        <v/>
      </c>
      <c r="L120" s="48" t="str">
        <f t="shared" ca="1" si="56"/>
        <v/>
      </c>
      <c r="N120" s="159"/>
    </row>
    <row r="121" spans="1:14" x14ac:dyDescent="0.35">
      <c r="A121" t="str">
        <f>IF(A8="","","    "&amp;A8&amp;" - Release from Mead")</f>
        <v xml:space="preserve">    Colorado River Delta - Release from Mead</v>
      </c>
      <c r="C121" s="48" t="str">
        <f t="shared" ref="C121:L121" ca="1" si="57">IF(OR(C$28="",$A121=""),"",OFFSET(C$65,8*(ROW(B121)-ROW(B$118)),0))</f>
        <v/>
      </c>
      <c r="D121" s="48" t="str">
        <f t="shared" ca="1" si="57"/>
        <v/>
      </c>
      <c r="E121" s="48" t="str">
        <f t="shared" ca="1" si="57"/>
        <v/>
      </c>
      <c r="F121" s="48" t="str">
        <f t="shared" ca="1" si="57"/>
        <v/>
      </c>
      <c r="G121" s="48" t="str">
        <f t="shared" ca="1" si="57"/>
        <v/>
      </c>
      <c r="H121" s="48" t="str">
        <f t="shared" ca="1" si="57"/>
        <v/>
      </c>
      <c r="I121" s="48" t="str">
        <f t="shared" ca="1" si="57"/>
        <v/>
      </c>
      <c r="J121" s="48" t="str">
        <f t="shared" ca="1" si="57"/>
        <v/>
      </c>
      <c r="K121" s="48" t="str">
        <f t="shared" ca="1" si="57"/>
        <v/>
      </c>
      <c r="L121" s="48" t="str">
        <f t="shared" ca="1" si="57"/>
        <v/>
      </c>
      <c r="N121" s="159"/>
    </row>
    <row r="122" spans="1:14" x14ac:dyDescent="0.35">
      <c r="A122" t="str">
        <f>IF(A9="","","    "&amp;A9&amp;" - Release from Mead")</f>
        <v xml:space="preserve">    First Nations - Release from Mead</v>
      </c>
      <c r="C122" s="48" t="str">
        <f t="shared" ref="C122:L122" ca="1" si="58">IF(OR(C$28="",$A122=""),"",OFFSET(C$65,8*(ROW(B122)-ROW(B$118)),0))</f>
        <v/>
      </c>
      <c r="D122" s="48" t="str">
        <f t="shared" ca="1" si="58"/>
        <v/>
      </c>
      <c r="E122" s="48" t="str">
        <f t="shared" ca="1" si="58"/>
        <v/>
      </c>
      <c r="F122" s="48" t="str">
        <f t="shared" ca="1" si="58"/>
        <v/>
      </c>
      <c r="G122" s="48" t="str">
        <f t="shared" ca="1" si="58"/>
        <v/>
      </c>
      <c r="H122" s="48" t="str">
        <f t="shared" ca="1" si="58"/>
        <v/>
      </c>
      <c r="I122" s="48" t="str">
        <f t="shared" ca="1" si="58"/>
        <v/>
      </c>
      <c r="J122" s="48" t="str">
        <f t="shared" ca="1" si="58"/>
        <v/>
      </c>
      <c r="K122" s="48" t="str">
        <f t="shared" ca="1" si="58"/>
        <v/>
      </c>
      <c r="L122" s="48" t="str">
        <f t="shared" ca="1" si="58"/>
        <v/>
      </c>
      <c r="N122" s="159"/>
    </row>
    <row r="123" spans="1:14" x14ac:dyDescent="0.35">
      <c r="A123" t="str">
        <f>IF(A10="","","    "&amp;A10&amp;" - Release from Mead")</f>
        <v xml:space="preserve">    Shared, Reserve - Release from Mead</v>
      </c>
      <c r="C123" s="48" t="str">
        <f t="shared" ref="C123:L123" ca="1" si="59">IF(OR(C$28="",$A123=""),"",OFFSET(C$65,8*(ROW(B123)-ROW(B$118)),0))</f>
        <v/>
      </c>
      <c r="D123" s="48" t="str">
        <f t="shared" ca="1" si="59"/>
        <v/>
      </c>
      <c r="E123" s="48" t="str">
        <f t="shared" ca="1" si="59"/>
        <v/>
      </c>
      <c r="F123" s="48" t="str">
        <f t="shared" ca="1" si="59"/>
        <v/>
      </c>
      <c r="G123" s="48" t="str">
        <f t="shared" ca="1" si="59"/>
        <v/>
      </c>
      <c r="H123" s="48" t="str">
        <f t="shared" ca="1" si="59"/>
        <v/>
      </c>
      <c r="I123" s="48" t="str">
        <f t="shared" ca="1" si="59"/>
        <v/>
      </c>
      <c r="J123" s="48" t="str">
        <f t="shared" ca="1" si="59"/>
        <v/>
      </c>
      <c r="K123" s="48" t="str">
        <f t="shared" ca="1" si="59"/>
        <v/>
      </c>
      <c r="L123" s="48" t="str">
        <f t="shared" ca="1" si="59"/>
        <v/>
      </c>
      <c r="N123" s="159"/>
    </row>
    <row r="124" spans="1:14" x14ac:dyDescent="0.35">
      <c r="A124" s="1" t="s">
        <v>90</v>
      </c>
      <c r="B124" s="1"/>
      <c r="D124" s="2"/>
      <c r="E124" s="2"/>
      <c r="F124" s="2"/>
      <c r="G124" s="2"/>
      <c r="H124" s="2"/>
      <c r="I124" s="2"/>
      <c r="J124" s="2"/>
      <c r="K124" s="2"/>
      <c r="L124" s="2"/>
      <c r="N124" s="159"/>
    </row>
    <row r="125" spans="1:14" x14ac:dyDescent="0.35">
      <c r="A125" t="str">
        <f t="shared" ref="A125:A130" si="60">IF(A5="","","    "&amp;A5)</f>
        <v xml:space="preserve">    Upper Basin</v>
      </c>
      <c r="C125" s="48" t="str">
        <f t="shared" ref="C125:L125" ca="1" si="61">IF(OR(C$28="",$A125=""),"",OFFSET(C$66,8*(ROW(B125)-ROW(B$125)),0))</f>
        <v/>
      </c>
      <c r="D125" s="48" t="str">
        <f t="shared" ca="1" si="61"/>
        <v/>
      </c>
      <c r="E125" s="48" t="str">
        <f t="shared" ca="1" si="61"/>
        <v/>
      </c>
      <c r="F125" s="48" t="str">
        <f t="shared" ca="1" si="61"/>
        <v/>
      </c>
      <c r="G125" s="48" t="str">
        <f t="shared" ca="1" si="61"/>
        <v/>
      </c>
      <c r="H125" s="48" t="str">
        <f t="shared" ca="1" si="61"/>
        <v/>
      </c>
      <c r="I125" s="48" t="str">
        <f t="shared" ca="1" si="61"/>
        <v/>
      </c>
      <c r="J125" s="48" t="str">
        <f t="shared" ca="1" si="61"/>
        <v/>
      </c>
      <c r="K125" s="48" t="str">
        <f t="shared" ca="1" si="61"/>
        <v/>
      </c>
      <c r="L125" s="48" t="str">
        <f t="shared" ca="1" si="61"/>
        <v/>
      </c>
      <c r="N125" s="159"/>
    </row>
    <row r="126" spans="1:14" x14ac:dyDescent="0.35">
      <c r="A126" t="str">
        <f t="shared" si="60"/>
        <v xml:space="preserve">    Lower Basin</v>
      </c>
      <c r="C126" s="48" t="str">
        <f t="shared" ref="C126:L126" ca="1" si="62">IF(OR(C$28="",$A126=""),"",OFFSET(C$66,8*(ROW(B126)-ROW(B$125)),0))</f>
        <v/>
      </c>
      <c r="D126" s="48" t="str">
        <f t="shared" ca="1" si="62"/>
        <v/>
      </c>
      <c r="E126" s="48" t="str">
        <f t="shared" ca="1" si="62"/>
        <v/>
      </c>
      <c r="F126" s="48" t="str">
        <f t="shared" ca="1" si="62"/>
        <v/>
      </c>
      <c r="G126" s="48" t="str">
        <f t="shared" ca="1" si="62"/>
        <v/>
      </c>
      <c r="H126" s="48" t="str">
        <f t="shared" ca="1" si="62"/>
        <v/>
      </c>
      <c r="I126" s="48" t="str">
        <f t="shared" ca="1" si="62"/>
        <v/>
      </c>
      <c r="J126" s="48" t="str">
        <f t="shared" ca="1" si="62"/>
        <v/>
      </c>
      <c r="K126" s="48" t="str">
        <f t="shared" ca="1" si="62"/>
        <v/>
      </c>
      <c r="L126" s="48" t="str">
        <f t="shared" ca="1" si="62"/>
        <v/>
      </c>
      <c r="N126" s="159"/>
    </row>
    <row r="127" spans="1:14" x14ac:dyDescent="0.35">
      <c r="A127" t="str">
        <f t="shared" si="60"/>
        <v xml:space="preserve">    Mexico</v>
      </c>
      <c r="C127" s="48" t="str">
        <f t="shared" ref="C127:L127" ca="1" si="63">IF(OR(C$28="",$A127=""),"",OFFSET(C$66,8*(ROW(B127)-ROW(B$125)),0))</f>
        <v/>
      </c>
      <c r="D127" s="48" t="str">
        <f t="shared" ca="1" si="63"/>
        <v/>
      </c>
      <c r="E127" s="48" t="str">
        <f t="shared" ca="1" si="63"/>
        <v/>
      </c>
      <c r="F127" s="48" t="str">
        <f t="shared" ca="1" si="63"/>
        <v/>
      </c>
      <c r="G127" s="48" t="str">
        <f t="shared" ca="1" si="63"/>
        <v/>
      </c>
      <c r="H127" s="48" t="str">
        <f t="shared" ca="1" si="63"/>
        <v/>
      </c>
      <c r="I127" s="48" t="str">
        <f t="shared" ca="1" si="63"/>
        <v/>
      </c>
      <c r="J127" s="48" t="str">
        <f t="shared" ca="1" si="63"/>
        <v/>
      </c>
      <c r="K127" s="48" t="str">
        <f t="shared" ca="1" si="63"/>
        <v/>
      </c>
      <c r="L127" s="48" t="str">
        <f t="shared" ca="1" si="63"/>
        <v/>
      </c>
      <c r="N127" s="159"/>
    </row>
    <row r="128" spans="1:14" x14ac:dyDescent="0.35">
      <c r="A128" t="str">
        <f t="shared" si="60"/>
        <v xml:space="preserve">    Colorado River Delta</v>
      </c>
      <c r="C128" s="48" t="str">
        <f t="shared" ref="C128:L128" ca="1" si="64">IF(OR(C$28="",$A128=""),"",OFFSET(C$66,8*(ROW(B128)-ROW(B$125)),0))</f>
        <v/>
      </c>
      <c r="D128" s="48" t="str">
        <f t="shared" ca="1" si="64"/>
        <v/>
      </c>
      <c r="E128" s="48" t="str">
        <f t="shared" ca="1" si="64"/>
        <v/>
      </c>
      <c r="F128" s="48" t="str">
        <f t="shared" ca="1" si="64"/>
        <v/>
      </c>
      <c r="G128" s="48" t="str">
        <f t="shared" ca="1" si="64"/>
        <v/>
      </c>
      <c r="H128" s="48" t="str">
        <f t="shared" ca="1" si="64"/>
        <v/>
      </c>
      <c r="I128" s="48" t="str">
        <f t="shared" ca="1" si="64"/>
        <v/>
      </c>
      <c r="J128" s="48" t="str">
        <f t="shared" ca="1" si="64"/>
        <v/>
      </c>
      <c r="K128" s="48" t="str">
        <f t="shared" ca="1" si="64"/>
        <v/>
      </c>
      <c r="L128" s="48" t="str">
        <f t="shared" ca="1" si="64"/>
        <v/>
      </c>
      <c r="N128" s="159"/>
    </row>
    <row r="129" spans="1:14" x14ac:dyDescent="0.35">
      <c r="A129" t="str">
        <f t="shared" si="60"/>
        <v xml:space="preserve">    First Nations</v>
      </c>
      <c r="C129" s="48" t="str">
        <f t="shared" ref="C129:L129" ca="1" si="65">IF(OR(C$28="",$A129=""),"",OFFSET(C$66,8*(ROW(B129)-ROW(B$125)),0))</f>
        <v/>
      </c>
      <c r="D129" s="48" t="str">
        <f t="shared" ca="1" si="65"/>
        <v/>
      </c>
      <c r="E129" s="48" t="str">
        <f t="shared" ca="1" si="65"/>
        <v/>
      </c>
      <c r="F129" s="48" t="str">
        <f t="shared" ca="1" si="65"/>
        <v/>
      </c>
      <c r="G129" s="48" t="str">
        <f t="shared" ca="1" si="65"/>
        <v/>
      </c>
      <c r="H129" s="48" t="str">
        <f t="shared" ca="1" si="65"/>
        <v/>
      </c>
      <c r="I129" s="48" t="str">
        <f t="shared" ca="1" si="65"/>
        <v/>
      </c>
      <c r="J129" s="48" t="str">
        <f t="shared" ca="1" si="65"/>
        <v/>
      </c>
      <c r="K129" s="48" t="str">
        <f t="shared" ca="1" si="65"/>
        <v/>
      </c>
      <c r="L129" s="48" t="str">
        <f t="shared" ca="1" si="65"/>
        <v/>
      </c>
      <c r="N129" s="159"/>
    </row>
    <row r="130" spans="1:14" x14ac:dyDescent="0.35">
      <c r="A130" t="str">
        <f t="shared" si="60"/>
        <v xml:space="preserve">    Shared, Reserve</v>
      </c>
      <c r="C130" s="48" t="str">
        <f t="shared" ref="C130:L130" ca="1" si="66">IF(OR(C$28="",$A130=""),"",OFFSET(C$66,8*(ROW(B130)-ROW(B$125)),0))</f>
        <v/>
      </c>
      <c r="D130" s="48" t="str">
        <f t="shared" ca="1" si="66"/>
        <v/>
      </c>
      <c r="E130" s="48" t="str">
        <f t="shared" ca="1" si="66"/>
        <v/>
      </c>
      <c r="F130" s="48" t="str">
        <f t="shared" ca="1" si="66"/>
        <v/>
      </c>
      <c r="G130" s="48" t="str">
        <f t="shared" ca="1" si="66"/>
        <v/>
      </c>
      <c r="H130" s="48" t="str">
        <f t="shared" ca="1" si="66"/>
        <v/>
      </c>
      <c r="I130" s="48" t="str">
        <f t="shared" ca="1" si="66"/>
        <v/>
      </c>
      <c r="J130" s="48" t="str">
        <f t="shared" ca="1" si="66"/>
        <v/>
      </c>
      <c r="K130" s="48" t="str">
        <f t="shared" ca="1" si="66"/>
        <v/>
      </c>
      <c r="L130" s="48" t="str">
        <f t="shared" ca="1" si="66"/>
        <v/>
      </c>
      <c r="N130" s="159"/>
    </row>
    <row r="131" spans="1:14" x14ac:dyDescent="0.35">
      <c r="A131" s="1" t="s">
        <v>221</v>
      </c>
      <c r="B131" s="1"/>
      <c r="C131" s="13" t="str">
        <f>IF(C$28&lt;&gt;"",SUM(C125:C130),"")</f>
        <v/>
      </c>
      <c r="D131" s="13" t="str">
        <f t="shared" ref="D131:L131" si="67">IF(D$28&lt;&gt;"",SUM(D125:D130),"")</f>
        <v/>
      </c>
      <c r="E131" s="13" t="str">
        <f t="shared" si="67"/>
        <v/>
      </c>
      <c r="F131" s="13" t="str">
        <f t="shared" si="67"/>
        <v/>
      </c>
      <c r="G131" s="13" t="str">
        <f t="shared" si="67"/>
        <v/>
      </c>
      <c r="H131" s="13" t="str">
        <f t="shared" si="67"/>
        <v/>
      </c>
      <c r="I131" s="13" t="str">
        <f t="shared" si="67"/>
        <v/>
      </c>
      <c r="J131" s="13" t="str">
        <f t="shared" si="67"/>
        <v/>
      </c>
      <c r="K131" s="13" t="str">
        <f t="shared" si="67"/>
        <v/>
      </c>
      <c r="L131" s="13" t="str">
        <f t="shared" si="67"/>
        <v/>
      </c>
      <c r="N131" s="158" t="s">
        <v>292</v>
      </c>
    </row>
    <row r="132" spans="1:14" ht="29.5" customHeight="1" x14ac:dyDescent="0.35">
      <c r="A132" s="251" t="s">
        <v>265</v>
      </c>
      <c r="B132" s="252"/>
      <c r="C132" s="140"/>
      <c r="D132" s="140"/>
      <c r="E132" s="140"/>
      <c r="F132" s="140"/>
      <c r="G132" s="140"/>
      <c r="H132" s="140"/>
      <c r="I132" s="140"/>
      <c r="J132" s="140"/>
      <c r="K132" s="140"/>
      <c r="L132" s="140"/>
      <c r="N132" s="155" t="s">
        <v>293</v>
      </c>
    </row>
    <row r="133" spans="1:14" x14ac:dyDescent="0.35">
      <c r="A133" s="1" t="s">
        <v>229</v>
      </c>
      <c r="B133" s="1"/>
      <c r="C133" s="13" t="str">
        <f>IF(C28="","",C$132*C$131)</f>
        <v/>
      </c>
      <c r="D133" s="13" t="str">
        <f t="shared" ref="D133:L133" si="68">IF(D28="","",D$132*D$131)</f>
        <v/>
      </c>
      <c r="E133" s="13" t="str">
        <f t="shared" si="68"/>
        <v/>
      </c>
      <c r="F133" s="13" t="str">
        <f t="shared" si="68"/>
        <v/>
      </c>
      <c r="G133" s="13" t="str">
        <f t="shared" si="68"/>
        <v/>
      </c>
      <c r="H133" s="13" t="str">
        <f t="shared" si="68"/>
        <v/>
      </c>
      <c r="I133" s="13" t="str">
        <f t="shared" si="68"/>
        <v/>
      </c>
      <c r="J133" s="13" t="str">
        <f t="shared" si="68"/>
        <v/>
      </c>
      <c r="K133" s="13" t="str">
        <f t="shared" si="68"/>
        <v/>
      </c>
      <c r="L133" s="13" t="str">
        <f t="shared" si="68"/>
        <v/>
      </c>
      <c r="N133" s="158" t="s">
        <v>304</v>
      </c>
    </row>
    <row r="134" spans="1:14" x14ac:dyDescent="0.35">
      <c r="A134" s="1" t="s">
        <v>230</v>
      </c>
      <c r="B134" s="1"/>
      <c r="C134" s="13" t="str">
        <f>IF(C29="","",(1-C$132)*C$131)</f>
        <v/>
      </c>
      <c r="D134" s="13" t="str">
        <f t="shared" ref="D134:L134" si="69">IF(D29="","",(1-D$132)*D$131)</f>
        <v/>
      </c>
      <c r="E134" s="13" t="str">
        <f t="shared" si="69"/>
        <v/>
      </c>
      <c r="F134" s="13" t="str">
        <f t="shared" si="69"/>
        <v/>
      </c>
      <c r="G134" s="13" t="str">
        <f t="shared" si="69"/>
        <v/>
      </c>
      <c r="H134" s="13" t="str">
        <f t="shared" si="69"/>
        <v/>
      </c>
      <c r="I134" s="13" t="str">
        <f t="shared" si="69"/>
        <v/>
      </c>
      <c r="J134" s="13" t="str">
        <f t="shared" si="69"/>
        <v/>
      </c>
      <c r="K134" s="13" t="str">
        <f t="shared" si="69"/>
        <v/>
      </c>
      <c r="L134" s="13" t="str">
        <f t="shared" si="69"/>
        <v/>
      </c>
      <c r="N134" s="158" t="s">
        <v>304</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304</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304</v>
      </c>
    </row>
    <row r="137" spans="1:14" x14ac:dyDescent="0.35">
      <c r="A137" s="1" t="s">
        <v>231</v>
      </c>
      <c r="B137" s="1"/>
      <c r="N137" s="158" t="s">
        <v>294</v>
      </c>
    </row>
    <row r="138" spans="1:14" x14ac:dyDescent="0.35">
      <c r="A138" s="21" t="s">
        <v>232</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295</v>
      </c>
    </row>
    <row r="139" spans="1:14" x14ac:dyDescent="0.35">
      <c r="A139" s="21" t="s">
        <v>222</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296</v>
      </c>
    </row>
    <row r="140" spans="1:14" s="65" customFormat="1" ht="62.5" customHeight="1" x14ac:dyDescent="0.35">
      <c r="A140" s="94" t="s">
        <v>223</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298</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297</v>
      </c>
    </row>
    <row r="142" spans="1:14" x14ac:dyDescent="0.35">
      <c r="A142" s="151" t="s">
        <v>266</v>
      </c>
      <c r="C142" s="19"/>
      <c r="N142" s="158" t="s">
        <v>299</v>
      </c>
    </row>
    <row r="144" spans="1:14" x14ac:dyDescent="0.3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105" priority="85" operator="greaterThan">
      <formula>$H$64</formula>
    </cfRule>
  </conditionalFormatting>
  <conditionalFormatting sqref="I65">
    <cfRule type="cellIs" dxfId="104" priority="84" operator="greaterThan">
      <formula>$I$64</formula>
    </cfRule>
  </conditionalFormatting>
  <conditionalFormatting sqref="J65">
    <cfRule type="cellIs" dxfId="103" priority="83" operator="greaterThan">
      <formula>$J$64</formula>
    </cfRule>
  </conditionalFormatting>
  <conditionalFormatting sqref="K65">
    <cfRule type="cellIs" dxfId="102" priority="82" operator="greaterThan">
      <formula>$K$64</formula>
    </cfRule>
  </conditionalFormatting>
  <conditionalFormatting sqref="L65">
    <cfRule type="cellIs" dxfId="101" priority="81" operator="greaterThan">
      <formula>$L$64</formula>
    </cfRule>
  </conditionalFormatting>
  <conditionalFormatting sqref="H73">
    <cfRule type="cellIs" dxfId="100" priority="68" operator="greaterThan">
      <formula>$H$72</formula>
    </cfRule>
  </conditionalFormatting>
  <conditionalFormatting sqref="I73">
    <cfRule type="cellIs" dxfId="99" priority="67" operator="greaterThan">
      <formula>$I$72</formula>
    </cfRule>
  </conditionalFormatting>
  <conditionalFormatting sqref="J73">
    <cfRule type="cellIs" dxfId="98" priority="66" operator="greaterThan">
      <formula>$J$72</formula>
    </cfRule>
  </conditionalFormatting>
  <conditionalFormatting sqref="K73">
    <cfRule type="cellIs" dxfId="97" priority="65" operator="greaterThan">
      <formula>$K$72</formula>
    </cfRule>
  </conditionalFormatting>
  <conditionalFormatting sqref="L73">
    <cfRule type="cellIs" dxfId="96" priority="64" operator="greaterThan">
      <formula>$L$72</formula>
    </cfRule>
  </conditionalFormatting>
  <conditionalFormatting sqref="H81">
    <cfRule type="cellIs" dxfId="95" priority="58" operator="greaterThan">
      <formula>$H$80</formula>
    </cfRule>
  </conditionalFormatting>
  <conditionalFormatting sqref="I81">
    <cfRule type="cellIs" dxfId="94" priority="57" operator="greaterThan">
      <formula>$I$80</formula>
    </cfRule>
  </conditionalFormatting>
  <conditionalFormatting sqref="J81">
    <cfRule type="cellIs" dxfId="93" priority="56" operator="greaterThan">
      <formula>$J$80</formula>
    </cfRule>
  </conditionalFormatting>
  <conditionalFormatting sqref="K81">
    <cfRule type="cellIs" dxfId="92" priority="55" operator="greaterThan">
      <formula>$K$80</formula>
    </cfRule>
  </conditionalFormatting>
  <conditionalFormatting sqref="L81">
    <cfRule type="cellIs" dxfId="91" priority="54" operator="greaterThan">
      <formula>$L$80</formula>
    </cfRule>
  </conditionalFormatting>
  <conditionalFormatting sqref="C89:L89">
    <cfRule type="cellIs" dxfId="90" priority="53" operator="greaterThan">
      <formula>$C$88</formula>
    </cfRule>
  </conditionalFormatting>
  <conditionalFormatting sqref="C97">
    <cfRule type="cellIs" dxfId="89" priority="52" operator="greaterThan">
      <formula>$C$96</formula>
    </cfRule>
  </conditionalFormatting>
  <conditionalFormatting sqref="D97">
    <cfRule type="cellIs" dxfId="88" priority="51" operator="greaterThan">
      <formula>$D$96</formula>
    </cfRule>
  </conditionalFormatting>
  <conditionalFormatting sqref="E97">
    <cfRule type="cellIs" dxfId="87" priority="50" operator="greaterThan">
      <formula>$E$96</formula>
    </cfRule>
  </conditionalFormatting>
  <conditionalFormatting sqref="F97">
    <cfRule type="cellIs" dxfId="86" priority="49" operator="greaterThan">
      <formula>$F$96</formula>
    </cfRule>
  </conditionalFormatting>
  <conditionalFormatting sqref="G97">
    <cfRule type="cellIs" dxfId="85" priority="48" operator="greaterThan">
      <formula>$G$96</formula>
    </cfRule>
  </conditionalFormatting>
  <conditionalFormatting sqref="H97">
    <cfRule type="cellIs" dxfId="84" priority="47" operator="greaterThan">
      <formula>$H$96</formula>
    </cfRule>
  </conditionalFormatting>
  <conditionalFormatting sqref="I97">
    <cfRule type="cellIs" dxfId="83" priority="46" operator="greaterThan">
      <formula>$I$96</formula>
    </cfRule>
  </conditionalFormatting>
  <conditionalFormatting sqref="J97">
    <cfRule type="cellIs" dxfId="82" priority="45" operator="greaterThan">
      <formula>$J$96</formula>
    </cfRule>
  </conditionalFormatting>
  <conditionalFormatting sqref="K97">
    <cfRule type="cellIs" dxfId="81" priority="44" operator="greaterThan">
      <formula>$K$96</formula>
    </cfRule>
  </conditionalFormatting>
  <conditionalFormatting sqref="L97">
    <cfRule type="cellIs" dxfId="80" priority="43" operator="greaterThan">
      <formula>$L$96</formula>
    </cfRule>
  </conditionalFormatting>
  <conditionalFormatting sqref="C105">
    <cfRule type="cellIs" dxfId="79" priority="42" operator="greaterThan">
      <formula>$C$104</formula>
    </cfRule>
  </conditionalFormatting>
  <conditionalFormatting sqref="D105">
    <cfRule type="cellIs" dxfId="78" priority="41" operator="greaterThan">
      <formula>$D$104</formula>
    </cfRule>
  </conditionalFormatting>
  <conditionalFormatting sqref="E105">
    <cfRule type="cellIs" dxfId="77" priority="40" operator="greaterThan">
      <formula>$E$104</formula>
    </cfRule>
  </conditionalFormatting>
  <conditionalFormatting sqref="F105">
    <cfRule type="cellIs" dxfId="76" priority="39" operator="greaterThan">
      <formula>$F$104</formula>
    </cfRule>
  </conditionalFormatting>
  <conditionalFormatting sqref="G105">
    <cfRule type="cellIs" dxfId="75" priority="38" operator="greaterThan">
      <formula>$G$104</formula>
    </cfRule>
  </conditionalFormatting>
  <conditionalFormatting sqref="H105">
    <cfRule type="cellIs" dxfId="74" priority="37" operator="greaterThan">
      <formula>$H$104</formula>
    </cfRule>
  </conditionalFormatting>
  <conditionalFormatting sqref="I105">
    <cfRule type="cellIs" dxfId="73" priority="36" operator="greaterThan">
      <formula>$I$104</formula>
    </cfRule>
  </conditionalFormatting>
  <conditionalFormatting sqref="J105">
    <cfRule type="cellIs" dxfId="72" priority="35" operator="greaterThan">
      <formula>$J$104</formula>
    </cfRule>
  </conditionalFormatting>
  <conditionalFormatting sqref="K105">
    <cfRule type="cellIs" dxfId="71" priority="34" operator="greaterThan">
      <formula>$K$104</formula>
    </cfRule>
  </conditionalFormatting>
  <conditionalFormatting sqref="L105">
    <cfRule type="cellIs" dxfId="70" priority="33" operator="greaterThan">
      <formula>$L$104</formula>
    </cfRule>
  </conditionalFormatting>
  <conditionalFormatting sqref="D65">
    <cfRule type="cellIs" dxfId="69" priority="20" operator="greaterThan">
      <formula>$D$64</formula>
    </cfRule>
  </conditionalFormatting>
  <conditionalFormatting sqref="C65">
    <cfRule type="cellIs" dxfId="68" priority="18" operator="greaterThan">
      <formula>$C$64</formula>
    </cfRule>
  </conditionalFormatting>
  <conditionalFormatting sqref="E65">
    <cfRule type="cellIs" dxfId="67" priority="16" operator="greaterThan">
      <formula>$E$64</formula>
    </cfRule>
  </conditionalFormatting>
  <conditionalFormatting sqref="F65">
    <cfRule type="cellIs" dxfId="66" priority="15" operator="greaterThan">
      <formula>$F$64</formula>
    </cfRule>
  </conditionalFormatting>
  <conditionalFormatting sqref="G65">
    <cfRule type="cellIs" dxfId="65" priority="14" operator="greaterThan">
      <formula>$G$64</formula>
    </cfRule>
  </conditionalFormatting>
  <conditionalFormatting sqref="C73">
    <cfRule type="cellIs" dxfId="64" priority="10" operator="greaterThan">
      <formula>$C$72</formula>
    </cfRule>
  </conditionalFormatting>
  <conditionalFormatting sqref="D73">
    <cfRule type="cellIs" dxfId="63" priority="9" operator="greaterThan">
      <formula>$D$72</formula>
    </cfRule>
  </conditionalFormatting>
  <conditionalFormatting sqref="E73">
    <cfRule type="cellIs" dxfId="62" priority="8" operator="greaterThan">
      <formula>$E$72</formula>
    </cfRule>
  </conditionalFormatting>
  <conditionalFormatting sqref="F73">
    <cfRule type="cellIs" dxfId="61" priority="7" operator="greaterThan">
      <formula>$F$72</formula>
    </cfRule>
  </conditionalFormatting>
  <conditionalFormatting sqref="G73">
    <cfRule type="cellIs" dxfId="60" priority="6" operator="greaterThan">
      <formula>$G$72</formula>
    </cfRule>
  </conditionalFormatting>
  <conditionalFormatting sqref="C81">
    <cfRule type="cellIs" dxfId="59" priority="5" operator="greaterThan">
      <formula>$C$80</formula>
    </cfRule>
  </conditionalFormatting>
  <conditionalFormatting sqref="D81">
    <cfRule type="cellIs" dxfId="58" priority="4" operator="greaterThan">
      <formula>$D$80</formula>
    </cfRule>
  </conditionalFormatting>
  <conditionalFormatting sqref="E81">
    <cfRule type="cellIs" dxfId="57" priority="3" operator="greaterThan">
      <formula>$E$80</formula>
    </cfRule>
  </conditionalFormatting>
  <conditionalFormatting sqref="F81">
    <cfRule type="cellIs" dxfId="56" priority="2" operator="greaterThan">
      <formula>$F$80</formula>
    </cfRule>
  </conditionalFormatting>
  <conditionalFormatting sqref="G81">
    <cfRule type="cellIs" dxfId="55"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zoomScale="150" zoomScaleNormal="150" workbookViewId="0">
      <selection activeCell="C97" sqref="C97:G97"/>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44" t="str">
        <f>'ReadMe-Directions'!A1</f>
        <v>Colorado River Basin Accounts: Provoke Thought and Discussion about New Operations</v>
      </c>
      <c r="B1" s="244"/>
      <c r="C1" s="244"/>
      <c r="D1" s="244"/>
      <c r="E1" s="244"/>
      <c r="F1" s="244"/>
      <c r="G1" s="244"/>
    </row>
    <row r="2" spans="1:14" x14ac:dyDescent="0.35">
      <c r="A2" s="1" t="s">
        <v>234</v>
      </c>
      <c r="B2" s="1"/>
    </row>
    <row r="3" spans="1:14" ht="32.15" customHeight="1" x14ac:dyDescent="0.35">
      <c r="A3" s="254" t="s">
        <v>258</v>
      </c>
      <c r="B3" s="254"/>
      <c r="C3" s="254"/>
      <c r="D3" s="254"/>
      <c r="E3" s="254"/>
      <c r="F3" s="254"/>
      <c r="G3" s="254"/>
      <c r="H3" s="180"/>
      <c r="I3" s="180"/>
      <c r="J3" s="180"/>
      <c r="K3" s="180"/>
      <c r="N3" s="153" t="s">
        <v>303</v>
      </c>
    </row>
    <row r="4" spans="1:14" x14ac:dyDescent="0.35">
      <c r="A4" s="141" t="s">
        <v>236</v>
      </c>
      <c r="B4" s="141" t="s">
        <v>31</v>
      </c>
      <c r="C4" s="255" t="s">
        <v>32</v>
      </c>
      <c r="D4" s="256"/>
      <c r="E4" s="256"/>
      <c r="F4" s="256"/>
      <c r="G4" s="257"/>
      <c r="N4" s="155" t="s">
        <v>267</v>
      </c>
    </row>
    <row r="5" spans="1:14" x14ac:dyDescent="0.35">
      <c r="A5" s="179" t="str">
        <f>IF(Master!A5="","",Master!A5)</f>
        <v>Upper Basin</v>
      </c>
      <c r="B5" s="181" t="s">
        <v>338</v>
      </c>
      <c r="C5" s="258" t="s">
        <v>339</v>
      </c>
      <c r="D5" s="253"/>
      <c r="E5" s="253"/>
      <c r="F5" s="253"/>
      <c r="G5" s="253"/>
      <c r="N5" s="159"/>
    </row>
    <row r="6" spans="1:14" x14ac:dyDescent="0.35">
      <c r="A6" s="179" t="str">
        <f>IF(Master!A6="","",Master!A6)</f>
        <v>Lower Basin</v>
      </c>
      <c r="B6" s="181" t="s">
        <v>338</v>
      </c>
      <c r="C6" s="258" t="s">
        <v>339</v>
      </c>
      <c r="D6" s="253"/>
      <c r="E6" s="253"/>
      <c r="F6" s="253"/>
      <c r="G6" s="253"/>
      <c r="N6" s="159"/>
    </row>
    <row r="7" spans="1:14" x14ac:dyDescent="0.35">
      <c r="A7" s="179" t="str">
        <f>IF(Master!A7="","",Master!A7)</f>
        <v>Mexico</v>
      </c>
      <c r="B7" s="181" t="s">
        <v>338</v>
      </c>
      <c r="C7" s="258" t="s">
        <v>339</v>
      </c>
      <c r="D7" s="253"/>
      <c r="E7" s="253"/>
      <c r="F7" s="253"/>
      <c r="G7" s="253"/>
      <c r="N7" s="159"/>
    </row>
    <row r="8" spans="1:14" x14ac:dyDescent="0.35">
      <c r="A8" s="179" t="str">
        <f>IF(Master!A8="","",Master!A8)</f>
        <v>Colorado River Delta</v>
      </c>
      <c r="B8" s="181" t="s">
        <v>338</v>
      </c>
      <c r="C8" s="258" t="s">
        <v>339</v>
      </c>
      <c r="D8" s="253"/>
      <c r="E8" s="253"/>
      <c r="F8" s="253"/>
      <c r="G8" s="253"/>
      <c r="N8" s="159"/>
    </row>
    <row r="9" spans="1:14" x14ac:dyDescent="0.35">
      <c r="A9" s="179" t="str">
        <f>IF(Master!A9="","",Master!A9)</f>
        <v>First Nations</v>
      </c>
      <c r="B9" s="181" t="str">
        <f>IF($A9&lt;&gt;"",B8,"")</f>
        <v>Law</v>
      </c>
      <c r="C9" s="267" t="s">
        <v>347</v>
      </c>
      <c r="D9" s="268"/>
      <c r="E9" s="268"/>
      <c r="F9" s="268"/>
      <c r="G9" s="269"/>
      <c r="N9" s="159"/>
    </row>
    <row r="10" spans="1:14" x14ac:dyDescent="0.35">
      <c r="A10" s="182" t="s">
        <v>97</v>
      </c>
      <c r="B10" s="182"/>
      <c r="C10" s="260" t="s">
        <v>340</v>
      </c>
      <c r="D10" s="260"/>
      <c r="E10" s="260"/>
      <c r="F10" s="260"/>
      <c r="G10" s="260"/>
      <c r="N10" s="159"/>
    </row>
    <row r="11" spans="1:14" x14ac:dyDescent="0.35">
      <c r="A11" s="14"/>
      <c r="B11" s="2"/>
      <c r="C11"/>
      <c r="N11" s="159"/>
    </row>
    <row r="12" spans="1:14" x14ac:dyDescent="0.35">
      <c r="A12" s="16" t="s">
        <v>237</v>
      </c>
      <c r="B12" s="261" t="s">
        <v>239</v>
      </c>
      <c r="C12" s="262"/>
      <c r="D12" s="263"/>
      <c r="N12" s="158" t="s">
        <v>268</v>
      </c>
    </row>
    <row r="13" spans="1:14" x14ac:dyDescent="0.35">
      <c r="B13" s="264" t="s">
        <v>240</v>
      </c>
      <c r="C13" s="265"/>
      <c r="D13" s="266"/>
      <c r="N13" s="159"/>
    </row>
    <row r="14" spans="1:14" x14ac:dyDescent="0.35">
      <c r="B14" s="245" t="s">
        <v>241</v>
      </c>
      <c r="C14" s="246"/>
      <c r="D14" s="247"/>
      <c r="N14" s="159"/>
    </row>
    <row r="15" spans="1:14" x14ac:dyDescent="0.35">
      <c r="B15" s="248" t="s">
        <v>33</v>
      </c>
      <c r="C15" s="249"/>
      <c r="D15" s="250"/>
      <c r="N15" s="159"/>
    </row>
    <row r="16" spans="1:14" x14ac:dyDescent="0.35">
      <c r="N16" s="159"/>
    </row>
    <row r="17" spans="1:14" x14ac:dyDescent="0.35">
      <c r="A17" s="1" t="s">
        <v>238</v>
      </c>
      <c r="B17" s="1" t="s">
        <v>81</v>
      </c>
      <c r="C17" s="12" t="s">
        <v>82</v>
      </c>
      <c r="N17" s="158" t="s">
        <v>269</v>
      </c>
    </row>
    <row r="18" spans="1:14" x14ac:dyDescent="0.35">
      <c r="A18" t="s">
        <v>80</v>
      </c>
      <c r="B18" s="122">
        <f>Master!B18</f>
        <v>5.73</v>
      </c>
      <c r="C18" s="122">
        <f>Master!C18</f>
        <v>6</v>
      </c>
      <c r="D18" s="17"/>
      <c r="N18" s="158" t="s">
        <v>271</v>
      </c>
    </row>
    <row r="19" spans="1:14" x14ac:dyDescent="0.35">
      <c r="A19" t="s">
        <v>263</v>
      </c>
      <c r="B19" s="122">
        <f>Master!B19</f>
        <v>7.2</v>
      </c>
      <c r="C19" s="122">
        <f>Master!C19</f>
        <v>9</v>
      </c>
      <c r="D19" s="11" t="str">
        <f>Master!D19</f>
        <v>9/1/2021 values</v>
      </c>
      <c r="F19" s="143"/>
      <c r="N19" s="158" t="s">
        <v>270</v>
      </c>
    </row>
    <row r="20" spans="1:14" x14ac:dyDescent="0.35">
      <c r="A20" t="s">
        <v>118</v>
      </c>
      <c r="B20" s="177">
        <v>3525</v>
      </c>
      <c r="C20" s="177">
        <v>1020</v>
      </c>
      <c r="D20" s="11"/>
      <c r="N20" s="158" t="s">
        <v>272</v>
      </c>
    </row>
    <row r="21" spans="1:14" x14ac:dyDescent="0.35">
      <c r="A21" t="s">
        <v>110</v>
      </c>
      <c r="B21" s="122">
        <f>VLOOKUP(B20,'Powell-Elevation-Area'!$A$5:$B$689,2)/1000000</f>
        <v>5.9265762500000001</v>
      </c>
      <c r="C21" s="122">
        <f>VLOOKUP(C20,'Mead-Elevation-Area'!$A$5:$B$689,2)/1000000</f>
        <v>5.664593</v>
      </c>
      <c r="D21" s="11"/>
      <c r="E21" s="30"/>
      <c r="N21" s="158" t="s">
        <v>274</v>
      </c>
    </row>
    <row r="22" spans="1:14" x14ac:dyDescent="0.35">
      <c r="A22" t="s">
        <v>253</v>
      </c>
      <c r="B22" s="122">
        <f>Master!B22</f>
        <v>78.099999999999994</v>
      </c>
      <c r="C22"/>
      <c r="D22" s="123"/>
      <c r="E22" s="30"/>
      <c r="N22" s="158" t="s">
        <v>273</v>
      </c>
    </row>
    <row r="23" spans="1:14" x14ac:dyDescent="0.35">
      <c r="A23" t="s">
        <v>254</v>
      </c>
      <c r="B23" s="144">
        <f>Master!B23</f>
        <v>0.17</v>
      </c>
      <c r="C23"/>
      <c r="D23" s="123"/>
      <c r="E23" s="30"/>
      <c r="N23" s="158" t="s">
        <v>275</v>
      </c>
    </row>
    <row r="24" spans="1:14" x14ac:dyDescent="0.35">
      <c r="A24" t="s">
        <v>252</v>
      </c>
      <c r="B24" s="122">
        <f>Master!B24</f>
        <v>4.2300000000000058</v>
      </c>
      <c r="C24"/>
      <c r="D24" s="123"/>
      <c r="E24" s="30"/>
      <c r="N24" s="158" t="s">
        <v>276</v>
      </c>
    </row>
    <row r="25" spans="1:14" x14ac:dyDescent="0.35">
      <c r="A25" t="s">
        <v>314</v>
      </c>
      <c r="B25" s="122">
        <f>Master!B25</f>
        <v>1.94</v>
      </c>
      <c r="C25"/>
      <c r="D25" s="123"/>
      <c r="E25" s="30"/>
      <c r="N25" s="178" t="s">
        <v>321</v>
      </c>
    </row>
    <row r="26" spans="1:14" x14ac:dyDescent="0.35">
      <c r="B26" s="30"/>
      <c r="N26" s="159"/>
    </row>
    <row r="27" spans="1:14" s="1" customFormat="1" x14ac:dyDescent="0.35">
      <c r="A27" s="113" t="s">
        <v>228</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224</v>
      </c>
      <c r="B28" s="1"/>
      <c r="C28" s="108" t="str">
        <f>IF(Master!C28&lt;&gt;"",Master!C28,"")</f>
        <v/>
      </c>
      <c r="D28" s="108" t="str">
        <f>IF(Master!D28&lt;&gt;"",Master!D28,"")</f>
        <v/>
      </c>
      <c r="E28" s="108" t="str">
        <f>IF(Master!E28&lt;&gt;"",Master!E28,"")</f>
        <v/>
      </c>
      <c r="F28" s="108" t="str">
        <f>IF(Master!F28&lt;&gt;"",Master!F28,"")</f>
        <v/>
      </c>
      <c r="G28" s="108" t="str">
        <f>IF(Master!G28&lt;&gt;"",Master!G28,"")</f>
        <v/>
      </c>
      <c r="H28" s="108"/>
      <c r="I28" s="108"/>
      <c r="J28" s="108"/>
      <c r="K28" s="108"/>
      <c r="L28" s="108"/>
      <c r="N28" s="155" t="s">
        <v>277</v>
      </c>
    </row>
    <row r="29" spans="1:14" x14ac:dyDescent="0.35">
      <c r="A29" s="1" t="s">
        <v>86</v>
      </c>
      <c r="B29" s="1"/>
      <c r="C29" s="107" t="str">
        <f>IF(C$28&lt;&gt;"",Master!C29,"")</f>
        <v/>
      </c>
      <c r="D29" s="107" t="str">
        <f>IF(D$28&lt;&gt;"",Master!D29,"")</f>
        <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8" t="s">
        <v>278</v>
      </c>
    </row>
    <row r="30" spans="1:14" x14ac:dyDescent="0.35">
      <c r="A30" s="1" t="s">
        <v>203</v>
      </c>
      <c r="B30" s="1"/>
      <c r="C30" s="107" t="str">
        <f>IF(C$28&lt;&gt;"",Master!C30,"")</f>
        <v/>
      </c>
      <c r="D30" s="107" t="str">
        <f>IF(D$28&lt;&gt;"",Master!D30,"")</f>
        <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8" t="s">
        <v>279</v>
      </c>
    </row>
    <row r="31" spans="1:14" x14ac:dyDescent="0.35">
      <c r="A31" s="1" t="s">
        <v>182</v>
      </c>
      <c r="B31" s="1"/>
      <c r="C31" s="107" t="str">
        <f>IF(C$28&lt;&gt;"",Master!C31,"")</f>
        <v/>
      </c>
      <c r="D31" s="107" t="str">
        <f>IF(D$28&lt;&gt;"",Master!D31,"")</f>
        <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8" t="s">
        <v>280</v>
      </c>
    </row>
    <row r="32" spans="1:14" x14ac:dyDescent="0.35">
      <c r="A32" s="138" t="s">
        <v>225</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281</v>
      </c>
    </row>
    <row r="33" spans="1:14" x14ac:dyDescent="0.35">
      <c r="A33" t="str">
        <f t="shared" ref="A33:A38" si="4">IF(A5="","","    "&amp;A5&amp;" Balance")</f>
        <v xml:space="preserve">    Upper Basin Balance</v>
      </c>
      <c r="B33" s="89">
        <f>B19-B21</f>
        <v>1.2734237500000001</v>
      </c>
      <c r="C33" s="87"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59"/>
    </row>
    <row r="34" spans="1:14" x14ac:dyDescent="0.35">
      <c r="A34" t="str">
        <f t="shared" si="4"/>
        <v xml:space="preserve">    Lower Basin Balance</v>
      </c>
      <c r="B34" s="89">
        <f>C19-C21-B35</f>
        <v>3.1614070000000001</v>
      </c>
      <c r="C34" s="87"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59"/>
    </row>
    <row r="35" spans="1:14" x14ac:dyDescent="0.35">
      <c r="A35" t="str">
        <f t="shared" si="4"/>
        <v xml:space="preserve">    Mexico Balance</v>
      </c>
      <c r="B35" s="90">
        <v>0.17399999999999999</v>
      </c>
      <c r="C35" s="88" t="str">
        <f t="shared" si="6"/>
        <v/>
      </c>
      <c r="D35" s="36" t="str">
        <f t="shared" si="5"/>
        <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59"/>
    </row>
    <row r="36" spans="1:14" x14ac:dyDescent="0.35">
      <c r="A36" t="str">
        <f t="shared" si="4"/>
        <v xml:space="preserve">    Colorado River Delta Balance</v>
      </c>
      <c r="B36" s="89">
        <v>0</v>
      </c>
      <c r="C36" s="87"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59"/>
    </row>
    <row r="37" spans="1:14" x14ac:dyDescent="0.35">
      <c r="A37" t="str">
        <f t="shared" si="4"/>
        <v xml:space="preserve">    First Nations Balance</v>
      </c>
      <c r="B37" s="89">
        <f>IF(A37&lt;&gt;"",0,"")</f>
        <v>0</v>
      </c>
      <c r="C37" s="87"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59"/>
    </row>
    <row r="38" spans="1:14" x14ac:dyDescent="0.35">
      <c r="A38" t="str">
        <f t="shared" si="4"/>
        <v xml:space="preserve">    Shared, Reserve Balance</v>
      </c>
      <c r="B38" s="89">
        <f>SUM(B21:C21)</f>
        <v>11.59116925</v>
      </c>
      <c r="C38" s="87"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59"/>
    </row>
    <row r="39" spans="1:14" x14ac:dyDescent="0.35">
      <c r="A39" s="1" t="s">
        <v>235</v>
      </c>
      <c r="C39"/>
      <c r="N39" s="158" t="s">
        <v>301</v>
      </c>
    </row>
    <row r="40" spans="1:14" x14ac:dyDescent="0.35">
      <c r="A40" t="s">
        <v>83</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59"/>
    </row>
    <row r="41" spans="1:14" x14ac:dyDescent="0.35">
      <c r="A41" t="s">
        <v>84</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59"/>
    </row>
    <row r="42" spans="1:14" x14ac:dyDescent="0.35">
      <c r="A42" s="1" t="s">
        <v>226</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282</v>
      </c>
    </row>
    <row r="43" spans="1:14" x14ac:dyDescent="0.35">
      <c r="A43" t="str">
        <f t="shared" ref="A43:A48" si="9">IF(A5="","","    "&amp;A5&amp;" Share")</f>
        <v xml:space="preserve">    Upper Basin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59"/>
    </row>
    <row r="44" spans="1:14" x14ac:dyDescent="0.35">
      <c r="A44" t="str">
        <f t="shared" si="9"/>
        <v xml:space="preserve">    Lower Basin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59"/>
    </row>
    <row r="45" spans="1:14" x14ac:dyDescent="0.35">
      <c r="A45" t="str">
        <f t="shared" si="9"/>
        <v xml:space="preserve">    Mexico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59"/>
    </row>
    <row r="46" spans="1:14" x14ac:dyDescent="0.35">
      <c r="A46" t="str">
        <f t="shared" si="9"/>
        <v xml:space="preserve">    Colorado River Delta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59"/>
    </row>
    <row r="47" spans="1:14" x14ac:dyDescent="0.35">
      <c r="A47" t="str">
        <f t="shared" si="9"/>
        <v xml:space="preserve">    First Nations Share</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59"/>
    </row>
    <row r="48" spans="1:14" x14ac:dyDescent="0.3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59"/>
    </row>
    <row r="49" spans="1:16" x14ac:dyDescent="0.35">
      <c r="A49" s="1" t="s">
        <v>227</v>
      </c>
      <c r="B49" s="54"/>
      <c r="C49" s="33" t="str">
        <f>IF(C$28&lt;&gt;"",1.5-0.21/9/2-VLOOKUP(C41,MandatoryConservation!$C$5:$P$13,13),"")</f>
        <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8" t="s">
        <v>283</v>
      </c>
    </row>
    <row r="50" spans="1:16" x14ac:dyDescent="0.35">
      <c r="A50" s="138" t="s">
        <v>255</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156" t="s">
        <v>284</v>
      </c>
      <c r="P50" t="s">
        <v>305</v>
      </c>
    </row>
    <row r="51" spans="1:16" x14ac:dyDescent="0.35">
      <c r="A51" t="str">
        <f t="shared" ref="A51:A56" si="12">IF(A5="","","    To "&amp;A5)</f>
        <v xml:space="preserve">    To Upper Basin</v>
      </c>
      <c r="B51" s="105" t="s">
        <v>315</v>
      </c>
      <c r="C51" s="87" t="str">
        <f>IF(OR(C$28="",$A52=""),"",MAX(0,MAX(0,C50-SUM(C52:C57))))</f>
        <v/>
      </c>
      <c r="D51" s="87" t="str">
        <f t="shared" ref="D51:L51" si="13">IF(OR(D$28="",$A52=""),"",MAX(0,MAX(0,D50-SUM(D52:D57))))</f>
        <v/>
      </c>
      <c r="E51" s="87" t="str">
        <f t="shared" si="13"/>
        <v/>
      </c>
      <c r="F51" s="87" t="str">
        <f t="shared" si="13"/>
        <v/>
      </c>
      <c r="G51" s="87" t="str">
        <f t="shared" si="13"/>
        <v/>
      </c>
      <c r="H51" s="87" t="str">
        <f t="shared" si="13"/>
        <v/>
      </c>
      <c r="I51" s="87" t="str">
        <f t="shared" si="13"/>
        <v/>
      </c>
      <c r="J51" s="87" t="str">
        <f t="shared" si="13"/>
        <v/>
      </c>
      <c r="K51" s="87" t="str">
        <f t="shared" si="13"/>
        <v/>
      </c>
      <c r="L51" s="87" t="str">
        <f t="shared" si="13"/>
        <v/>
      </c>
      <c r="M51" s="19"/>
      <c r="N51" s="160"/>
      <c r="P51" s="87" t="str">
        <f>IF(OR(P$28="",$A51=""),"",MAX(P28-($B$24)-P56*$B$21/SUM($B$21:$C$21),0))</f>
        <v/>
      </c>
    </row>
    <row r="52" spans="1:16" x14ac:dyDescent="0.35">
      <c r="A52" t="str">
        <f t="shared" si="12"/>
        <v xml:space="preserve">    To Lower Basin</v>
      </c>
      <c r="B52" s="106">
        <f>7.5-IF($A$9="",0,0.95)-IF(C57="",0.6,C57)*IF($A$9="",(7.2/8.7),(7.2-0.95)/8.7)</f>
        <v>6.1189655172413788</v>
      </c>
      <c r="C52" s="87" t="str">
        <f>IF(OR(C$28="",$A52=""),"",MAX(0,MIN($B$52,C28-SUM(C53/2,C54/4,C55,C56/2,C57)-MAX(0,MIN($B$25,C28-SUM(C56/2,C54/4,C53/2,1.06))))))</f>
        <v/>
      </c>
      <c r="D52" s="87" t="str">
        <f t="shared" ref="D52:L52" si="14">IF(OR(D$28="",$A52=""),"",MAX(0,MIN($B$52,D28-SUM(D53/2,D54/4,D55,D56/2,D57)-MAX(0,MIN($B$25,D28-SUM(D56/2,D54/4,D53/2,1.06))))))</f>
        <v/>
      </c>
      <c r="E52" s="87" t="str">
        <f t="shared" si="14"/>
        <v/>
      </c>
      <c r="F52" s="87" t="str">
        <f t="shared" si="14"/>
        <v/>
      </c>
      <c r="G52" s="87" t="str">
        <f t="shared" si="14"/>
        <v/>
      </c>
      <c r="H52" s="87" t="str">
        <f t="shared" si="14"/>
        <v/>
      </c>
      <c r="I52" s="87" t="str">
        <f t="shared" si="14"/>
        <v/>
      </c>
      <c r="J52" s="87" t="str">
        <f t="shared" si="14"/>
        <v/>
      </c>
      <c r="K52" s="87" t="str">
        <f t="shared" si="14"/>
        <v/>
      </c>
      <c r="L52" s="87" t="str">
        <f t="shared" si="14"/>
        <v/>
      </c>
      <c r="M52" s="19"/>
      <c r="N52" s="160"/>
      <c r="P52" s="87" t="str">
        <f>IF(OR(P$28="",$A52=""),"",P29+P30-P31-P56*$C$21/SUM($B$21:$C$21)-P53+MIN($B$24,P28))</f>
        <v/>
      </c>
    </row>
    <row r="53" spans="1:16" x14ac:dyDescent="0.35">
      <c r="A53" t="str">
        <f t="shared" si="12"/>
        <v xml:space="preserve">    To Mexico</v>
      </c>
      <c r="B53" s="106" t="s">
        <v>206</v>
      </c>
      <c r="C53" s="88" t="str">
        <f>IF(OR(C$28="",$A53=""),"",MIN(C49-C54/2,C$50-SUM(C54:C57))-C57*(1.5/8.7))</f>
        <v/>
      </c>
      <c r="D53" s="88" t="str">
        <f t="shared" ref="D53:L53" si="15">IF(OR(D$28="",$A53=""),"",MIN(D49-D54/2,D$50-SUM(D54:D57))-D57*(1.5/8.7))</f>
        <v/>
      </c>
      <c r="E53" s="88" t="str">
        <f t="shared" si="15"/>
        <v/>
      </c>
      <c r="F53" s="88" t="str">
        <f t="shared" si="15"/>
        <v/>
      </c>
      <c r="G53" s="88" t="str">
        <f t="shared" si="15"/>
        <v/>
      </c>
      <c r="H53" s="88" t="str">
        <f t="shared" si="15"/>
        <v/>
      </c>
      <c r="I53" s="88" t="str">
        <f t="shared" si="15"/>
        <v/>
      </c>
      <c r="J53" s="88" t="str">
        <f t="shared" si="15"/>
        <v/>
      </c>
      <c r="K53" s="88" t="str">
        <f t="shared" si="15"/>
        <v/>
      </c>
      <c r="L53" s="88" t="str">
        <f t="shared" si="15"/>
        <v/>
      </c>
      <c r="M53" s="19"/>
      <c r="N53" s="160"/>
    </row>
    <row r="54" spans="1:16" x14ac:dyDescent="0.35">
      <c r="A54" t="str">
        <f t="shared" si="12"/>
        <v xml:space="preserve">    To Colorado River Delta</v>
      </c>
      <c r="B54" s="115">
        <f>0.21/9*(2/3)</f>
        <v>1.5555555555555553E-2</v>
      </c>
      <c r="C54" s="116" t="str">
        <f>IF(OR(C$28="",$A54=""),"",MIN($B54,C$50-SUM(C55:C56)))</f>
        <v/>
      </c>
      <c r="D54" s="116" t="str">
        <f t="shared" ref="D54:L54" si="16">IF(OR(D$28="",$A54=""),"",MIN($B54,D$50-SUM(D55:D56)))</f>
        <v/>
      </c>
      <c r="E54" s="116" t="str">
        <f t="shared" si="16"/>
        <v/>
      </c>
      <c r="F54" s="116" t="str">
        <f t="shared" si="16"/>
        <v/>
      </c>
      <c r="G54" s="116" t="str">
        <f t="shared" si="16"/>
        <v/>
      </c>
      <c r="H54" s="116" t="str">
        <f t="shared" si="16"/>
        <v/>
      </c>
      <c r="I54" s="116" t="str">
        <f t="shared" si="16"/>
        <v/>
      </c>
      <c r="J54" s="116" t="str">
        <f t="shared" si="16"/>
        <v/>
      </c>
      <c r="K54" s="116" t="str">
        <f t="shared" si="16"/>
        <v/>
      </c>
      <c r="L54" s="116" t="str">
        <f t="shared" si="16"/>
        <v/>
      </c>
      <c r="M54" s="19"/>
      <c r="N54" s="160"/>
    </row>
    <row r="55" spans="1:16" x14ac:dyDescent="0.35">
      <c r="A55" t="str">
        <f t="shared" si="12"/>
        <v xml:space="preserve">    To First Nations</v>
      </c>
      <c r="B55" s="106">
        <f>IF($A$9&lt;&gt;"",2.01,"")</f>
        <v>2.0099999999999998</v>
      </c>
      <c r="C55" s="87" t="str">
        <f>IF(OR(C$28="",$A55=""),"",MIN($B55,C$50-SUM(C56:C57))-C57*0.95/8.7)</f>
        <v/>
      </c>
      <c r="D55" s="87" t="str">
        <f t="shared" ref="D55:L55" si="17">IF(OR(D$28="",$A55=""),"",MIN($B55,D$50-SUM(D56:D57))-D57*0.95/8.7)</f>
        <v/>
      </c>
      <c r="E55" s="87" t="str">
        <f t="shared" si="17"/>
        <v/>
      </c>
      <c r="F55" s="87" t="str">
        <f t="shared" si="17"/>
        <v/>
      </c>
      <c r="G55" s="87" t="str">
        <f t="shared" si="17"/>
        <v/>
      </c>
      <c r="H55" s="87" t="str">
        <f t="shared" si="17"/>
        <v/>
      </c>
      <c r="I55" s="87" t="str">
        <f t="shared" si="17"/>
        <v/>
      </c>
      <c r="J55" s="87" t="str">
        <f t="shared" si="17"/>
        <v/>
      </c>
      <c r="K55" s="87" t="str">
        <f t="shared" si="17"/>
        <v/>
      </c>
      <c r="L55" s="87" t="str">
        <f t="shared" si="17"/>
        <v/>
      </c>
      <c r="M55" s="19"/>
      <c r="N55" s="160"/>
    </row>
    <row r="56" spans="1:16" x14ac:dyDescent="0.35">
      <c r="A56" t="str">
        <f t="shared" si="12"/>
        <v xml:space="preserve">    To Shared, Reserve</v>
      </c>
      <c r="B56" s="106" t="s">
        <v>214</v>
      </c>
      <c r="C56" s="170" t="str">
        <f>IF(OR(C$28="",$A56=""),"",IF(C$50&gt;C48,C48,C50))</f>
        <v/>
      </c>
      <c r="D56" s="170" t="str">
        <f t="shared" ref="D56:L56" si="18">IF(OR(D$28="",$A56=""),"",IF(D$50&gt;D48,D48,D50))</f>
        <v/>
      </c>
      <c r="E56" s="170" t="str">
        <f t="shared" si="18"/>
        <v/>
      </c>
      <c r="F56" s="170" t="str">
        <f t="shared" si="18"/>
        <v/>
      </c>
      <c r="G56" s="170" t="str">
        <f t="shared" si="18"/>
        <v/>
      </c>
      <c r="H56" s="170" t="str">
        <f t="shared" si="18"/>
        <v/>
      </c>
      <c r="I56" s="170" t="str">
        <f t="shared" si="18"/>
        <v/>
      </c>
      <c r="J56" s="170" t="str">
        <f t="shared" si="18"/>
        <v/>
      </c>
      <c r="K56" s="170" t="str">
        <f t="shared" si="18"/>
        <v/>
      </c>
      <c r="L56" s="170" t="str">
        <f t="shared" si="18"/>
        <v/>
      </c>
      <c r="M56" s="19"/>
      <c r="N56" s="160"/>
    </row>
    <row r="57" spans="1:16" x14ac:dyDescent="0.35">
      <c r="A57" t="str">
        <f>IF(A31="","","    To "&amp;A31)</f>
        <v xml:space="preserve">    To Havasu / Parker evaporation and ET</v>
      </c>
      <c r="B57" s="169" t="s">
        <v>316</v>
      </c>
      <c r="C57" s="171" t="str">
        <f>IF(OR(C$28="",$A57=""),"",MIN(C31,C50-C56))</f>
        <v/>
      </c>
      <c r="D57" s="171" t="str">
        <f t="shared" ref="D57:L57" si="19">IF(OR(D$28="",$A57=""),"",MIN(D31,D50-D56))</f>
        <v/>
      </c>
      <c r="E57" s="171" t="str">
        <f t="shared" si="19"/>
        <v/>
      </c>
      <c r="F57" s="171" t="str">
        <f t="shared" si="19"/>
        <v/>
      </c>
      <c r="G57" s="171" t="str">
        <f t="shared" si="19"/>
        <v/>
      </c>
      <c r="H57" s="171" t="str">
        <f t="shared" si="19"/>
        <v/>
      </c>
      <c r="I57" s="171" t="str">
        <f t="shared" si="19"/>
        <v/>
      </c>
      <c r="J57" s="171" t="str">
        <f t="shared" si="19"/>
        <v/>
      </c>
      <c r="K57" s="171" t="str">
        <f t="shared" si="19"/>
        <v/>
      </c>
      <c r="L57" s="171" t="str">
        <f t="shared" si="19"/>
        <v/>
      </c>
      <c r="M57" s="19"/>
      <c r="N57" s="160"/>
    </row>
    <row r="58" spans="1:16" x14ac:dyDescent="0.35">
      <c r="B58" s="20"/>
      <c r="C58" s="19"/>
      <c r="D58" s="19"/>
      <c r="E58" s="19"/>
      <c r="F58" s="129"/>
      <c r="G58" s="30"/>
      <c r="N58" s="159"/>
    </row>
    <row r="59" spans="1:16" x14ac:dyDescent="0.35">
      <c r="A59" s="112" t="s">
        <v>256</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285</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286</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287</v>
      </c>
    </row>
    <row r="63" spans="1:16" x14ac:dyDescent="0.35">
      <c r="A63" s="21" t="str">
        <f>IF(A62="","","   Net trade volume all players (should be zero)")</f>
        <v xml:space="preserve">   Net trade volume all players (should be zero)</v>
      </c>
      <c r="C63" s="48" t="str">
        <f t="shared" ref="C63:M63" si="20">IF(OR(C$28="",$A63=""),"",C$116)</f>
        <v/>
      </c>
      <c r="D63" s="48" t="str">
        <f t="shared" si="20"/>
        <v/>
      </c>
      <c r="E63" s="48" t="str">
        <f t="shared" si="20"/>
        <v/>
      </c>
      <c r="F63" s="48" t="str">
        <f t="shared" si="20"/>
        <v/>
      </c>
      <c r="G63" s="48" t="str">
        <f t="shared" si="20"/>
        <v/>
      </c>
      <c r="H63" s="48" t="str">
        <f t="shared" si="20"/>
        <v/>
      </c>
      <c r="I63" s="48" t="str">
        <f t="shared" si="20"/>
        <v/>
      </c>
      <c r="J63" s="48" t="str">
        <f t="shared" si="20"/>
        <v/>
      </c>
      <c r="K63" s="48" t="str">
        <f t="shared" si="20"/>
        <v/>
      </c>
      <c r="L63" s="48" t="str">
        <f t="shared" si="20"/>
        <v/>
      </c>
      <c r="M63" t="str">
        <f t="shared" si="20"/>
        <v/>
      </c>
      <c r="N63" s="158" t="s">
        <v>288</v>
      </c>
    </row>
    <row r="64" spans="1:16" x14ac:dyDescent="0.35">
      <c r="A64" s="1" t="str">
        <f>IF(A62="","","   Available Water [maf]")</f>
        <v xml:space="preserve">   Available Water [maf]</v>
      </c>
      <c r="C64" s="130" t="str">
        <f>IF(OR(C$28="",$A64=""),"",C33+C51-C43+C61)</f>
        <v/>
      </c>
      <c r="D64" s="13" t="str">
        <f t="shared" ref="D64:L64" si="21">IF(OR(D$28="",$A64=""),"",D33+D51-D43+D61)</f>
        <v/>
      </c>
      <c r="E64" s="13" t="str">
        <f t="shared" si="21"/>
        <v/>
      </c>
      <c r="F64" s="13" t="str">
        <f t="shared" si="21"/>
        <v/>
      </c>
      <c r="G64" s="13" t="str">
        <f t="shared" si="21"/>
        <v/>
      </c>
      <c r="H64" s="13" t="str">
        <f t="shared" si="21"/>
        <v/>
      </c>
      <c r="I64" s="13" t="str">
        <f t="shared" si="21"/>
        <v/>
      </c>
      <c r="J64" s="13" t="str">
        <f t="shared" si="21"/>
        <v/>
      </c>
      <c r="K64" s="13" t="str">
        <f t="shared" si="21"/>
        <v/>
      </c>
      <c r="L64" s="13" t="str">
        <f t="shared" si="21"/>
        <v/>
      </c>
      <c r="N64" s="158" t="s">
        <v>289</v>
      </c>
    </row>
    <row r="65" spans="1:14" x14ac:dyDescent="0.35">
      <c r="A65" s="138" t="str">
        <f>IF(A64="","","   Enter withdraw [maf] within available water")</f>
        <v xml:space="preserve">   Enter withdraw [maf] within available water</v>
      </c>
      <c r="C65" s="183" t="str">
        <f>IF(C$28&lt;&gt;"",IF(C64&gt;4.2,4.2,MAX(C64,0)-0.01),"")</f>
        <v/>
      </c>
      <c r="D65" s="183" t="str">
        <f t="shared" ref="D65:G65" si="22">IF(D$28&lt;&gt;"",IF(D64&gt;4.2,4.2,MAX(D64,0)-0.01),"")</f>
        <v/>
      </c>
      <c r="E65" s="183" t="str">
        <f t="shared" si="22"/>
        <v/>
      </c>
      <c r="F65" s="183" t="str">
        <f t="shared" si="22"/>
        <v/>
      </c>
      <c r="G65" s="183" t="str">
        <f t="shared" si="22"/>
        <v/>
      </c>
      <c r="H65" s="104">
        <f t="shared" ref="H65:L65" si="23">IF(H$27&lt;&gt;"",IF(H64&gt;4.2,4.2,MAX(H64,0)),"")</f>
        <v>4.2</v>
      </c>
      <c r="I65" s="104">
        <f t="shared" si="23"/>
        <v>4.2</v>
      </c>
      <c r="J65" s="104">
        <f t="shared" si="23"/>
        <v>4.2</v>
      </c>
      <c r="K65" s="104">
        <f t="shared" si="23"/>
        <v>4.2</v>
      </c>
      <c r="L65" s="104">
        <f t="shared" si="23"/>
        <v>4.2</v>
      </c>
      <c r="N65" s="158" t="s">
        <v>302</v>
      </c>
    </row>
    <row r="66" spans="1:14" x14ac:dyDescent="0.35">
      <c r="A66" s="21" t="str">
        <f>IF(A65="","","   End of Year Balance [maf]")</f>
        <v xml:space="preserve">   End of Year Balance [maf]</v>
      </c>
      <c r="C66" s="47" t="str">
        <f>IF(OR(C$28="",$A66=""),"",C64-C65)</f>
        <v/>
      </c>
      <c r="D66" s="47" t="str">
        <f t="shared" ref="D66:L66" si="24">IF(OR(D$28="",$A66=""),"",D64-D65)</f>
        <v/>
      </c>
      <c r="E66" s="47" t="str">
        <f t="shared" si="24"/>
        <v/>
      </c>
      <c r="F66" s="47" t="str">
        <f t="shared" si="24"/>
        <v/>
      </c>
      <c r="G66" s="47" t="str">
        <f t="shared" si="24"/>
        <v/>
      </c>
      <c r="H66" s="47" t="str">
        <f t="shared" si="24"/>
        <v/>
      </c>
      <c r="I66" s="47" t="str">
        <f t="shared" si="24"/>
        <v/>
      </c>
      <c r="J66" s="47" t="str">
        <f t="shared" si="24"/>
        <v/>
      </c>
      <c r="K66" s="47" t="str">
        <f t="shared" si="24"/>
        <v/>
      </c>
      <c r="L66" s="47" t="str">
        <f t="shared" si="24"/>
        <v/>
      </c>
      <c r="N66" s="158" t="s">
        <v>290</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285</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161" t="s">
        <v>286</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287</v>
      </c>
    </row>
    <row r="71" spans="1:14" x14ac:dyDescent="0.35">
      <c r="A71" s="145" t="str">
        <f>IF(A70="","",$A$63)</f>
        <v xml:space="preserve">   Net trade volume all players (should be zero)</v>
      </c>
      <c r="C71" s="48" t="str">
        <f t="shared" ref="C71:M71" si="25">IF(OR(C$28="",$A71=""),"",C$116)</f>
        <v/>
      </c>
      <c r="D71" s="48" t="str">
        <f t="shared" si="25"/>
        <v/>
      </c>
      <c r="E71" s="48" t="str">
        <f t="shared" si="25"/>
        <v/>
      </c>
      <c r="F71" s="48" t="str">
        <f t="shared" si="25"/>
        <v/>
      </c>
      <c r="G71" s="48" t="str">
        <f t="shared" si="25"/>
        <v/>
      </c>
      <c r="H71" s="48" t="str">
        <f t="shared" si="25"/>
        <v/>
      </c>
      <c r="I71" s="48" t="str">
        <f t="shared" si="25"/>
        <v/>
      </c>
      <c r="J71" s="48" t="str">
        <f t="shared" si="25"/>
        <v/>
      </c>
      <c r="K71" s="48" t="str">
        <f t="shared" si="25"/>
        <v/>
      </c>
      <c r="L71" s="48" t="str">
        <f t="shared" si="25"/>
        <v/>
      </c>
      <c r="M71" t="str">
        <f t="shared" si="25"/>
        <v/>
      </c>
      <c r="N71" s="158" t="s">
        <v>288</v>
      </c>
    </row>
    <row r="72" spans="1:14" x14ac:dyDescent="0.35">
      <c r="A72" s="1" t="str">
        <f>IF(A70="","","   Available Water [maf]")</f>
        <v xml:space="preserve">   Available Water [maf]</v>
      </c>
      <c r="C72" s="13" t="str">
        <f>IF(OR(C$28="",$A72=""),"",C34+C52-C44+C69)</f>
        <v/>
      </c>
      <c r="D72" s="13" t="str">
        <f t="shared" ref="D72:L72" si="26">IF(OR(D$28="",$A72=""),"",D34+D52-D44+D69)</f>
        <v/>
      </c>
      <c r="E72" s="13" t="str">
        <f t="shared" si="26"/>
        <v/>
      </c>
      <c r="F72" s="13" t="str">
        <f t="shared" si="26"/>
        <v/>
      </c>
      <c r="G72" s="13" t="str">
        <f t="shared" si="26"/>
        <v/>
      </c>
      <c r="H72" s="13" t="str">
        <f t="shared" si="26"/>
        <v/>
      </c>
      <c r="I72" s="13" t="str">
        <f t="shared" si="26"/>
        <v/>
      </c>
      <c r="J72" s="13" t="str">
        <f t="shared" si="26"/>
        <v/>
      </c>
      <c r="K72" s="13" t="str">
        <f t="shared" si="26"/>
        <v/>
      </c>
      <c r="L72" s="13" t="str">
        <f t="shared" si="26"/>
        <v/>
      </c>
      <c r="N72" s="158" t="s">
        <v>289</v>
      </c>
    </row>
    <row r="73" spans="1:14" x14ac:dyDescent="0.35">
      <c r="A73" s="138" t="str">
        <f>IF(A72="","",$A$65)</f>
        <v xml:space="preserve">   Enter withdraw [maf] within available water</v>
      </c>
      <c r="C73" s="104" t="str">
        <f>IF(C28&lt;&gt;"",MIN(7.5-VLOOKUP(C41,MandatoryConservation!$C$5:$P$13,14),C72)-0.001,"")</f>
        <v/>
      </c>
      <c r="D73" s="104" t="str">
        <f>IF(D28&lt;&gt;"",MIN(7.5-VLOOKUP(D41,MandatoryConservation!$C$5:$P$13,14),D72)-0.001,"")</f>
        <v/>
      </c>
      <c r="E73" s="104" t="str">
        <f>IF(E28&lt;&gt;"",MIN(7.5-VLOOKUP(E41,MandatoryConservation!$C$5:$P$13,14),E72)-0.001,"")</f>
        <v/>
      </c>
      <c r="F73" s="104" t="str">
        <f>IF(F28&lt;&gt;"",MIN(7.5-VLOOKUP(F41,MandatoryConservation!$C$5:$P$13,14),F72)-0.001,"")</f>
        <v/>
      </c>
      <c r="G73" s="104" t="str">
        <f>IF(G28&lt;&gt;"",MIN(7.5-VLOOKUP(G41,MandatoryConservation!$C$5:$P$13,14),G72)-0.001,"")</f>
        <v/>
      </c>
      <c r="H73" s="104"/>
      <c r="I73" s="104"/>
      <c r="J73" s="104"/>
      <c r="K73" s="104"/>
      <c r="L73" s="104"/>
      <c r="N73" s="158" t="s">
        <v>302</v>
      </c>
    </row>
    <row r="74" spans="1:14" x14ac:dyDescent="0.35">
      <c r="A74" s="21" t="str">
        <f>IF(A73="","","   End of Year Balance [maf]")</f>
        <v xml:space="preserve">   End of Year Balance [maf]</v>
      </c>
      <c r="C74" s="47" t="str">
        <f>IF(OR(C$28="",$A74=""),"",C72-C73)</f>
        <v/>
      </c>
      <c r="D74" s="47" t="str">
        <f t="shared" ref="D74:L74" si="27">IF(OR(D$28="",$A74=""),"",D72-D73)</f>
        <v/>
      </c>
      <c r="E74" s="47" t="str">
        <f t="shared" si="27"/>
        <v/>
      </c>
      <c r="F74" s="47" t="str">
        <f t="shared" si="27"/>
        <v/>
      </c>
      <c r="G74" s="47" t="str">
        <f t="shared" si="27"/>
        <v/>
      </c>
      <c r="H74" s="47" t="str">
        <f t="shared" si="27"/>
        <v/>
      </c>
      <c r="I74" s="47" t="str">
        <f t="shared" si="27"/>
        <v/>
      </c>
      <c r="J74" s="47" t="str">
        <f t="shared" si="27"/>
        <v/>
      </c>
      <c r="K74" s="47" t="str">
        <f t="shared" si="27"/>
        <v/>
      </c>
      <c r="L74" s="47" t="str">
        <f t="shared" si="27"/>
        <v/>
      </c>
      <c r="N74" s="158" t="s">
        <v>290</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285</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286</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287</v>
      </c>
    </row>
    <row r="79" spans="1:14" x14ac:dyDescent="0.35">
      <c r="A79" s="145" t="str">
        <f>IF(A78="","",$A$63)</f>
        <v xml:space="preserve">   Net trade volume all players (should be zero)</v>
      </c>
      <c r="C79" s="48" t="str">
        <f t="shared" ref="C79:M79" si="28">IF(OR(C$28="",$A79=""),"",C$116)</f>
        <v/>
      </c>
      <c r="D79" s="48" t="str">
        <f t="shared" si="28"/>
        <v/>
      </c>
      <c r="E79" s="48" t="str">
        <f t="shared" si="28"/>
        <v/>
      </c>
      <c r="F79" s="48" t="str">
        <f t="shared" si="28"/>
        <v/>
      </c>
      <c r="G79" s="48" t="str">
        <f t="shared" si="28"/>
        <v/>
      </c>
      <c r="H79" s="48" t="str">
        <f t="shared" si="28"/>
        <v/>
      </c>
      <c r="I79" s="48" t="str">
        <f t="shared" si="28"/>
        <v/>
      </c>
      <c r="J79" s="48" t="str">
        <f t="shared" si="28"/>
        <v/>
      </c>
      <c r="K79" s="48" t="str">
        <f t="shared" si="28"/>
        <v/>
      </c>
      <c r="L79" s="48" t="str">
        <f t="shared" si="28"/>
        <v/>
      </c>
      <c r="M79" t="str">
        <f t="shared" si="28"/>
        <v/>
      </c>
      <c r="N79" s="158" t="s">
        <v>288</v>
      </c>
    </row>
    <row r="80" spans="1:14" x14ac:dyDescent="0.35">
      <c r="A80" s="1" t="str">
        <f>IF(A78="","","   Available Water [maf]")</f>
        <v xml:space="preserve">   Available Water [maf]</v>
      </c>
      <c r="C80" s="13" t="str">
        <f>IF(OR(C$28="",$A80=""),"",C35+C53-C45+C77)</f>
        <v/>
      </c>
      <c r="D80" s="13" t="str">
        <f t="shared" ref="D80:L80" si="29">IF(OR(D$28="",$A80=""),"",D35+D53-D45+D77)</f>
        <v/>
      </c>
      <c r="E80" s="13" t="str">
        <f t="shared" si="29"/>
        <v/>
      </c>
      <c r="F80" s="13" t="str">
        <f t="shared" si="29"/>
        <v/>
      </c>
      <c r="G80" s="13" t="str">
        <f t="shared" si="29"/>
        <v/>
      </c>
      <c r="H80" s="13" t="str">
        <f t="shared" si="29"/>
        <v/>
      </c>
      <c r="I80" s="13" t="str">
        <f t="shared" si="29"/>
        <v/>
      </c>
      <c r="J80" s="13" t="str">
        <f t="shared" si="29"/>
        <v/>
      </c>
      <c r="K80" s="13" t="str">
        <f t="shared" si="29"/>
        <v/>
      </c>
      <c r="L80" s="13" t="str">
        <f t="shared" si="29"/>
        <v/>
      </c>
      <c r="N80" s="158" t="s">
        <v>289</v>
      </c>
    </row>
    <row r="81" spans="1:14" x14ac:dyDescent="0.35">
      <c r="A81" s="138" t="str">
        <f>IF(A80="","",$A$65)</f>
        <v xml:space="preserve">   Enter withdraw [maf] within available water</v>
      </c>
      <c r="C81" s="104" t="str">
        <f>IF(C28&lt;&gt;"",MIN(C49,C80-0.001),"")</f>
        <v/>
      </c>
      <c r="D81" s="104" t="str">
        <f t="shared" ref="D81:G81" si="30">IF(D28&lt;&gt;"",MIN(D49,D80-0.001),"")</f>
        <v/>
      </c>
      <c r="E81" s="104" t="str">
        <f t="shared" si="30"/>
        <v/>
      </c>
      <c r="F81" s="104" t="str">
        <f t="shared" si="30"/>
        <v/>
      </c>
      <c r="G81" s="104" t="str">
        <f t="shared" si="30"/>
        <v/>
      </c>
      <c r="H81" s="104"/>
      <c r="I81" s="104"/>
      <c r="J81" s="104"/>
      <c r="K81" s="104"/>
      <c r="L81" s="104"/>
      <c r="N81" s="158" t="s">
        <v>302</v>
      </c>
    </row>
    <row r="82" spans="1:14" x14ac:dyDescent="0.35">
      <c r="A82" s="21" t="str">
        <f>IF(A81="","","   End of Year Balance [maf]")</f>
        <v xml:space="preserve">   End of Year Balance [maf]</v>
      </c>
      <c r="C82" s="47" t="str">
        <f>IF(OR(C$28="",$A82=""),"",C80-C81)</f>
        <v/>
      </c>
      <c r="D82" s="47" t="str">
        <f t="shared" ref="D82:L82" si="31">IF(OR(D$28="",$A82=""),"",D80-D81)</f>
        <v/>
      </c>
      <c r="E82" s="47" t="str">
        <f t="shared" si="31"/>
        <v/>
      </c>
      <c r="F82" s="47" t="str">
        <f t="shared" si="31"/>
        <v/>
      </c>
      <c r="G82" s="47" t="str">
        <f t="shared" si="31"/>
        <v/>
      </c>
      <c r="H82" s="47" t="str">
        <f t="shared" si="31"/>
        <v/>
      </c>
      <c r="I82" s="47" t="str">
        <f t="shared" si="31"/>
        <v/>
      </c>
      <c r="J82" s="47" t="str">
        <f t="shared" si="31"/>
        <v/>
      </c>
      <c r="K82" s="47" t="str">
        <f t="shared" si="31"/>
        <v/>
      </c>
      <c r="L82" s="47" t="str">
        <f t="shared" si="31"/>
        <v/>
      </c>
      <c r="N82" s="158" t="s">
        <v>290</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285</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286</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287</v>
      </c>
    </row>
    <row r="87" spans="1:14" x14ac:dyDescent="0.35">
      <c r="A87" s="145" t="str">
        <f>IF(A86="","",$A$63)</f>
        <v xml:space="preserve">   Net trade volume all players (should be zero)</v>
      </c>
      <c r="C87" s="48" t="str">
        <f t="shared" ref="C87:M87" si="32">IF(OR(C$28="",$A87=""),"",C$116)</f>
        <v/>
      </c>
      <c r="D87" s="48" t="str">
        <f t="shared" si="32"/>
        <v/>
      </c>
      <c r="E87" s="48" t="str">
        <f t="shared" si="32"/>
        <v/>
      </c>
      <c r="F87" s="48" t="str">
        <f t="shared" si="32"/>
        <v/>
      </c>
      <c r="G87" s="48" t="str">
        <f t="shared" si="32"/>
        <v/>
      </c>
      <c r="H87" s="48" t="str">
        <f t="shared" si="32"/>
        <v/>
      </c>
      <c r="I87" s="48" t="str">
        <f t="shared" si="32"/>
        <v/>
      </c>
      <c r="J87" s="48" t="str">
        <f t="shared" si="32"/>
        <v/>
      </c>
      <c r="K87" s="48" t="str">
        <f t="shared" si="32"/>
        <v/>
      </c>
      <c r="L87" s="48" t="str">
        <f t="shared" si="32"/>
        <v/>
      </c>
      <c r="M87" t="str">
        <f t="shared" si="32"/>
        <v/>
      </c>
      <c r="N87" s="158" t="s">
        <v>288</v>
      </c>
    </row>
    <row r="88" spans="1:14" x14ac:dyDescent="0.35">
      <c r="A88" s="1" t="str">
        <f>IF(A86="","","   Available Water [maf]")</f>
        <v xml:space="preserve">   Available Water [maf]</v>
      </c>
      <c r="C88" s="130" t="str">
        <f>IF(OR(C$28="",$A88=""),"",C36+C54-C46+C85)</f>
        <v/>
      </c>
      <c r="D88" s="130" t="str">
        <f t="shared" ref="D88:L88" si="33">IF(OR(D$28="",$A88=""),"",D36+D54-D46+D85)</f>
        <v/>
      </c>
      <c r="E88" s="130" t="str">
        <f t="shared" si="33"/>
        <v/>
      </c>
      <c r="F88" s="130" t="str">
        <f t="shared" si="33"/>
        <v/>
      </c>
      <c r="G88" s="130" t="str">
        <f t="shared" si="33"/>
        <v/>
      </c>
      <c r="H88" s="130" t="str">
        <f t="shared" si="33"/>
        <v/>
      </c>
      <c r="I88" s="130" t="str">
        <f t="shared" si="33"/>
        <v/>
      </c>
      <c r="J88" s="130" t="str">
        <f t="shared" si="33"/>
        <v/>
      </c>
      <c r="K88" s="130" t="str">
        <f t="shared" si="33"/>
        <v/>
      </c>
      <c r="L88" s="130" t="str">
        <f t="shared" si="33"/>
        <v/>
      </c>
      <c r="N88" s="158" t="s">
        <v>289</v>
      </c>
    </row>
    <row r="89" spans="1:14" x14ac:dyDescent="0.35">
      <c r="A89" s="138" t="str">
        <f>IF(A88="","",$A$65)</f>
        <v xml:space="preserve">   Enter withdraw [maf] within available water</v>
      </c>
      <c r="C89" s="131"/>
      <c r="D89" s="131"/>
      <c r="E89" s="131"/>
      <c r="F89" s="131"/>
      <c r="G89" s="131"/>
      <c r="H89" s="131"/>
      <c r="I89" s="131"/>
      <c r="J89" s="131"/>
      <c r="K89" s="131"/>
      <c r="L89" s="131"/>
      <c r="N89" s="158" t="s">
        <v>302</v>
      </c>
    </row>
    <row r="90" spans="1:14" x14ac:dyDescent="0.35">
      <c r="A90" s="21" t="str">
        <f>IF(A89="","","   End of Year Balance [maf]")</f>
        <v xml:space="preserve">   End of Year Balance [maf]</v>
      </c>
      <c r="C90" s="47" t="str">
        <f>IF(OR(C$28="",$A90=""),"",C88-C89)</f>
        <v/>
      </c>
      <c r="D90" s="47" t="str">
        <f t="shared" ref="D90:L90" si="34">IF(OR(D$28="",$A90=""),"",D88-D89)</f>
        <v/>
      </c>
      <c r="E90" s="47" t="str">
        <f t="shared" si="34"/>
        <v/>
      </c>
      <c r="F90" s="47" t="str">
        <f t="shared" si="34"/>
        <v/>
      </c>
      <c r="G90" s="47" t="str">
        <f t="shared" si="34"/>
        <v/>
      </c>
      <c r="H90" s="47" t="str">
        <f t="shared" si="34"/>
        <v/>
      </c>
      <c r="I90" s="47" t="str">
        <f t="shared" si="34"/>
        <v/>
      </c>
      <c r="J90" s="47" t="str">
        <f t="shared" si="34"/>
        <v/>
      </c>
      <c r="K90" s="47" t="str">
        <f t="shared" si="34"/>
        <v/>
      </c>
      <c r="L90" s="47" t="str">
        <f t="shared" si="34"/>
        <v/>
      </c>
      <c r="N90" s="158" t="s">
        <v>290</v>
      </c>
    </row>
    <row r="91" spans="1:14" x14ac:dyDescent="0.35">
      <c r="C91"/>
      <c r="N91" s="159"/>
    </row>
    <row r="92" spans="1:14" x14ac:dyDescent="0.35">
      <c r="A92" s="132" t="str">
        <f>IF(A$9="","[Unused]",A9)</f>
        <v>First Nations</v>
      </c>
      <c r="B92" s="110"/>
      <c r="C92" s="110"/>
      <c r="D92" s="110"/>
      <c r="E92" s="110"/>
      <c r="F92" s="110"/>
      <c r="G92" s="110"/>
      <c r="H92" s="110"/>
      <c r="I92" s="110"/>
      <c r="J92" s="110"/>
      <c r="K92" s="110"/>
      <c r="L92" s="110"/>
      <c r="M92" s="111" t="s">
        <v>79</v>
      </c>
      <c r="N92" s="155" t="s">
        <v>285</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1" t="s">
        <v>286</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2" t="s">
        <v>287</v>
      </c>
    </row>
    <row r="95" spans="1:14" x14ac:dyDescent="0.35">
      <c r="A95" s="145" t="str">
        <f>IF(A94="","",$A$63)</f>
        <v xml:space="preserve">   Net trade volume all players (should be zero)</v>
      </c>
      <c r="C95" s="48" t="str">
        <f t="shared" ref="C95:M95" si="35">IF(OR(C$28="",$A95=""),"",C$116)</f>
        <v/>
      </c>
      <c r="D95" s="48" t="str">
        <f t="shared" si="35"/>
        <v/>
      </c>
      <c r="E95" s="48" t="str">
        <f t="shared" si="35"/>
        <v/>
      </c>
      <c r="F95" s="48" t="str">
        <f t="shared" si="35"/>
        <v/>
      </c>
      <c r="G95" s="48" t="str">
        <f t="shared" si="35"/>
        <v/>
      </c>
      <c r="H95" s="48" t="str">
        <f t="shared" si="35"/>
        <v/>
      </c>
      <c r="I95" s="48" t="str">
        <f t="shared" si="35"/>
        <v/>
      </c>
      <c r="J95" s="48" t="str">
        <f t="shared" si="35"/>
        <v/>
      </c>
      <c r="K95" s="48" t="str">
        <f t="shared" si="35"/>
        <v/>
      </c>
      <c r="L95" s="48" t="str">
        <f t="shared" si="35"/>
        <v/>
      </c>
      <c r="M95" t="str">
        <f t="shared" si="35"/>
        <v/>
      </c>
      <c r="N95" s="158" t="s">
        <v>288</v>
      </c>
    </row>
    <row r="96" spans="1:14" x14ac:dyDescent="0.35">
      <c r="A96" s="1" t="str">
        <f>IF(A94="","","   Available Water [maf]")</f>
        <v xml:space="preserve">   Available Water [maf]</v>
      </c>
      <c r="C96" s="13" t="str">
        <f>IF(OR(C$28="",$A96=""),"",C37+C55-C47+C93)</f>
        <v/>
      </c>
      <c r="D96" s="13" t="str">
        <f t="shared" ref="D96:L96" si="36">IF(OR(D$28="",$A96=""),"",D37+D55-D47+D93)</f>
        <v/>
      </c>
      <c r="E96" s="13" t="str">
        <f t="shared" si="36"/>
        <v/>
      </c>
      <c r="F96" s="13" t="str">
        <f t="shared" si="36"/>
        <v/>
      </c>
      <c r="G96" s="13" t="str">
        <f t="shared" si="36"/>
        <v/>
      </c>
      <c r="H96" s="13" t="str">
        <f t="shared" si="36"/>
        <v/>
      </c>
      <c r="I96" s="13" t="str">
        <f t="shared" si="36"/>
        <v/>
      </c>
      <c r="J96" s="13" t="str">
        <f t="shared" si="36"/>
        <v/>
      </c>
      <c r="K96" s="13" t="str">
        <f t="shared" si="36"/>
        <v/>
      </c>
      <c r="L96" s="13" t="str">
        <f t="shared" si="36"/>
        <v/>
      </c>
      <c r="N96" s="158" t="s">
        <v>289</v>
      </c>
    </row>
    <row r="97" spans="1:14" x14ac:dyDescent="0.35">
      <c r="A97" s="138" t="str">
        <f>IF(A96="","",$A$65)</f>
        <v xml:space="preserve">   Enter withdraw [maf] within available water</v>
      </c>
      <c r="C97" s="104" t="str">
        <f>IF(OR(C$28="",$A97=""),"",C96-0.001)</f>
        <v/>
      </c>
      <c r="D97" s="104" t="str">
        <f t="shared" ref="D97:G97" si="37">IF(OR(D$28="",$A97=""),"",D96-0.001)</f>
        <v/>
      </c>
      <c r="E97" s="104" t="str">
        <f t="shared" si="37"/>
        <v/>
      </c>
      <c r="F97" s="104" t="str">
        <f t="shared" si="37"/>
        <v/>
      </c>
      <c r="G97" s="104" t="str">
        <f t="shared" si="37"/>
        <v/>
      </c>
      <c r="H97" s="104"/>
      <c r="I97" s="104"/>
      <c r="J97" s="104"/>
      <c r="K97" s="104"/>
      <c r="L97" s="104"/>
      <c r="N97" s="158" t="s">
        <v>302</v>
      </c>
    </row>
    <row r="98" spans="1:14" x14ac:dyDescent="0.35">
      <c r="A98" s="21" t="str">
        <f>IF(A97="","","   End of Year Balance [maf]")</f>
        <v xml:space="preserve">   End of Year Balance [maf]</v>
      </c>
      <c r="C98" s="47" t="str">
        <f>IF(OR(C$28="",$A98=""),"",C96-C97)</f>
        <v/>
      </c>
      <c r="D98" s="47" t="str">
        <f t="shared" ref="D98:L98" si="38">IF(OR(D$28="",$A98=""),"",D96-D97)</f>
        <v/>
      </c>
      <c r="E98" s="47" t="str">
        <f t="shared" si="38"/>
        <v/>
      </c>
      <c r="F98" s="47" t="str">
        <f t="shared" si="38"/>
        <v/>
      </c>
      <c r="G98" s="47" t="str">
        <f t="shared" si="38"/>
        <v/>
      </c>
      <c r="H98" s="47" t="str">
        <f t="shared" si="38"/>
        <v/>
      </c>
      <c r="I98" s="47" t="str">
        <f t="shared" si="38"/>
        <v/>
      </c>
      <c r="J98" s="47" t="str">
        <f t="shared" si="38"/>
        <v/>
      </c>
      <c r="K98" s="47" t="str">
        <f t="shared" si="38"/>
        <v/>
      </c>
      <c r="L98" s="47" t="str">
        <f t="shared" si="38"/>
        <v/>
      </c>
      <c r="N98" s="158" t="s">
        <v>290</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300</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players (should be zero)</v>
      </c>
      <c r="C103" s="48" t="str">
        <f t="shared" ref="C103:M103" si="39">IF(OR(C$28="",$A103=""),"",C$116)</f>
        <v/>
      </c>
      <c r="D103" s="48" t="str">
        <f t="shared" si="39"/>
        <v/>
      </c>
      <c r="E103" s="48" t="str">
        <f t="shared" si="39"/>
        <v/>
      </c>
      <c r="F103" s="48" t="str">
        <f t="shared" si="39"/>
        <v/>
      </c>
      <c r="G103" s="48" t="str">
        <f t="shared" si="39"/>
        <v/>
      </c>
      <c r="H103" s="48" t="str">
        <f t="shared" si="39"/>
        <v/>
      </c>
      <c r="I103" s="48" t="str">
        <f t="shared" si="39"/>
        <v/>
      </c>
      <c r="J103" s="48" t="str">
        <f t="shared" si="39"/>
        <v/>
      </c>
      <c r="K103" s="48" t="str">
        <f t="shared" si="39"/>
        <v/>
      </c>
      <c r="L103" s="48" t="str">
        <f t="shared" si="39"/>
        <v/>
      </c>
      <c r="M103" t="str">
        <f t="shared" si="39"/>
        <v/>
      </c>
      <c r="N103" s="159"/>
    </row>
    <row r="104" spans="1:14" x14ac:dyDescent="0.35">
      <c r="A104" s="1" t="str">
        <f>IF(A102="","","   Available Water [maf]")</f>
        <v xml:space="preserve">   Available Water [maf]</v>
      </c>
      <c r="C104" s="13" t="str">
        <f>IF(OR(C$28="",$A104=""),"",C38+C56-C48+C101)</f>
        <v/>
      </c>
      <c r="D104" s="13" t="str">
        <f t="shared" ref="D104:L104" si="40">IF(OR(D$28="",$A104=""),"",D38+D56-D48+D101)</f>
        <v/>
      </c>
      <c r="E104" s="13" t="str">
        <f t="shared" si="40"/>
        <v/>
      </c>
      <c r="F104" s="13" t="str">
        <f t="shared" si="40"/>
        <v/>
      </c>
      <c r="G104" s="13" t="str">
        <f t="shared" si="40"/>
        <v/>
      </c>
      <c r="H104" s="13" t="str">
        <f t="shared" si="40"/>
        <v/>
      </c>
      <c r="I104" s="13" t="str">
        <f t="shared" si="40"/>
        <v/>
      </c>
      <c r="J104" s="13" t="str">
        <f t="shared" si="40"/>
        <v/>
      </c>
      <c r="K104" s="13" t="str">
        <f t="shared" si="40"/>
        <v/>
      </c>
      <c r="L104" s="13" t="str">
        <f t="shared" si="40"/>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41">IF(OR(D$28="",$A106=""),"",D104-D105)</f>
        <v/>
      </c>
      <c r="E106" s="47" t="str">
        <f t="shared" si="41"/>
        <v/>
      </c>
      <c r="F106" s="47" t="str">
        <f t="shared" si="41"/>
        <v/>
      </c>
      <c r="G106" s="47" t="str">
        <f t="shared" si="41"/>
        <v/>
      </c>
      <c r="H106" s="47" t="str">
        <f t="shared" si="41"/>
        <v/>
      </c>
      <c r="I106" s="47" t="str">
        <f t="shared" si="41"/>
        <v/>
      </c>
      <c r="J106" s="47" t="str">
        <f t="shared" si="41"/>
        <v/>
      </c>
      <c r="K106" s="47" t="str">
        <f t="shared" si="41"/>
        <v/>
      </c>
      <c r="L106" s="47" t="str">
        <f t="shared" si="41"/>
        <v/>
      </c>
      <c r="N106" s="159"/>
    </row>
    <row r="107" spans="1:14" x14ac:dyDescent="0.35">
      <c r="C107"/>
      <c r="N107" s="159"/>
    </row>
    <row r="108" spans="1:14" x14ac:dyDescent="0.35">
      <c r="A108" s="112" t="s">
        <v>264</v>
      </c>
      <c r="B108" s="112"/>
      <c r="C108" s="112"/>
      <c r="D108" s="112"/>
      <c r="E108" s="112"/>
      <c r="F108" s="112"/>
      <c r="G108" s="112"/>
      <c r="H108" s="112"/>
      <c r="I108" s="112"/>
      <c r="J108" s="112"/>
      <c r="K108" s="112"/>
      <c r="L108" s="112"/>
      <c r="M108" s="112"/>
      <c r="N108" s="158" t="s">
        <v>291</v>
      </c>
    </row>
    <row r="109" spans="1:14" x14ac:dyDescent="0.35">
      <c r="A109" s="1" t="s">
        <v>219</v>
      </c>
      <c r="C109"/>
      <c r="M109" t="s">
        <v>114</v>
      </c>
      <c r="N109" s="159"/>
    </row>
    <row r="110" spans="1:14" x14ac:dyDescent="0.35">
      <c r="A110" t="str">
        <f t="shared" ref="A110:A115" si="42">IF(A5="","","    "&amp;A5)</f>
        <v xml:space="preserve">    Upper Basin</v>
      </c>
      <c r="B110" s="1"/>
      <c r="C110" s="48" t="str">
        <f t="shared" ref="C110:L115" ca="1" si="43">IF(OR(C$28="",$A110=""),"",OFFSET(C$61,8*(ROW(B110)-ROW(B$110)),0))</f>
        <v/>
      </c>
      <c r="D110" s="48" t="str">
        <f t="shared" ca="1" si="43"/>
        <v/>
      </c>
      <c r="E110" s="48" t="str">
        <f t="shared" ca="1" si="43"/>
        <v/>
      </c>
      <c r="F110" s="48" t="str">
        <f t="shared" ca="1" si="43"/>
        <v/>
      </c>
      <c r="G110" s="48" t="str">
        <f t="shared" ca="1" si="43"/>
        <v/>
      </c>
      <c r="H110" s="48" t="str">
        <f t="shared" ca="1" si="43"/>
        <v/>
      </c>
      <c r="I110" s="48" t="str">
        <f t="shared" ca="1" si="43"/>
        <v/>
      </c>
      <c r="J110" s="48" t="str">
        <f t="shared" ca="1" si="43"/>
        <v/>
      </c>
      <c r="K110" s="48" t="str">
        <f t="shared" ca="1" si="43"/>
        <v/>
      </c>
      <c r="L110" s="149" t="str">
        <f t="shared" ca="1" si="43"/>
        <v/>
      </c>
      <c r="M110" s="150">
        <f ca="1">IF(OR($A110=""),"",SUM(C110:L110))</f>
        <v>0</v>
      </c>
      <c r="N110" s="163"/>
    </row>
    <row r="111" spans="1:14" x14ac:dyDescent="0.35">
      <c r="A111" t="str">
        <f t="shared" si="42"/>
        <v xml:space="preserve">    Lower Basin</v>
      </c>
      <c r="B111" s="1"/>
      <c r="C111" s="48" t="str">
        <f t="shared" ca="1" si="43"/>
        <v/>
      </c>
      <c r="D111" s="48" t="str">
        <f t="shared" ca="1" si="43"/>
        <v/>
      </c>
      <c r="E111" s="48" t="str">
        <f t="shared" ca="1" si="43"/>
        <v/>
      </c>
      <c r="F111" s="48" t="str">
        <f t="shared" ca="1" si="43"/>
        <v/>
      </c>
      <c r="G111" s="48" t="str">
        <f t="shared" ca="1" si="43"/>
        <v/>
      </c>
      <c r="H111" s="48" t="str">
        <f t="shared" ca="1" si="43"/>
        <v/>
      </c>
      <c r="I111" s="48" t="str">
        <f t="shared" ca="1" si="43"/>
        <v/>
      </c>
      <c r="J111" s="48" t="str">
        <f t="shared" ca="1" si="43"/>
        <v/>
      </c>
      <c r="K111" s="48" t="str">
        <f t="shared" ca="1" si="43"/>
        <v/>
      </c>
      <c r="L111" s="149" t="str">
        <f t="shared" ca="1" si="43"/>
        <v/>
      </c>
      <c r="M111" s="150">
        <f t="shared" ref="M111:M115" ca="1" si="44">IF(OR($A111=""),"",SUM(C111:L111))</f>
        <v>0</v>
      </c>
      <c r="N111" s="163"/>
    </row>
    <row r="112" spans="1:14" x14ac:dyDescent="0.35">
      <c r="A112" t="str">
        <f t="shared" si="42"/>
        <v xml:space="preserve">    Mexico</v>
      </c>
      <c r="B112" s="1"/>
      <c r="C112" s="48" t="str">
        <f t="shared" ca="1" si="43"/>
        <v/>
      </c>
      <c r="D112" s="48" t="str">
        <f t="shared" ca="1" si="43"/>
        <v/>
      </c>
      <c r="E112" s="48" t="str">
        <f t="shared" ca="1" si="43"/>
        <v/>
      </c>
      <c r="F112" s="48" t="str">
        <f t="shared" ca="1" si="43"/>
        <v/>
      </c>
      <c r="G112" s="48" t="str">
        <f t="shared" ca="1" si="43"/>
        <v/>
      </c>
      <c r="H112" s="48" t="str">
        <f t="shared" ca="1" si="43"/>
        <v/>
      </c>
      <c r="I112" s="48" t="str">
        <f t="shared" ca="1" si="43"/>
        <v/>
      </c>
      <c r="J112" s="48" t="str">
        <f t="shared" ca="1" si="43"/>
        <v/>
      </c>
      <c r="K112" s="48" t="str">
        <f t="shared" ca="1" si="43"/>
        <v/>
      </c>
      <c r="L112" s="149" t="str">
        <f t="shared" ca="1" si="43"/>
        <v/>
      </c>
      <c r="M112" s="150">
        <f t="shared" ca="1" si="44"/>
        <v>0</v>
      </c>
      <c r="N112" s="163"/>
    </row>
    <row r="113" spans="1:14" x14ac:dyDescent="0.35">
      <c r="A113" t="str">
        <f t="shared" si="42"/>
        <v xml:space="preserve">    Colorado River Delta</v>
      </c>
      <c r="B113" s="1"/>
      <c r="C113" s="48" t="str">
        <f t="shared" ca="1" si="43"/>
        <v/>
      </c>
      <c r="D113" s="48" t="str">
        <f t="shared" ca="1" si="43"/>
        <v/>
      </c>
      <c r="E113" s="48" t="str">
        <f t="shared" ca="1" si="43"/>
        <v/>
      </c>
      <c r="F113" s="48" t="str">
        <f t="shared" ca="1" si="43"/>
        <v/>
      </c>
      <c r="G113" s="48" t="str">
        <f t="shared" ca="1" si="43"/>
        <v/>
      </c>
      <c r="H113" s="48" t="str">
        <f t="shared" ca="1" si="43"/>
        <v/>
      </c>
      <c r="I113" s="48" t="str">
        <f t="shared" ca="1" si="43"/>
        <v/>
      </c>
      <c r="J113" s="48" t="str">
        <f t="shared" ca="1" si="43"/>
        <v/>
      </c>
      <c r="K113" s="48" t="str">
        <f t="shared" ca="1" si="43"/>
        <v/>
      </c>
      <c r="L113" s="149" t="str">
        <f t="shared" ca="1" si="43"/>
        <v/>
      </c>
      <c r="M113" s="150">
        <f t="shared" ca="1" si="44"/>
        <v>0</v>
      </c>
      <c r="N113" s="163"/>
    </row>
    <row r="114" spans="1:14" x14ac:dyDescent="0.35">
      <c r="A114" t="str">
        <f t="shared" si="42"/>
        <v xml:space="preserve">    First Nations</v>
      </c>
      <c r="B114" s="1"/>
      <c r="C114" s="48" t="str">
        <f t="shared" ca="1" si="43"/>
        <v/>
      </c>
      <c r="D114" s="48" t="str">
        <f t="shared" ca="1" si="43"/>
        <v/>
      </c>
      <c r="E114" s="48" t="str">
        <f t="shared" ca="1" si="43"/>
        <v/>
      </c>
      <c r="F114" s="48" t="str">
        <f t="shared" ca="1" si="43"/>
        <v/>
      </c>
      <c r="G114" s="48" t="str">
        <f t="shared" ca="1" si="43"/>
        <v/>
      </c>
      <c r="H114" s="48" t="str">
        <f t="shared" ca="1" si="43"/>
        <v/>
      </c>
      <c r="I114" s="48" t="str">
        <f t="shared" ca="1" si="43"/>
        <v/>
      </c>
      <c r="J114" s="48" t="str">
        <f t="shared" ca="1" si="43"/>
        <v/>
      </c>
      <c r="K114" s="48" t="str">
        <f t="shared" ca="1" si="43"/>
        <v/>
      </c>
      <c r="L114" s="149" t="str">
        <f t="shared" ca="1" si="43"/>
        <v/>
      </c>
      <c r="M114" s="150">
        <f t="shared" ca="1" si="44"/>
        <v>0</v>
      </c>
      <c r="N114" s="163"/>
    </row>
    <row r="115" spans="1:14" x14ac:dyDescent="0.35">
      <c r="A115" t="str">
        <f t="shared" si="42"/>
        <v xml:space="preserve">    Shared, Reserve</v>
      </c>
      <c r="B115" s="1"/>
      <c r="C115" s="48" t="str">
        <f t="shared" ca="1" si="43"/>
        <v/>
      </c>
      <c r="D115" s="48" t="str">
        <f t="shared" ca="1" si="43"/>
        <v/>
      </c>
      <c r="E115" s="48" t="str">
        <f t="shared" ca="1" si="43"/>
        <v/>
      </c>
      <c r="F115" s="48" t="str">
        <f t="shared" ca="1" si="43"/>
        <v/>
      </c>
      <c r="G115" s="48" t="str">
        <f t="shared" ca="1" si="43"/>
        <v/>
      </c>
      <c r="H115" s="48" t="str">
        <f t="shared" ca="1" si="43"/>
        <v/>
      </c>
      <c r="I115" s="48" t="str">
        <f t="shared" ca="1" si="43"/>
        <v/>
      </c>
      <c r="J115" s="48" t="str">
        <f t="shared" ca="1" si="43"/>
        <v/>
      </c>
      <c r="K115" s="48" t="str">
        <f t="shared" ca="1" si="43"/>
        <v/>
      </c>
      <c r="L115" s="149" t="str">
        <f t="shared" ca="1" si="43"/>
        <v/>
      </c>
      <c r="M115" s="150">
        <f t="shared" ca="1" si="44"/>
        <v>0</v>
      </c>
      <c r="N115" s="163"/>
    </row>
    <row r="116" spans="1:14" x14ac:dyDescent="0.35">
      <c r="A116" t="s">
        <v>93</v>
      </c>
      <c r="B116" s="1"/>
      <c r="C116" s="35" t="str">
        <f>IF(C$28&lt;&gt;"",SUM(C110:C115),"")</f>
        <v/>
      </c>
      <c r="D116" s="35" t="str">
        <f t="shared" ref="D116:L116" si="45">IF(D$28&lt;&gt;"",SUM(D110:D115),"")</f>
        <v/>
      </c>
      <c r="E116" s="92" t="str">
        <f t="shared" si="45"/>
        <v/>
      </c>
      <c r="F116" s="35" t="str">
        <f t="shared" si="45"/>
        <v/>
      </c>
      <c r="G116" s="35" t="str">
        <f t="shared" si="45"/>
        <v/>
      </c>
      <c r="H116" s="35" t="str">
        <f t="shared" si="45"/>
        <v/>
      </c>
      <c r="I116" s="35" t="str">
        <f t="shared" si="45"/>
        <v/>
      </c>
      <c r="J116" s="35" t="str">
        <f t="shared" si="45"/>
        <v/>
      </c>
      <c r="K116" s="35" t="str">
        <f t="shared" si="45"/>
        <v/>
      </c>
      <c r="L116" s="35" t="str">
        <f t="shared" si="45"/>
        <v/>
      </c>
      <c r="M116" s="22"/>
      <c r="N116" s="165"/>
    </row>
    <row r="117" spans="1:14" x14ac:dyDescent="0.35">
      <c r="A117" s="1" t="s">
        <v>220</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23" ca="1" si="46">IF(OR(C$28="",$A118=""),"",OFFSET(C$65,8*(ROW(B118)-ROW(B$118)),0))</f>
        <v/>
      </c>
      <c r="D118" s="48" t="str">
        <f t="shared" ca="1" si="46"/>
        <v/>
      </c>
      <c r="E118" s="48" t="str">
        <f t="shared" ca="1" si="46"/>
        <v/>
      </c>
      <c r="F118" s="48" t="str">
        <f t="shared" ca="1" si="46"/>
        <v/>
      </c>
      <c r="G118" s="48" t="str">
        <f t="shared" ca="1" si="46"/>
        <v/>
      </c>
      <c r="H118" s="48" t="str">
        <f t="shared" ca="1" si="46"/>
        <v/>
      </c>
      <c r="I118" s="48" t="str">
        <f t="shared" ca="1" si="46"/>
        <v/>
      </c>
      <c r="J118" s="48" t="str">
        <f t="shared" ca="1" si="46"/>
        <v/>
      </c>
      <c r="K118" s="48" t="str">
        <f t="shared" ca="1" si="46"/>
        <v/>
      </c>
      <c r="L118" s="48" t="str">
        <f t="shared" ca="1" si="46"/>
        <v/>
      </c>
      <c r="N118" s="159"/>
    </row>
    <row r="119" spans="1:14" x14ac:dyDescent="0.35">
      <c r="A119" t="str">
        <f>IF(A6="","","    "&amp;A6&amp;" - Release from Mead")</f>
        <v xml:space="preserve">    Lower Basin - Release from Mead</v>
      </c>
      <c r="C119" s="48" t="str">
        <f t="shared" ca="1" si="46"/>
        <v/>
      </c>
      <c r="D119" s="48" t="str">
        <f t="shared" ca="1" si="46"/>
        <v/>
      </c>
      <c r="E119" s="48" t="str">
        <f t="shared" ca="1" si="46"/>
        <v/>
      </c>
      <c r="F119" s="48" t="str">
        <f t="shared" ca="1" si="46"/>
        <v/>
      </c>
      <c r="G119" s="48" t="str">
        <f t="shared" ca="1" si="46"/>
        <v/>
      </c>
      <c r="H119" s="48" t="str">
        <f t="shared" ca="1" si="46"/>
        <v/>
      </c>
      <c r="I119" s="48" t="str">
        <f t="shared" ca="1" si="46"/>
        <v/>
      </c>
      <c r="J119" s="48" t="str">
        <f t="shared" ca="1" si="46"/>
        <v/>
      </c>
      <c r="K119" s="48" t="str">
        <f t="shared" ca="1" si="46"/>
        <v/>
      </c>
      <c r="L119" s="48" t="str">
        <f t="shared" ca="1" si="46"/>
        <v/>
      </c>
      <c r="N119" s="159"/>
    </row>
    <row r="120" spans="1:14" x14ac:dyDescent="0.35">
      <c r="A120" t="str">
        <f>IF(A7="","","    "&amp;A7&amp;" - Release from Mead")</f>
        <v xml:space="preserve">    Mexico - Release from Mead</v>
      </c>
      <c r="C120" s="48" t="str">
        <f t="shared" ca="1" si="46"/>
        <v/>
      </c>
      <c r="D120" s="48" t="str">
        <f t="shared" ca="1" si="46"/>
        <v/>
      </c>
      <c r="E120" s="48" t="str">
        <f t="shared" ca="1" si="46"/>
        <v/>
      </c>
      <c r="F120" s="48" t="str">
        <f t="shared" ca="1" si="46"/>
        <v/>
      </c>
      <c r="G120" s="48" t="str">
        <f t="shared" ca="1" si="46"/>
        <v/>
      </c>
      <c r="H120" s="48" t="str">
        <f t="shared" ca="1" si="46"/>
        <v/>
      </c>
      <c r="I120" s="48" t="str">
        <f t="shared" ca="1" si="46"/>
        <v/>
      </c>
      <c r="J120" s="48" t="str">
        <f t="shared" ca="1" si="46"/>
        <v/>
      </c>
      <c r="K120" s="48" t="str">
        <f t="shared" ca="1" si="46"/>
        <v/>
      </c>
      <c r="L120" s="48" t="str">
        <f t="shared" ca="1" si="46"/>
        <v/>
      </c>
      <c r="N120" s="159"/>
    </row>
    <row r="121" spans="1:14" x14ac:dyDescent="0.35">
      <c r="A121" t="str">
        <f>IF(A8="","","    "&amp;A8&amp;" - Release from Mead")</f>
        <v xml:space="preserve">    Colorado River Delta - Release from Mead</v>
      </c>
      <c r="C121" s="48" t="str">
        <f t="shared" ca="1" si="46"/>
        <v/>
      </c>
      <c r="D121" s="48" t="str">
        <f t="shared" ca="1" si="46"/>
        <v/>
      </c>
      <c r="E121" s="48" t="str">
        <f t="shared" ca="1" si="46"/>
        <v/>
      </c>
      <c r="F121" s="48" t="str">
        <f t="shared" ca="1" si="46"/>
        <v/>
      </c>
      <c r="G121" s="48" t="str">
        <f t="shared" ca="1" si="46"/>
        <v/>
      </c>
      <c r="H121" s="48" t="str">
        <f t="shared" ca="1" si="46"/>
        <v/>
      </c>
      <c r="I121" s="48" t="str">
        <f t="shared" ca="1" si="46"/>
        <v/>
      </c>
      <c r="J121" s="48" t="str">
        <f t="shared" ca="1" si="46"/>
        <v/>
      </c>
      <c r="K121" s="48" t="str">
        <f t="shared" ca="1" si="46"/>
        <v/>
      </c>
      <c r="L121" s="48" t="str">
        <f t="shared" ca="1" si="46"/>
        <v/>
      </c>
      <c r="N121" s="159"/>
    </row>
    <row r="122" spans="1:14" x14ac:dyDescent="0.35">
      <c r="A122" t="str">
        <f>IF(A9="","","    "&amp;A9&amp;" - Release from Mead")</f>
        <v xml:space="preserve">    First Nations - Release from Mead</v>
      </c>
      <c r="C122" s="48" t="str">
        <f t="shared" ca="1" si="46"/>
        <v/>
      </c>
      <c r="D122" s="48" t="str">
        <f t="shared" ca="1" si="46"/>
        <v/>
      </c>
      <c r="E122" s="48" t="str">
        <f t="shared" ca="1" si="46"/>
        <v/>
      </c>
      <c r="F122" s="48" t="str">
        <f t="shared" ca="1" si="46"/>
        <v/>
      </c>
      <c r="G122" s="48" t="str">
        <f t="shared" ca="1" si="46"/>
        <v/>
      </c>
      <c r="H122" s="48" t="str">
        <f t="shared" ca="1" si="46"/>
        <v/>
      </c>
      <c r="I122" s="48" t="str">
        <f t="shared" ca="1" si="46"/>
        <v/>
      </c>
      <c r="J122" s="48" t="str">
        <f t="shared" ca="1" si="46"/>
        <v/>
      </c>
      <c r="K122" s="48" t="str">
        <f t="shared" ca="1" si="46"/>
        <v/>
      </c>
      <c r="L122" s="48" t="str">
        <f t="shared" ca="1" si="46"/>
        <v/>
      </c>
      <c r="N122" s="159"/>
    </row>
    <row r="123" spans="1:14" x14ac:dyDescent="0.35">
      <c r="A123" t="str">
        <f>IF(A10="","","    "&amp;A10&amp;" - Release from Mead")</f>
        <v xml:space="preserve">    Shared, Reserve - Release from Mead</v>
      </c>
      <c r="C123" s="48" t="str">
        <f t="shared" ca="1" si="46"/>
        <v/>
      </c>
      <c r="D123" s="48" t="str">
        <f t="shared" ca="1" si="46"/>
        <v/>
      </c>
      <c r="E123" s="48" t="str">
        <f t="shared" ca="1" si="46"/>
        <v/>
      </c>
      <c r="F123" s="48" t="str">
        <f t="shared" ca="1" si="46"/>
        <v/>
      </c>
      <c r="G123" s="48" t="str">
        <f t="shared" ca="1" si="46"/>
        <v/>
      </c>
      <c r="H123" s="48" t="str">
        <f t="shared" ca="1" si="46"/>
        <v/>
      </c>
      <c r="I123" s="48" t="str">
        <f t="shared" ca="1" si="46"/>
        <v/>
      </c>
      <c r="J123" s="48" t="str">
        <f t="shared" ca="1" si="46"/>
        <v/>
      </c>
      <c r="K123" s="48" t="str">
        <f t="shared" ca="1" si="46"/>
        <v/>
      </c>
      <c r="L123" s="48" t="str">
        <f t="shared" ca="1" si="46"/>
        <v/>
      </c>
      <c r="N123" s="159"/>
    </row>
    <row r="124" spans="1:14" x14ac:dyDescent="0.35">
      <c r="A124" s="1" t="s">
        <v>90</v>
      </c>
      <c r="B124" s="1"/>
      <c r="D124" s="2"/>
      <c r="E124" s="2"/>
      <c r="F124" s="2"/>
      <c r="G124" s="2"/>
      <c r="H124" s="2"/>
      <c r="I124" s="2"/>
      <c r="J124" s="2"/>
      <c r="K124" s="2"/>
      <c r="L124" s="2"/>
      <c r="N124" s="159"/>
    </row>
    <row r="125" spans="1:14" x14ac:dyDescent="0.35">
      <c r="A125" t="str">
        <f t="shared" ref="A125:A130" si="47">IF(A5="","","    "&amp;A5)</f>
        <v xml:space="preserve">    Upper Basin</v>
      </c>
      <c r="C125" s="48" t="str">
        <f t="shared" ref="C125:L130" ca="1" si="48">IF(OR(C$28="",$A125=""),"",OFFSET(C$66,8*(ROW(B125)-ROW(B$125)),0))</f>
        <v/>
      </c>
      <c r="D125" s="48" t="str">
        <f t="shared" ca="1" si="48"/>
        <v/>
      </c>
      <c r="E125" s="48" t="str">
        <f t="shared" ca="1" si="48"/>
        <v/>
      </c>
      <c r="F125" s="48" t="str">
        <f t="shared" ca="1" si="48"/>
        <v/>
      </c>
      <c r="G125" s="48" t="str">
        <f t="shared" ca="1" si="48"/>
        <v/>
      </c>
      <c r="H125" s="48" t="str">
        <f t="shared" ca="1" si="48"/>
        <v/>
      </c>
      <c r="I125" s="48" t="str">
        <f t="shared" ca="1" si="48"/>
        <v/>
      </c>
      <c r="J125" s="48" t="str">
        <f t="shared" ca="1" si="48"/>
        <v/>
      </c>
      <c r="K125" s="48" t="str">
        <f t="shared" ca="1" si="48"/>
        <v/>
      </c>
      <c r="L125" s="48" t="str">
        <f t="shared" ca="1" si="48"/>
        <v/>
      </c>
      <c r="N125" s="159"/>
    </row>
    <row r="126" spans="1:14" x14ac:dyDescent="0.35">
      <c r="A126" t="str">
        <f t="shared" si="47"/>
        <v xml:space="preserve">    Lower Basin</v>
      </c>
      <c r="C126" s="48" t="str">
        <f t="shared" ca="1" si="48"/>
        <v/>
      </c>
      <c r="D126" s="48" t="str">
        <f t="shared" ca="1" si="48"/>
        <v/>
      </c>
      <c r="E126" s="48" t="str">
        <f t="shared" ca="1" si="48"/>
        <v/>
      </c>
      <c r="F126" s="48" t="str">
        <f t="shared" ca="1" si="48"/>
        <v/>
      </c>
      <c r="G126" s="48" t="str">
        <f t="shared" ca="1" si="48"/>
        <v/>
      </c>
      <c r="H126" s="48" t="str">
        <f t="shared" ca="1" si="48"/>
        <v/>
      </c>
      <c r="I126" s="48" t="str">
        <f t="shared" ca="1" si="48"/>
        <v/>
      </c>
      <c r="J126" s="48" t="str">
        <f t="shared" ca="1" si="48"/>
        <v/>
      </c>
      <c r="K126" s="48" t="str">
        <f t="shared" ca="1" si="48"/>
        <v/>
      </c>
      <c r="L126" s="48" t="str">
        <f t="shared" ca="1" si="48"/>
        <v/>
      </c>
      <c r="N126" s="159"/>
    </row>
    <row r="127" spans="1:14" x14ac:dyDescent="0.35">
      <c r="A127" t="str">
        <f t="shared" si="47"/>
        <v xml:space="preserve">    Mexico</v>
      </c>
      <c r="C127" s="48" t="str">
        <f t="shared" ca="1" si="48"/>
        <v/>
      </c>
      <c r="D127" s="48" t="str">
        <f t="shared" ca="1" si="48"/>
        <v/>
      </c>
      <c r="E127" s="48" t="str">
        <f t="shared" ca="1" si="48"/>
        <v/>
      </c>
      <c r="F127" s="48" t="str">
        <f t="shared" ca="1" si="48"/>
        <v/>
      </c>
      <c r="G127" s="48" t="str">
        <f t="shared" ca="1" si="48"/>
        <v/>
      </c>
      <c r="H127" s="48" t="str">
        <f t="shared" ca="1" si="48"/>
        <v/>
      </c>
      <c r="I127" s="48" t="str">
        <f t="shared" ca="1" si="48"/>
        <v/>
      </c>
      <c r="J127" s="48" t="str">
        <f t="shared" ca="1" si="48"/>
        <v/>
      </c>
      <c r="K127" s="48" t="str">
        <f t="shared" ca="1" si="48"/>
        <v/>
      </c>
      <c r="L127" s="48" t="str">
        <f t="shared" ca="1" si="48"/>
        <v/>
      </c>
      <c r="N127" s="159"/>
    </row>
    <row r="128" spans="1:14" x14ac:dyDescent="0.35">
      <c r="A128" t="str">
        <f t="shared" si="47"/>
        <v xml:space="preserve">    Colorado River Delta</v>
      </c>
      <c r="C128" s="48" t="str">
        <f t="shared" ca="1" si="48"/>
        <v/>
      </c>
      <c r="D128" s="48" t="str">
        <f t="shared" ca="1" si="48"/>
        <v/>
      </c>
      <c r="E128" s="48" t="str">
        <f t="shared" ca="1" si="48"/>
        <v/>
      </c>
      <c r="F128" s="48" t="str">
        <f t="shared" ca="1" si="48"/>
        <v/>
      </c>
      <c r="G128" s="48" t="str">
        <f t="shared" ca="1" si="48"/>
        <v/>
      </c>
      <c r="H128" s="48" t="str">
        <f t="shared" ca="1" si="48"/>
        <v/>
      </c>
      <c r="I128" s="48" t="str">
        <f t="shared" ca="1" si="48"/>
        <v/>
      </c>
      <c r="J128" s="48" t="str">
        <f t="shared" ca="1" si="48"/>
        <v/>
      </c>
      <c r="K128" s="48" t="str">
        <f t="shared" ca="1" si="48"/>
        <v/>
      </c>
      <c r="L128" s="48" t="str">
        <f t="shared" ca="1" si="48"/>
        <v/>
      </c>
      <c r="N128" s="159"/>
    </row>
    <row r="129" spans="1:14" x14ac:dyDescent="0.35">
      <c r="A129" t="str">
        <f t="shared" si="47"/>
        <v xml:space="preserve">    First Nations</v>
      </c>
      <c r="C129" s="48" t="str">
        <f t="shared" ca="1" si="48"/>
        <v/>
      </c>
      <c r="D129" s="48" t="str">
        <f t="shared" ca="1" si="48"/>
        <v/>
      </c>
      <c r="E129" s="48" t="str">
        <f t="shared" ca="1" si="48"/>
        <v/>
      </c>
      <c r="F129" s="48" t="str">
        <f t="shared" ca="1" si="48"/>
        <v/>
      </c>
      <c r="G129" s="48" t="str">
        <f t="shared" ca="1" si="48"/>
        <v/>
      </c>
      <c r="H129" s="48" t="str">
        <f t="shared" ca="1" si="48"/>
        <v/>
      </c>
      <c r="I129" s="48" t="str">
        <f t="shared" ca="1" si="48"/>
        <v/>
      </c>
      <c r="J129" s="48" t="str">
        <f t="shared" ca="1" si="48"/>
        <v/>
      </c>
      <c r="K129" s="48" t="str">
        <f t="shared" ca="1" si="48"/>
        <v/>
      </c>
      <c r="L129" s="48" t="str">
        <f t="shared" ca="1" si="48"/>
        <v/>
      </c>
      <c r="N129" s="159"/>
    </row>
    <row r="130" spans="1:14" x14ac:dyDescent="0.35">
      <c r="A130" t="str">
        <f t="shared" si="47"/>
        <v xml:space="preserve">    Shared, Reserve</v>
      </c>
      <c r="C130" s="48" t="str">
        <f t="shared" ca="1" si="48"/>
        <v/>
      </c>
      <c r="D130" s="48" t="str">
        <f t="shared" ca="1" si="48"/>
        <v/>
      </c>
      <c r="E130" s="48" t="str">
        <f t="shared" ca="1" si="48"/>
        <v/>
      </c>
      <c r="F130" s="48" t="str">
        <f t="shared" ca="1" si="48"/>
        <v/>
      </c>
      <c r="G130" s="48" t="str">
        <f t="shared" ca="1" si="48"/>
        <v/>
      </c>
      <c r="H130" s="48" t="str">
        <f t="shared" ca="1" si="48"/>
        <v/>
      </c>
      <c r="I130" s="48" t="str">
        <f t="shared" ca="1" si="48"/>
        <v/>
      </c>
      <c r="J130" s="48" t="str">
        <f t="shared" ca="1" si="48"/>
        <v/>
      </c>
      <c r="K130" s="48" t="str">
        <f t="shared" ca="1" si="48"/>
        <v/>
      </c>
      <c r="L130" s="48" t="str">
        <f t="shared" ca="1" si="48"/>
        <v/>
      </c>
      <c r="N130" s="159"/>
    </row>
    <row r="131" spans="1:14" x14ac:dyDescent="0.35">
      <c r="A131" s="1" t="s">
        <v>221</v>
      </c>
      <c r="B131" s="1"/>
      <c r="C131" s="13" t="str">
        <f>IF(C$28&lt;&gt;"",SUM(C125:C130),"")</f>
        <v/>
      </c>
      <c r="D131" s="13" t="str">
        <f t="shared" ref="D131:L131" si="49">IF(D$28&lt;&gt;"",SUM(D125:D130),"")</f>
        <v/>
      </c>
      <c r="E131" s="13" t="str">
        <f t="shared" si="49"/>
        <v/>
      </c>
      <c r="F131" s="13" t="str">
        <f t="shared" si="49"/>
        <v/>
      </c>
      <c r="G131" s="13" t="str">
        <f t="shared" si="49"/>
        <v/>
      </c>
      <c r="H131" s="13" t="str">
        <f t="shared" si="49"/>
        <v/>
      </c>
      <c r="I131" s="13" t="str">
        <f t="shared" si="49"/>
        <v/>
      </c>
      <c r="J131" s="13" t="str">
        <f t="shared" si="49"/>
        <v/>
      </c>
      <c r="K131" s="13" t="str">
        <f t="shared" si="49"/>
        <v/>
      </c>
      <c r="L131" s="13" t="str">
        <f t="shared" si="49"/>
        <v/>
      </c>
      <c r="N131" s="158" t="s">
        <v>292</v>
      </c>
    </row>
    <row r="132" spans="1:14" ht="29.5" customHeight="1" x14ac:dyDescent="0.35">
      <c r="A132" s="251" t="s">
        <v>265</v>
      </c>
      <c r="B132" s="252"/>
      <c r="C132" s="140">
        <v>0.5</v>
      </c>
      <c r="D132" s="140">
        <v>0.5</v>
      </c>
      <c r="E132" s="140">
        <v>0.5</v>
      </c>
      <c r="F132" s="140"/>
      <c r="G132" s="140"/>
      <c r="H132" s="140"/>
      <c r="I132" s="140"/>
      <c r="J132" s="140"/>
      <c r="K132" s="140"/>
      <c r="L132" s="140"/>
      <c r="N132" s="155" t="s">
        <v>293</v>
      </c>
    </row>
    <row r="133" spans="1:14" x14ac:dyDescent="0.35">
      <c r="A133" s="1" t="s">
        <v>229</v>
      </c>
      <c r="B133" s="1"/>
      <c r="C133" s="13" t="str">
        <f>IF(C28="","",C$132*C$131)</f>
        <v/>
      </c>
      <c r="D133" s="13" t="str">
        <f t="shared" ref="D133:L133" si="50">IF(D28="","",D$132*D$131)</f>
        <v/>
      </c>
      <c r="E133" s="13" t="str">
        <f t="shared" si="50"/>
        <v/>
      </c>
      <c r="F133" s="13" t="str">
        <f t="shared" si="50"/>
        <v/>
      </c>
      <c r="G133" s="13" t="str">
        <f t="shared" si="50"/>
        <v/>
      </c>
      <c r="H133" s="13" t="str">
        <f t="shared" si="50"/>
        <v/>
      </c>
      <c r="I133" s="13" t="str">
        <f t="shared" si="50"/>
        <v/>
      </c>
      <c r="J133" s="13" t="str">
        <f t="shared" si="50"/>
        <v/>
      </c>
      <c r="K133" s="13" t="str">
        <f t="shared" si="50"/>
        <v/>
      </c>
      <c r="L133" s="13" t="str">
        <f t="shared" si="50"/>
        <v/>
      </c>
      <c r="N133" s="158" t="s">
        <v>304</v>
      </c>
    </row>
    <row r="134" spans="1:14" x14ac:dyDescent="0.35">
      <c r="A134" s="1" t="s">
        <v>230</v>
      </c>
      <c r="B134" s="1"/>
      <c r="C134" s="13" t="str">
        <f>IF(C29="","",(1-C$132)*C$131)</f>
        <v/>
      </c>
      <c r="D134" s="13" t="str">
        <f t="shared" ref="D134:L134" si="51">IF(D29="","",(1-D$132)*D$131)</f>
        <v/>
      </c>
      <c r="E134" s="13" t="str">
        <f t="shared" si="51"/>
        <v/>
      </c>
      <c r="F134" s="13" t="str">
        <f t="shared" si="51"/>
        <v/>
      </c>
      <c r="G134" s="13" t="str">
        <f t="shared" si="51"/>
        <v/>
      </c>
      <c r="H134" s="13" t="str">
        <f t="shared" si="51"/>
        <v/>
      </c>
      <c r="I134" s="13" t="str">
        <f t="shared" si="51"/>
        <v/>
      </c>
      <c r="J134" s="13" t="str">
        <f t="shared" si="51"/>
        <v/>
      </c>
      <c r="K134" s="13" t="str">
        <f t="shared" si="51"/>
        <v/>
      </c>
      <c r="L134" s="13" t="str">
        <f t="shared" si="51"/>
        <v/>
      </c>
      <c r="N134" s="158" t="s">
        <v>304</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304</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304</v>
      </c>
    </row>
    <row r="137" spans="1:14" x14ac:dyDescent="0.35">
      <c r="A137" s="1" t="s">
        <v>231</v>
      </c>
      <c r="B137" s="1"/>
      <c r="N137" s="158" t="s">
        <v>294</v>
      </c>
    </row>
    <row r="138" spans="1:14" x14ac:dyDescent="0.35">
      <c r="A138" s="21" t="s">
        <v>232</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295</v>
      </c>
    </row>
    <row r="139" spans="1:14" x14ac:dyDescent="0.35">
      <c r="A139" s="21" t="s">
        <v>222</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296</v>
      </c>
    </row>
    <row r="140" spans="1:14" s="65" customFormat="1" ht="62.5" customHeight="1" x14ac:dyDescent="0.35">
      <c r="A140" s="94" t="s">
        <v>223</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298</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297</v>
      </c>
    </row>
    <row r="142" spans="1:14" x14ac:dyDescent="0.35">
      <c r="A142" s="151" t="s">
        <v>266</v>
      </c>
      <c r="C142" s="19"/>
      <c r="N142" s="158" t="s">
        <v>299</v>
      </c>
    </row>
  </sheetData>
  <mergeCells count="14">
    <mergeCell ref="C7:G7"/>
    <mergeCell ref="A1:G1"/>
    <mergeCell ref="A3:G3"/>
    <mergeCell ref="C4:G4"/>
    <mergeCell ref="C5:G5"/>
    <mergeCell ref="C6:G6"/>
    <mergeCell ref="B15:D15"/>
    <mergeCell ref="A132:B132"/>
    <mergeCell ref="C8:G8"/>
    <mergeCell ref="C9:G9"/>
    <mergeCell ref="C10:G10"/>
    <mergeCell ref="B12:D12"/>
    <mergeCell ref="B13:D13"/>
    <mergeCell ref="B14:D14"/>
  </mergeCells>
  <conditionalFormatting sqref="H73">
    <cfRule type="cellIs" dxfId="43" priority="63" operator="greaterThan">
      <formula>$H$72</formula>
    </cfRule>
  </conditionalFormatting>
  <conditionalFormatting sqref="I73">
    <cfRule type="cellIs" dxfId="42" priority="62" operator="greaterThan">
      <formula>$I$72</formula>
    </cfRule>
  </conditionalFormatting>
  <conditionalFormatting sqref="J73">
    <cfRule type="cellIs" dxfId="41" priority="61" operator="greaterThan">
      <formula>$J$72</formula>
    </cfRule>
  </conditionalFormatting>
  <conditionalFormatting sqref="K73">
    <cfRule type="cellIs" dxfId="40" priority="60" operator="greaterThan">
      <formula>$K$72</formula>
    </cfRule>
  </conditionalFormatting>
  <conditionalFormatting sqref="L73">
    <cfRule type="cellIs" dxfId="39" priority="59" operator="greaterThan">
      <formula>$L$72</formula>
    </cfRule>
  </conditionalFormatting>
  <conditionalFormatting sqref="H81">
    <cfRule type="cellIs" dxfId="38" priority="58" operator="greaterThan">
      <formula>$H$80</formula>
    </cfRule>
  </conditionalFormatting>
  <conditionalFormatting sqref="I81">
    <cfRule type="cellIs" dxfId="37" priority="57" operator="greaterThan">
      <formula>$I$80</formula>
    </cfRule>
  </conditionalFormatting>
  <conditionalFormatting sqref="J81">
    <cfRule type="cellIs" dxfId="36" priority="56" operator="greaterThan">
      <formula>$J$80</formula>
    </cfRule>
  </conditionalFormatting>
  <conditionalFormatting sqref="K81">
    <cfRule type="cellIs" dxfId="35" priority="55" operator="greaterThan">
      <formula>$K$80</formula>
    </cfRule>
  </conditionalFormatting>
  <conditionalFormatting sqref="L81">
    <cfRule type="cellIs" dxfId="34" priority="54" operator="greaterThan">
      <formula>$L$80</formula>
    </cfRule>
  </conditionalFormatting>
  <conditionalFormatting sqref="C89:L89">
    <cfRule type="cellIs" dxfId="33" priority="53" operator="greaterThan">
      <formula>$C$88</formula>
    </cfRule>
  </conditionalFormatting>
  <conditionalFormatting sqref="H97">
    <cfRule type="cellIs" dxfId="32" priority="47" operator="greaterThan">
      <formula>$H$96</formula>
    </cfRule>
  </conditionalFormatting>
  <conditionalFormatting sqref="I97">
    <cfRule type="cellIs" dxfId="31" priority="46" operator="greaterThan">
      <formula>$I$96</formula>
    </cfRule>
  </conditionalFormatting>
  <conditionalFormatting sqref="J97">
    <cfRule type="cellIs" dxfId="30" priority="45" operator="greaterThan">
      <formula>$J$96</formula>
    </cfRule>
  </conditionalFormatting>
  <conditionalFormatting sqref="K97">
    <cfRule type="cellIs" dxfId="29" priority="44" operator="greaterThan">
      <formula>$K$96</formula>
    </cfRule>
  </conditionalFormatting>
  <conditionalFormatting sqref="L97">
    <cfRule type="cellIs" dxfId="28" priority="43" operator="greaterThan">
      <formula>$L$96</formula>
    </cfRule>
  </conditionalFormatting>
  <conditionalFormatting sqref="C105">
    <cfRule type="cellIs" dxfId="27" priority="42" operator="greaterThan">
      <formula>$C$104</formula>
    </cfRule>
  </conditionalFormatting>
  <conditionalFormatting sqref="D105">
    <cfRule type="cellIs" dxfId="26" priority="41" operator="greaterThan">
      <formula>$D$104</formula>
    </cfRule>
  </conditionalFormatting>
  <conditionalFormatting sqref="E105">
    <cfRule type="cellIs" dxfId="25" priority="40" operator="greaterThan">
      <formula>$E$104</formula>
    </cfRule>
  </conditionalFormatting>
  <conditionalFormatting sqref="F105">
    <cfRule type="cellIs" dxfId="24" priority="39" operator="greaterThan">
      <formula>$F$104</formula>
    </cfRule>
  </conditionalFormatting>
  <conditionalFormatting sqref="G105">
    <cfRule type="cellIs" dxfId="23" priority="38" operator="greaterThan">
      <formula>$G$104</formula>
    </cfRule>
  </conditionalFormatting>
  <conditionalFormatting sqref="H105">
    <cfRule type="cellIs" dxfId="22" priority="37" operator="greaterThan">
      <formula>$H$104</formula>
    </cfRule>
  </conditionalFormatting>
  <conditionalFormatting sqref="I105">
    <cfRule type="cellIs" dxfId="21" priority="36" operator="greaterThan">
      <formula>$I$104</formula>
    </cfRule>
  </conditionalFormatting>
  <conditionalFormatting sqref="J105">
    <cfRule type="cellIs" dxfId="20" priority="35" operator="greaterThan">
      <formula>$J$104</formula>
    </cfRule>
  </conditionalFormatting>
  <conditionalFormatting sqref="K105">
    <cfRule type="cellIs" dxfId="19" priority="34" operator="greaterThan">
      <formula>$K$104</formula>
    </cfRule>
  </conditionalFormatting>
  <conditionalFormatting sqref="L105">
    <cfRule type="cellIs" dxfId="18" priority="33" operator="greaterThan">
      <formula>$L$104</formula>
    </cfRule>
  </conditionalFormatting>
  <conditionalFormatting sqref="C65:L65">
    <cfRule type="cellIs" dxfId="17" priority="18" operator="greaterThan">
      <formula>$C$64</formula>
    </cfRule>
  </conditionalFormatting>
  <conditionalFormatting sqref="C73:G73">
    <cfRule type="cellIs" dxfId="16" priority="10" operator="greaterThan">
      <formula>$C$72</formula>
    </cfRule>
  </conditionalFormatting>
  <conditionalFormatting sqref="C81:G81">
    <cfRule type="cellIs" dxfId="15" priority="5" operator="greaterThan">
      <formula>$C$80</formula>
    </cfRule>
  </conditionalFormatting>
  <hyperlinks>
    <hyperlink ref="N4" r:id="rId1" location="step-1-assign-parties-person-playing-and-strategies" xr:uid="{0D612389-E503-47EF-B711-0E09A56A16E9}"/>
    <hyperlink ref="N12" r:id="rId2" location="1a-explain-cell-types" xr:uid="{EBBFD534-5AC3-48C6-B927-60ACD9AAC087}"/>
    <hyperlink ref="N17" r:id="rId3" location="1b-make-assumptions" xr:uid="{64BA5F26-D85A-4CB6-A053-4E1D1565129D}"/>
    <hyperlink ref="N18" r:id="rId4" location="i-evaporation-rates" xr:uid="{6480CEB6-63D6-4CD4-BB99-E4A7C5F35ECE}"/>
    <hyperlink ref="N19" r:id="rId5" location="ii-start-storage" xr:uid="{2997F74D-D4BE-46F1-8A76-7C965697753C}"/>
    <hyperlink ref="N20" r:id="rId6" location="iii-protection-elevations" xr:uid="{B002F7DE-9399-489D-B685-8509DB7FF5D0}"/>
    <hyperlink ref="N21" r:id="rId7" location="iv-the-protection-volumes" xr:uid="{16DEC393-059E-46DF-9B95-15EF71CE8CEE}"/>
    <hyperlink ref="N22" r:id="rId8" location="v-prior-9-year-lake-powell-release" xr:uid="{0C0C6503-4417-49A0-9102-16B8A2D2BA22}"/>
    <hyperlink ref="N23" r:id="rId9" location="vi-prior-9-year-paria-river-flow" xr:uid="{F5D3906C-2B17-4F41-ACAA-AAE1C2355D30}"/>
    <hyperlink ref="N24" r:id="rId10" location="vii-delivery-to-meet-10-year-requirement" xr:uid="{40837296-7E0E-4719-8F0C-5D8AF58002CF}"/>
    <hyperlink ref="N28" r:id="rId11" location="step-2-specify-natural-inflow-to-lake-powell" xr:uid="{E3ED8A0D-E003-4D9F-9741-C3CD85681313}"/>
    <hyperlink ref="N29" r:id="rId12" location="2a-intervening-grand-canyon-flow" xr:uid="{D53E805D-9335-44EE-AB7C-F525398B1A16}"/>
    <hyperlink ref="N30" r:id="rId13" location="2b-mead-to-imperial-dam-intervening-flow" xr:uid="{7B3439B8-CB1F-44A5-9250-60901D7687BA}"/>
    <hyperlink ref="N31" r:id="rId14" location="2c-havasuparker-evaporation-and-evapotranspiration" xr:uid="{22E08D0A-70CB-4006-8AFC-D6A3D104CAD0}"/>
    <hyperlink ref="N32" r:id="rId15" location="step-3-split-existing-reservoir-storage-among-parties-year-1-only" xr:uid="{9CF1D866-3256-45E8-A0B5-F70BF9F9C350}"/>
    <hyperlink ref="N39" r:id="rId16" location="3a-begin-of-year-reservoir-storage" display="Help begin year storage" xr:uid="{42FD4D17-D9A4-48F7-ADB9-763AC44E98CC}"/>
    <hyperlink ref="N42" r:id="rId17" location="3b-calculate-powell--mead-evaporation" xr:uid="{6359B729-8833-4BFE-9171-064F7D917884}"/>
    <hyperlink ref="N49" r:id="rId18" location="3c-calculate-mexico-water-allocation" xr:uid="{1F94C1D0-5855-4271-9948-B216934D9043}"/>
    <hyperlink ref="N50" r:id="rId19" location="split-combined-natural-inflow-among-parties" xr:uid="{6270775F-5CD9-4845-BE87-F9515544F98E}"/>
    <hyperlink ref="N60" r:id="rId20" location="step-5-player-dashboards--conserve-consume-and-trade" xr:uid="{6D2D2EED-F371-46F9-BA0C-46D2025CB966}"/>
    <hyperlink ref="N61" r:id="rId21" location="i-buy-or-sell-water-from-other-players" xr:uid="{20E5FFF3-D902-4B16-AA9E-7A4E9A2D7706}"/>
    <hyperlink ref="N62" r:id="rId22" location="ii-compensation" xr:uid="{56F8776D-B7C3-481B-A16E-F1039E40643A}"/>
    <hyperlink ref="N63" r:id="rId23" location="iii-net-trade-volume-all-players" xr:uid="{7FFDF99E-3686-485F-8105-026CA286FB3E}"/>
    <hyperlink ref="N64" r:id="rId24" location="iv-available-water" xr:uid="{09D89CFF-6042-4B6D-B4AE-E457013D1921}"/>
    <hyperlink ref="N65" r:id="rId25" location="v-enter-withdraw-within-available-water" display="Help withdraw" xr:uid="{A1CA8C46-E7B1-44B6-B03E-4FD1A59C1D7C}"/>
    <hyperlink ref="N66" r:id="rId26" location="vi-end-of-year-balance" xr:uid="{C80E9891-A147-4D5C-8BC3-0110049DC94B}"/>
    <hyperlink ref="N100" r:id="rId27" location="5a-shared-reserve-dashboard" display="Help shared, reserve" xr:uid="{A5B1026F-1139-4968-9EDD-7ECC5D05E57F}"/>
    <hyperlink ref="N108" r:id="rId28" location="step-6-summary-of-player-actions" xr:uid="{BE19C503-D6C1-4DAD-87D1-CDFCCAF874E2}"/>
    <hyperlink ref="N131" r:id="rId29" location="6a-combined-storage--end-of-year" xr:uid="{AB2B09A3-E56C-4F7B-8291-95C62FEEBD2F}"/>
    <hyperlink ref="N132" r:id="rId30" location="step-7-assign-combined-storage-to-powell-and-mead" xr:uid="{2C13C51E-6778-42ED-9890-5388A308A2CD}"/>
    <hyperlink ref="N133" r:id="rId31" location="i-powell-and-mead-storage-volumes-and-levels" display="Help Powell and Mead storage and elevations" xr:uid="{601071A5-30FB-4173-8010-785EF0ECE63F}"/>
    <hyperlink ref="N137" r:id="rId32" location="i-protect-endangered-native-fish-of-the-grand-canyon" xr:uid="{F8495AAF-C7FC-4202-84E2-CF55A7958A96}"/>
    <hyperlink ref="N138" r:id="rId33" location="ii-lake-powell-release-to-achieve-powell-and-mead-storage-volumes" xr:uid="{6E3B5421-DA0D-4DA3-821D-E2E4335589D7}"/>
    <hyperlink ref="N139" r:id="rId34" location="iii-turbine-release-water-temperature" xr:uid="{251703BA-EF4D-449D-BFE1-9126C33C80E7}"/>
    <hyperlink ref="N140" r:id="rId35" location="iv-suitability-for-native-endangered-fish-of-the-grand-canyon" xr:uid="{53A91FF2-707F-433B-BAEA-197BB916C912}"/>
    <hyperlink ref="N141" r:id="rId36" location="v-suitability-for-tailwater-trout" xr:uid="{CCDD75E7-72F6-4058-A3A4-0473540F5296}"/>
    <hyperlink ref="N142" r:id="rId37" location="step-8-move-to-next-year" xr:uid="{526544D4-8E4B-43C6-9CA2-98F4A2FEFD4D}"/>
    <hyperlink ref="N134:N136" r:id="rId38" location="i-powell-and-mead-storage-volumes-and-levels" display="Help Powell and Mead storage and elevations" xr:uid="{83C8ED91-4B70-4570-B3F8-6E39B7565416}"/>
    <hyperlink ref="N68" r:id="rId39" location="step-5-player-dashboards--conserve-consume-and-trade" xr:uid="{D61A7420-8D42-4ABC-AB74-EFC10D591991}"/>
    <hyperlink ref="N69" r:id="rId40" location="i-buy-or-sell-water-from-other-players" xr:uid="{90669D21-4BDC-4A73-842A-5BAE88842D64}"/>
    <hyperlink ref="N70" r:id="rId41" location="ii-compensation" xr:uid="{3A04B926-D7DD-4F54-8FB3-19189C24241E}"/>
    <hyperlink ref="N71" r:id="rId42" location="iii-net-trade-volume-all-players" xr:uid="{C7D93CCA-831E-4180-9966-F1F8AE1D6A6C}"/>
    <hyperlink ref="N72" r:id="rId43" location="iv-available-water" xr:uid="{39B35B8B-BC93-4307-9898-3EAD1578075B}"/>
    <hyperlink ref="N73" r:id="rId44" location="v-enter-withdraw-within-available-water" display="Help withdraw" xr:uid="{5401F1EE-4880-4E4A-8957-D6685780D72C}"/>
    <hyperlink ref="N74" r:id="rId45" location="vi-end-of-year-balance" xr:uid="{811D8734-9AC3-4B60-8AF0-A2D8DB2D973F}"/>
    <hyperlink ref="N76" r:id="rId46" location="step-5-player-dashboards--conserve-consume-and-trade" xr:uid="{7F1DD0B1-2129-497E-AEBA-01AD29DE5E1C}"/>
    <hyperlink ref="N77" r:id="rId47" location="i-buy-or-sell-water-from-other-players" xr:uid="{C936FC36-F3BC-4DE3-A4F5-560F7DA277A9}"/>
    <hyperlink ref="N78" r:id="rId48" location="ii-compensation" xr:uid="{74EB112A-DF02-402A-B272-1FD8A5060300}"/>
    <hyperlink ref="N79" r:id="rId49" location="iii-net-trade-volume-all-players" xr:uid="{519EC387-D62C-428D-A7B1-8E04C5F242F6}"/>
    <hyperlink ref="N80" r:id="rId50" location="iv-available-water" xr:uid="{9E648211-715E-4276-AA30-1D52E7CBB5BD}"/>
    <hyperlink ref="N81" r:id="rId51" location="v-enter-withdraw-within-available-water" display="Help withdraw" xr:uid="{DEFEDCEE-0D2A-4BA3-8EF0-395F368ED5CF}"/>
    <hyperlink ref="N82" r:id="rId52" location="vi-end-of-year-balance" xr:uid="{8D7243E1-2023-498E-B07B-46C91131E69E}"/>
    <hyperlink ref="N84" r:id="rId53" location="step-5-player-dashboards--conserve-consume-and-trade" xr:uid="{2B92B71F-4C1E-4014-A91A-ED1354DD8E37}"/>
    <hyperlink ref="N85" r:id="rId54" location="i-buy-or-sell-water-from-other-players" xr:uid="{908B2887-C74D-4DDB-B564-A1D1BDFD47ED}"/>
    <hyperlink ref="N86" r:id="rId55" location="ii-compensation" xr:uid="{61347F19-90F6-4DEB-BCF4-649E474A6805}"/>
    <hyperlink ref="N87" r:id="rId56" location="iii-net-trade-volume-all-players" xr:uid="{774B92EA-8585-4176-B748-A7ED42A8F17E}"/>
    <hyperlink ref="N88" r:id="rId57" location="iv-available-water" xr:uid="{6BAF34E9-1A9C-43AA-9982-42BF7292D970}"/>
    <hyperlink ref="N89" r:id="rId58" location="v-enter-withdraw-within-available-water" display="Help withdraw" xr:uid="{DD536209-A308-40DA-8ABE-9633FF07DA0F}"/>
    <hyperlink ref="N90" r:id="rId59" location="vi-end-of-year-balance" xr:uid="{10BB9AE3-F2A9-4753-8398-5A2E2F418081}"/>
    <hyperlink ref="N92" r:id="rId60" location="step-5-player-dashboards--conserve-consume-and-trade" xr:uid="{979E2EF0-1ED2-4D57-A175-50C725010EC8}"/>
    <hyperlink ref="N93" r:id="rId61" location="i-buy-or-sell-water-from-other-players" xr:uid="{6AC2BD64-A0E0-44FB-8312-FDE3AF03F80E}"/>
    <hyperlink ref="N94" r:id="rId62" location="ii-compensation" xr:uid="{4825486A-4428-43A3-96BA-85DD57D30EC1}"/>
    <hyperlink ref="N95" r:id="rId63" location="iii-net-trade-volume-all-players" xr:uid="{AB7B260D-3FBB-423D-BA1C-BA795A75E699}"/>
    <hyperlink ref="N96" r:id="rId64" location="iv-available-water" xr:uid="{CF51D6B6-7339-47CE-94A1-EBECB55891E6}"/>
    <hyperlink ref="N97" r:id="rId65" location="v-enter-withdraw-within-available-water" display="Help withdraw" xr:uid="{BF58905C-5D66-45DD-A02A-DACF3FC2A6FC}"/>
    <hyperlink ref="N98" r:id="rId66" location="vi-end-of-year-balance" xr:uid="{A7EAA1FC-F19D-4878-9180-57B7E899E01F}"/>
    <hyperlink ref="N25" r:id="rId67" location="upper-basin-pre-1922-water-rights" xr:uid="{6F2BDB1C-D4AB-44D4-A755-C1C03CAB4F3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8" operator="equal" id="{FDC729FA-5C2C-4D50-A4A7-3D6761C76856}">
            <xm:f>PowellReleaseTemperature!$B$10</xm:f>
            <x14:dxf>
              <font>
                <color auto="1"/>
              </font>
              <fill>
                <patternFill>
                  <bgColor theme="4"/>
                </patternFill>
              </fill>
            </x14:dxf>
          </x14:cfRule>
          <x14:cfRule type="cellIs" priority="29" operator="equal" id="{3A6008C5-068A-4FAB-B211-EB7C240F3DEA}">
            <xm:f>PowellReleaseTemperature!$B$9</xm:f>
            <x14:dxf>
              <font>
                <color theme="4" tint="-0.24994659260841701"/>
              </font>
              <fill>
                <patternFill>
                  <bgColor theme="8" tint="0.59996337778862885"/>
                </patternFill>
              </fill>
            </x14:dxf>
          </x14:cfRule>
          <x14:cfRule type="cellIs" priority="30" operator="equal" id="{79B8E7E8-066E-4475-A48F-5199EE3D8BFE}">
            <xm:f>PowellReleaseTemperature!$B$8</xm:f>
            <x14:dxf>
              <font>
                <color rgb="FF9C0006"/>
              </font>
              <fill>
                <patternFill>
                  <bgColor rgb="FFFFC7CE"/>
                </patternFill>
              </fill>
            </x14:dxf>
          </x14:cfRule>
          <x14:cfRule type="cellIs" priority="31"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590B7319-E0E9-48A1-834F-F8AFDF2F99E1}">
            <xm:f>PowellReleaseTemperature!$E$5</xm:f>
            <x14:dxf>
              <font>
                <color auto="1"/>
              </font>
              <fill>
                <patternFill>
                  <bgColor rgb="FFFF0000"/>
                </patternFill>
              </fill>
            </x14:dxf>
          </x14:cfRule>
          <x14:cfRule type="cellIs" priority="25" operator="equal" id="{4FDD0B3C-383A-4F44-B8B9-BA5C65EA8377}">
            <xm:f>PowellReleaseTemperature!$E$8</xm:f>
            <x14:dxf>
              <font>
                <color rgb="FF9C0006"/>
              </font>
              <fill>
                <patternFill>
                  <bgColor rgb="FFFFC7CE"/>
                </patternFill>
              </fill>
            </x14:dxf>
          </x14:cfRule>
          <x14:cfRule type="cellIs" priority="26" operator="equal" id="{3CB5E7AA-B917-4E47-839A-0C85FCC34671}">
            <xm:f>PowellReleaseTemperature!$E$9</xm:f>
            <x14:dxf>
              <font>
                <color theme="4" tint="-0.24994659260841701"/>
              </font>
              <fill>
                <patternFill>
                  <bgColor theme="8" tint="0.59996337778862885"/>
                </patternFill>
              </fill>
            </x14:dxf>
          </x14:cfRule>
          <x14:cfRule type="cellIs" priority="27"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4CD1BC81-F0DD-4150-AC8A-EB7D840AE113}">
            <xm:f>PowellReleaseTemperature!$F$10</xm:f>
            <x14:dxf>
              <font>
                <color auto="1"/>
              </font>
              <fill>
                <patternFill>
                  <bgColor theme="4"/>
                </patternFill>
              </fill>
            </x14:dxf>
          </x14:cfRule>
          <x14:cfRule type="cellIs" priority="22" operator="equal" id="{253607B2-DC04-4898-BC73-A255ABEF6E9B}">
            <xm:f>PowellReleaseTemperature!$F$9</xm:f>
            <x14:dxf>
              <font>
                <color theme="4" tint="-0.24994659260841701"/>
              </font>
              <fill>
                <patternFill>
                  <bgColor theme="8" tint="0.59996337778862885"/>
                </patternFill>
              </fill>
            </x14:dxf>
          </x14:cfRule>
          <x14:cfRule type="cellIs" priority="23"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7" id="{1991237B-BC2E-4AB2-871E-A7051D2F0F3B}">
            <x14:iconSet iconSet="3Symbols" custom="1">
              <x14:cfvo type="percent">
                <xm:f>0</xm:f>
              </x14:cfvo>
              <x14:cfvo type="num">
                <xm:f>$C$64</xm:f>
              </x14:cfvo>
              <x14:cfvo type="num">
                <xm:f>$C$64</xm:f>
              </x14:cfvo>
              <x14:cfIcon iconSet="NoIcons" iconId="0"/>
              <x14:cfIcon iconSet="3Symbols2" iconId="0"/>
              <x14:cfIcon iconSet="3Symbols2" iconId="0"/>
            </x14:iconSet>
          </x14:cfRule>
          <xm:sqref>C65:L65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topLeftCell="A2" workbookViewId="0">
      <selection activeCell="X34" sqref="X34"/>
    </sheetView>
  </sheetViews>
  <sheetFormatPr defaultRowHeight="14.5" x14ac:dyDescent="0.35"/>
  <sheetData>
    <row r="1" spans="7:24" ht="36" x14ac:dyDescent="0.8">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BA9EA-A56D-490F-9EB4-DA6EE7A725C9}">
  <dimension ref="A1:P49"/>
  <sheetViews>
    <sheetView topLeftCell="A25" zoomScale="150" zoomScaleNormal="150" workbookViewId="0">
      <selection activeCell="C46" sqref="C46"/>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44" t="str">
        <f>'ReadMe-Directions'!A1</f>
        <v>Colorado River Basin Accounts: Provoke Thought and Discussion about New Operations</v>
      </c>
      <c r="B1" s="244"/>
      <c r="C1" s="244"/>
      <c r="D1" s="244"/>
      <c r="E1" s="244"/>
      <c r="F1" s="244"/>
      <c r="G1" s="244"/>
    </row>
    <row r="2" spans="1:14" x14ac:dyDescent="0.35">
      <c r="A2" s="1" t="s">
        <v>382</v>
      </c>
      <c r="B2" s="1"/>
    </row>
    <row r="3" spans="1:14" ht="32.15" customHeight="1" x14ac:dyDescent="0.35">
      <c r="A3" s="254" t="s">
        <v>375</v>
      </c>
      <c r="B3" s="254"/>
      <c r="C3" s="254"/>
      <c r="D3" s="254"/>
      <c r="E3" s="254"/>
      <c r="F3" s="254"/>
      <c r="G3" s="254"/>
      <c r="H3" s="180"/>
      <c r="I3" s="180"/>
      <c r="J3" s="180"/>
      <c r="K3" s="180"/>
      <c r="N3" s="153" t="s">
        <v>303</v>
      </c>
    </row>
    <row r="4" spans="1:14" x14ac:dyDescent="0.35">
      <c r="A4" s="141" t="s">
        <v>236</v>
      </c>
      <c r="B4" s="141" t="s">
        <v>31</v>
      </c>
      <c r="C4" s="255" t="s">
        <v>32</v>
      </c>
      <c r="D4" s="256"/>
      <c r="E4" s="256"/>
      <c r="F4" s="256"/>
      <c r="G4" s="257"/>
      <c r="N4" s="155" t="s">
        <v>267</v>
      </c>
    </row>
    <row r="5" spans="1:14" x14ac:dyDescent="0.35">
      <c r="A5" s="205" t="s">
        <v>28</v>
      </c>
      <c r="B5" s="181"/>
      <c r="C5" s="258"/>
      <c r="D5" s="253"/>
      <c r="E5" s="253"/>
      <c r="F5" s="253"/>
      <c r="G5" s="253"/>
      <c r="N5" s="159"/>
    </row>
    <row r="6" spans="1:14" x14ac:dyDescent="0.35">
      <c r="A6" s="205" t="s">
        <v>29</v>
      </c>
      <c r="B6" s="181"/>
      <c r="C6" s="258"/>
      <c r="D6" s="253"/>
      <c r="E6" s="253"/>
      <c r="F6" s="253"/>
      <c r="G6" s="253"/>
      <c r="N6" s="159"/>
    </row>
    <row r="7" spans="1:14" x14ac:dyDescent="0.35">
      <c r="A7" s="205" t="s">
        <v>30</v>
      </c>
      <c r="B7" s="181"/>
      <c r="C7" s="258"/>
      <c r="D7" s="253"/>
      <c r="E7" s="253"/>
      <c r="F7" s="253"/>
      <c r="G7" s="253"/>
      <c r="N7" s="159"/>
    </row>
    <row r="8" spans="1:14" x14ac:dyDescent="0.35">
      <c r="A8" s="181" t="s">
        <v>94</v>
      </c>
      <c r="B8" s="205"/>
      <c r="C8" s="253"/>
      <c r="D8" s="253"/>
      <c r="E8" s="253"/>
      <c r="F8" s="253"/>
      <c r="G8" s="253"/>
      <c r="N8" s="159"/>
    </row>
    <row r="9" spans="1:14" x14ac:dyDescent="0.35">
      <c r="A9" s="181" t="s">
        <v>341</v>
      </c>
      <c r="B9" s="205"/>
      <c r="C9" s="259"/>
      <c r="D9" s="259"/>
      <c r="E9" s="259"/>
      <c r="F9" s="259"/>
      <c r="G9" s="259"/>
      <c r="N9" s="159"/>
    </row>
    <row r="10" spans="1:14" x14ac:dyDescent="0.35">
      <c r="A10" s="182" t="s">
        <v>97</v>
      </c>
      <c r="B10" s="182"/>
      <c r="C10" s="260"/>
      <c r="D10" s="260"/>
      <c r="E10" s="260"/>
      <c r="F10" s="260"/>
      <c r="G10" s="260"/>
      <c r="N10" s="159"/>
    </row>
    <row r="11" spans="1:14" x14ac:dyDescent="0.35">
      <c r="A11" s="14"/>
      <c r="B11" s="2"/>
      <c r="C11"/>
      <c r="N11" s="159"/>
    </row>
    <row r="12" spans="1:14" x14ac:dyDescent="0.35">
      <c r="A12" s="16" t="s">
        <v>237</v>
      </c>
      <c r="B12" s="261" t="s">
        <v>239</v>
      </c>
      <c r="C12" s="262"/>
      <c r="D12" s="263"/>
      <c r="N12" s="158" t="s">
        <v>268</v>
      </c>
    </row>
    <row r="13" spans="1:14" x14ac:dyDescent="0.35">
      <c r="B13" s="264" t="s">
        <v>240</v>
      </c>
      <c r="C13" s="265"/>
      <c r="D13" s="266"/>
      <c r="N13" s="159"/>
    </row>
    <row r="14" spans="1:14" x14ac:dyDescent="0.35">
      <c r="B14" s="245" t="s">
        <v>241</v>
      </c>
      <c r="C14" s="246"/>
      <c r="D14" s="247"/>
      <c r="N14" s="159"/>
    </row>
    <row r="15" spans="1:14" x14ac:dyDescent="0.35">
      <c r="B15" s="248" t="s">
        <v>33</v>
      </c>
      <c r="C15" s="249"/>
      <c r="D15" s="250"/>
      <c r="N15" s="159"/>
    </row>
    <row r="16" spans="1:14" x14ac:dyDescent="0.35">
      <c r="N16" s="159"/>
    </row>
    <row r="17" spans="1:14" x14ac:dyDescent="0.35">
      <c r="A17" s="1" t="s">
        <v>238</v>
      </c>
      <c r="B17" s="1" t="s">
        <v>81</v>
      </c>
      <c r="C17" s="12" t="s">
        <v>82</v>
      </c>
      <c r="N17" s="158" t="s">
        <v>269</v>
      </c>
    </row>
    <row r="18" spans="1:14" x14ac:dyDescent="0.35">
      <c r="A18" t="s">
        <v>80</v>
      </c>
      <c r="B18" s="122">
        <v>5.73</v>
      </c>
      <c r="C18" s="122">
        <v>6</v>
      </c>
      <c r="D18" s="17"/>
      <c r="N18" s="158" t="s">
        <v>271</v>
      </c>
    </row>
    <row r="19" spans="1:14" x14ac:dyDescent="0.35">
      <c r="A19" t="s">
        <v>263</v>
      </c>
      <c r="B19" s="122">
        <v>7.2</v>
      </c>
      <c r="C19" s="122">
        <v>9</v>
      </c>
      <c r="D19" s="143" t="s">
        <v>247</v>
      </c>
      <c r="F19" s="143"/>
      <c r="N19" s="158" t="s">
        <v>270</v>
      </c>
    </row>
    <row r="20" spans="1:14" x14ac:dyDescent="0.35">
      <c r="A20" t="s">
        <v>118</v>
      </c>
      <c r="B20" s="177">
        <v>3525</v>
      </c>
      <c r="C20" s="177">
        <v>1020</v>
      </c>
      <c r="D20" s="11"/>
      <c r="N20" s="158" t="s">
        <v>272</v>
      </c>
    </row>
    <row r="21" spans="1:14" x14ac:dyDescent="0.35">
      <c r="A21" t="s">
        <v>110</v>
      </c>
      <c r="B21" s="122">
        <f>VLOOKUP(B20,'Powell-Elevation-Area'!$A$5:$B$689,2)/1000000</f>
        <v>5.9265762500000001</v>
      </c>
      <c r="C21" s="122">
        <f>VLOOKUP(C20,'Mead-Elevation-Area'!$A$5:$B$689,2)/1000000</f>
        <v>5.664593</v>
      </c>
      <c r="D21" s="11"/>
      <c r="E21" s="30"/>
      <c r="N21" s="158" t="s">
        <v>274</v>
      </c>
    </row>
    <row r="22" spans="1:14" x14ac:dyDescent="0.35">
      <c r="A22" t="s">
        <v>253</v>
      </c>
      <c r="B22" s="122">
        <f>78.1</f>
        <v>78.099999999999994</v>
      </c>
      <c r="C22"/>
      <c r="D22" s="123"/>
      <c r="E22" s="30"/>
      <c r="N22" s="158" t="s">
        <v>273</v>
      </c>
    </row>
    <row r="23" spans="1:14" x14ac:dyDescent="0.35">
      <c r="A23" t="s">
        <v>254</v>
      </c>
      <c r="B23" s="144">
        <v>0.17</v>
      </c>
      <c r="C23"/>
      <c r="D23" s="123"/>
      <c r="E23" s="30"/>
      <c r="N23" s="158" t="s">
        <v>275</v>
      </c>
    </row>
    <row r="24" spans="1:14" x14ac:dyDescent="0.35">
      <c r="A24" t="s">
        <v>252</v>
      </c>
      <c r="B24" s="122">
        <f>10*(7.5+1.5/2)-B22-B23</f>
        <v>4.2300000000000058</v>
      </c>
      <c r="C24"/>
      <c r="D24" s="123"/>
      <c r="E24" s="30"/>
      <c r="N24" s="158" t="s">
        <v>276</v>
      </c>
    </row>
    <row r="25" spans="1:14" x14ac:dyDescent="0.35">
      <c r="A25" t="s">
        <v>314</v>
      </c>
      <c r="B25" s="122">
        <f>2.7 + 0.3 - IF(A9&lt;&gt;"",1.06,0)</f>
        <v>1.94</v>
      </c>
      <c r="C25"/>
      <c r="D25" s="123"/>
      <c r="E25" s="30"/>
      <c r="N25" s="178" t="s">
        <v>321</v>
      </c>
    </row>
    <row r="26" spans="1:14" x14ac:dyDescent="0.35">
      <c r="B26" s="30"/>
      <c r="N26" s="159"/>
    </row>
    <row r="27" spans="1:14" s="1" customFormat="1" hidden="1" x14ac:dyDescent="0.35">
      <c r="A27" s="113" t="s">
        <v>228</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224</v>
      </c>
      <c r="B28" s="1"/>
      <c r="C28" s="108">
        <v>0</v>
      </c>
      <c r="D28" s="108">
        <v>2</v>
      </c>
      <c r="E28" s="108">
        <v>4</v>
      </c>
      <c r="F28" s="108">
        <v>6</v>
      </c>
      <c r="G28" s="108">
        <v>8</v>
      </c>
      <c r="H28" s="108">
        <v>10</v>
      </c>
      <c r="I28" s="108">
        <v>12</v>
      </c>
      <c r="J28" s="108">
        <v>14</v>
      </c>
      <c r="K28" s="108">
        <v>16</v>
      </c>
      <c r="L28" s="108">
        <v>18</v>
      </c>
      <c r="N28" s="155" t="s">
        <v>277</v>
      </c>
    </row>
    <row r="29" spans="1:14" x14ac:dyDescent="0.35">
      <c r="A29" s="1" t="s">
        <v>86</v>
      </c>
      <c r="B29" s="1"/>
      <c r="C29" s="107">
        <f>IF(C$28&lt;&gt;"",0.8,"")</f>
        <v>0.8</v>
      </c>
      <c r="D29" s="107">
        <f t="shared" ref="D29:L29" si="0">IF(D$28&lt;&gt;"",0.8,"")</f>
        <v>0.8</v>
      </c>
      <c r="E29" s="107">
        <f t="shared" si="0"/>
        <v>0.8</v>
      </c>
      <c r="F29" s="107">
        <f t="shared" si="0"/>
        <v>0.8</v>
      </c>
      <c r="G29" s="107">
        <f t="shared" si="0"/>
        <v>0.8</v>
      </c>
      <c r="H29" s="107">
        <f t="shared" si="0"/>
        <v>0.8</v>
      </c>
      <c r="I29" s="107">
        <f t="shared" si="0"/>
        <v>0.8</v>
      </c>
      <c r="J29" s="107">
        <f t="shared" si="0"/>
        <v>0.8</v>
      </c>
      <c r="K29" s="107">
        <f t="shared" si="0"/>
        <v>0.8</v>
      </c>
      <c r="L29" s="107">
        <f t="shared" si="0"/>
        <v>0.8</v>
      </c>
      <c r="N29" s="158" t="s">
        <v>278</v>
      </c>
    </row>
    <row r="30" spans="1:14" x14ac:dyDescent="0.35">
      <c r="A30" s="1" t="s">
        <v>203</v>
      </c>
      <c r="B30" s="1"/>
      <c r="C30" s="107">
        <f>IF(C$28&lt;&gt;"",0.2,"")</f>
        <v>0.2</v>
      </c>
      <c r="D30" s="107">
        <f t="shared" ref="D30:L30" si="1">IF(D$28&lt;&gt;"",0.2,"")</f>
        <v>0.2</v>
      </c>
      <c r="E30" s="107">
        <f t="shared" si="1"/>
        <v>0.2</v>
      </c>
      <c r="F30" s="107">
        <f t="shared" si="1"/>
        <v>0.2</v>
      </c>
      <c r="G30" s="107">
        <f t="shared" si="1"/>
        <v>0.2</v>
      </c>
      <c r="H30" s="107">
        <f t="shared" si="1"/>
        <v>0.2</v>
      </c>
      <c r="I30" s="107">
        <f t="shared" si="1"/>
        <v>0.2</v>
      </c>
      <c r="J30" s="107">
        <f t="shared" si="1"/>
        <v>0.2</v>
      </c>
      <c r="K30" s="107">
        <f t="shared" si="1"/>
        <v>0.2</v>
      </c>
      <c r="L30" s="107">
        <f t="shared" si="1"/>
        <v>0.2</v>
      </c>
      <c r="N30" s="158" t="s">
        <v>279</v>
      </c>
    </row>
    <row r="31" spans="1:14" x14ac:dyDescent="0.35">
      <c r="A31" s="1" t="s">
        <v>182</v>
      </c>
      <c r="B31" s="1"/>
      <c r="C31" s="107">
        <f>IF(C$28&lt;&gt;"",0.6,"")</f>
        <v>0.6</v>
      </c>
      <c r="D31" s="107">
        <f t="shared" ref="D31:L31" si="2">IF(D$28&lt;&gt;"",0.6,"")</f>
        <v>0.6</v>
      </c>
      <c r="E31" s="107">
        <f t="shared" si="2"/>
        <v>0.6</v>
      </c>
      <c r="F31" s="107">
        <f t="shared" si="2"/>
        <v>0.6</v>
      </c>
      <c r="G31" s="107">
        <f t="shared" si="2"/>
        <v>0.6</v>
      </c>
      <c r="H31" s="107">
        <f t="shared" si="2"/>
        <v>0.6</v>
      </c>
      <c r="I31" s="107">
        <f t="shared" si="2"/>
        <v>0.6</v>
      </c>
      <c r="J31" s="107">
        <f t="shared" si="2"/>
        <v>0.6</v>
      </c>
      <c r="K31" s="107">
        <f t="shared" si="2"/>
        <v>0.6</v>
      </c>
      <c r="L31" s="107">
        <f t="shared" si="2"/>
        <v>0.6</v>
      </c>
      <c r="N31" s="158" t="s">
        <v>280</v>
      </c>
    </row>
    <row r="32" spans="1:14" x14ac:dyDescent="0.35">
      <c r="A32" s="1" t="s">
        <v>377</v>
      </c>
      <c r="C32"/>
      <c r="N32" s="158" t="s">
        <v>301</v>
      </c>
    </row>
    <row r="33" spans="1:16" x14ac:dyDescent="0.35">
      <c r="A33" t="s">
        <v>83</v>
      </c>
      <c r="C33" s="13">
        <f>IF(C$28&lt;&gt;"",IF(COLUMN(C27)=COLUMN($C27),$B$19,#REF!),"")</f>
        <v>7.2</v>
      </c>
      <c r="D33" s="13">
        <f>C33</f>
        <v>7.2</v>
      </c>
      <c r="E33" s="13">
        <f t="shared" ref="E33:G33" si="3">D33</f>
        <v>7.2</v>
      </c>
      <c r="F33" s="13">
        <f t="shared" si="3"/>
        <v>7.2</v>
      </c>
      <c r="G33" s="13">
        <f t="shared" si="3"/>
        <v>7.2</v>
      </c>
      <c r="H33" s="13">
        <f t="shared" ref="H33:L33" si="4">G33</f>
        <v>7.2</v>
      </c>
      <c r="I33" s="13">
        <f t="shared" si="4"/>
        <v>7.2</v>
      </c>
      <c r="J33" s="13">
        <f t="shared" si="4"/>
        <v>7.2</v>
      </c>
      <c r="K33" s="13">
        <f t="shared" si="4"/>
        <v>7.2</v>
      </c>
      <c r="L33" s="13">
        <f t="shared" si="4"/>
        <v>7.2</v>
      </c>
      <c r="N33" s="159"/>
    </row>
    <row r="34" spans="1:16" x14ac:dyDescent="0.35">
      <c r="A34" t="s">
        <v>84</v>
      </c>
      <c r="C34" s="13">
        <f>IF(C$28&lt;&gt;"",IF(COLUMN(C28)=COLUMN($C28),$C$19,#REF!),"")</f>
        <v>9</v>
      </c>
      <c r="D34" s="13">
        <f>C34</f>
        <v>9</v>
      </c>
      <c r="E34" s="13">
        <f t="shared" ref="E34:G35" si="5">D34</f>
        <v>9</v>
      </c>
      <c r="F34" s="13">
        <f t="shared" si="5"/>
        <v>9</v>
      </c>
      <c r="G34" s="13">
        <f t="shared" si="5"/>
        <v>9</v>
      </c>
      <c r="H34" s="13">
        <f t="shared" ref="H34:L34" si="6">G34</f>
        <v>9</v>
      </c>
      <c r="I34" s="13">
        <f t="shared" si="6"/>
        <v>9</v>
      </c>
      <c r="J34" s="13">
        <f t="shared" si="6"/>
        <v>9</v>
      </c>
      <c r="K34" s="13">
        <f t="shared" si="6"/>
        <v>9</v>
      </c>
      <c r="L34" s="13">
        <f t="shared" si="6"/>
        <v>9</v>
      </c>
      <c r="N34" s="159"/>
    </row>
    <row r="35" spans="1:16" x14ac:dyDescent="0.35">
      <c r="A35" s="1" t="s">
        <v>378</v>
      </c>
      <c r="C35" s="13">
        <f>SUM(B21:C21)</f>
        <v>11.59116925</v>
      </c>
      <c r="D35" s="13">
        <f>C35</f>
        <v>11.59116925</v>
      </c>
      <c r="E35" s="13">
        <f t="shared" si="5"/>
        <v>11.59116925</v>
      </c>
      <c r="F35" s="13">
        <f t="shared" si="5"/>
        <v>11.59116925</v>
      </c>
      <c r="G35" s="13">
        <f t="shared" si="5"/>
        <v>11.59116925</v>
      </c>
      <c r="H35" s="13">
        <f t="shared" ref="H35:L35" si="7">G35</f>
        <v>11.59116925</v>
      </c>
      <c r="I35" s="13">
        <f t="shared" si="7"/>
        <v>11.59116925</v>
      </c>
      <c r="J35" s="13">
        <f t="shared" si="7"/>
        <v>11.59116925</v>
      </c>
      <c r="K35" s="13">
        <f t="shared" si="7"/>
        <v>11.59116925</v>
      </c>
      <c r="L35" s="13">
        <f t="shared" si="7"/>
        <v>11.59116925</v>
      </c>
      <c r="N35" s="159"/>
    </row>
    <row r="36" spans="1:16" x14ac:dyDescent="0.35">
      <c r="A36" s="1" t="s">
        <v>226</v>
      </c>
      <c r="B36" s="1"/>
      <c r="C36" s="13">
        <f>IF(C$28&lt;&gt;"",VLOOKUP(C33*1000000,'Powell-Elevation-Area'!$B$5:$D$689,3)*$B$18/1000000 + VLOOKUP(C34*1000000,'Mead-Elevation-Area'!$B$5:$D$676,3)*$C$18/1000000,"")</f>
        <v>0.86659952010057295</v>
      </c>
      <c r="D36" s="13">
        <f>IF(D$28&lt;&gt;"",VLOOKUP(D33*1000000,'Powell-Elevation-Area'!$B$5:$D$689,3)*$B$18/1000000 + VLOOKUP(D34*1000000,'Mead-Elevation-Area'!$B$5:$D$676,3)*$C$18/1000000,"")</f>
        <v>0.86659952010057295</v>
      </c>
      <c r="E36" s="13">
        <f>IF(E$28&lt;&gt;"",VLOOKUP(E33*1000000,'Powell-Elevation-Area'!$B$5:$D$689,3)*$B$18/1000000 + VLOOKUP(E34*1000000,'Mead-Elevation-Area'!$B$5:$D$676,3)*$C$18/1000000,"")</f>
        <v>0.86659952010057295</v>
      </c>
      <c r="F36" s="13">
        <f>IF(F$28&lt;&gt;"",VLOOKUP(F33*1000000,'Powell-Elevation-Area'!$B$5:$D$689,3)*$B$18/1000000 + VLOOKUP(F34*1000000,'Mead-Elevation-Area'!$B$5:$D$676,3)*$C$18/1000000,"")</f>
        <v>0.86659952010057295</v>
      </c>
      <c r="G36" s="13">
        <f>IF(G$28&lt;&gt;"",VLOOKUP(G33*1000000,'Powell-Elevation-Area'!$B$5:$D$689,3)*$B$18/1000000 + VLOOKUP(G34*1000000,'Mead-Elevation-Area'!$B$5:$D$676,3)*$C$18/1000000,"")</f>
        <v>0.86659952010057295</v>
      </c>
      <c r="H36" s="13">
        <f>IF(H$28&lt;&gt;"",VLOOKUP(H33*1000000,'Powell-Elevation-Area'!$B$5:$D$689,3)*$B$18/1000000 + VLOOKUP(H34*1000000,'Mead-Elevation-Area'!$B$5:$D$676,3)*$C$18/1000000,"")</f>
        <v>0.86659952010057295</v>
      </c>
      <c r="I36" s="13">
        <f>IF(I$28&lt;&gt;"",VLOOKUP(I33*1000000,'Powell-Elevation-Area'!$B$5:$D$689,3)*$B$18/1000000 + VLOOKUP(I34*1000000,'Mead-Elevation-Area'!$B$5:$D$676,3)*$C$18/1000000,"")</f>
        <v>0.86659952010057295</v>
      </c>
      <c r="J36" s="13">
        <f>IF(J$28&lt;&gt;"",VLOOKUP(J33*1000000,'Powell-Elevation-Area'!$B$5:$D$689,3)*$B$18/1000000 + VLOOKUP(J34*1000000,'Mead-Elevation-Area'!$B$5:$D$676,3)*$C$18/1000000,"")</f>
        <v>0.86659952010057295</v>
      </c>
      <c r="K36" s="13">
        <f>IF(K$28&lt;&gt;"",VLOOKUP(K33*1000000,'Powell-Elevation-Area'!$B$5:$D$689,3)*$B$18/1000000 + VLOOKUP(K34*1000000,'Mead-Elevation-Area'!$B$5:$D$676,3)*$C$18/1000000,"")</f>
        <v>0.86659952010057295</v>
      </c>
      <c r="L36" s="13">
        <f>IF(L$28&lt;&gt;"",VLOOKUP(L33*1000000,'Powell-Elevation-Area'!$B$5:$D$689,3)*$B$18/1000000 + VLOOKUP(L34*1000000,'Mead-Elevation-Area'!$B$5:$D$676,3)*$C$18/1000000,"")</f>
        <v>0.86659952010057295</v>
      </c>
      <c r="N36" s="158" t="s">
        <v>282</v>
      </c>
    </row>
    <row r="37" spans="1:16" x14ac:dyDescent="0.35">
      <c r="A37" t="str">
        <f>IF(A10="","","    "&amp;A10&amp;" Share")</f>
        <v xml:space="preserve">    Shared, Reserve Share</v>
      </c>
      <c r="B37" s="1"/>
      <c r="C37" s="13">
        <f>IF(OR(C$28="",$A37=""),"",C$36*C35/SUM(C33:C34))</f>
        <v>0.62005566107743937</v>
      </c>
      <c r="D37" s="13">
        <f t="shared" ref="D37:E37" si="8">IF(OR(D$28="",$A37=""),"",D$36*D35/SUM(D33:D34))</f>
        <v>0.62005566107743937</v>
      </c>
      <c r="E37" s="13">
        <f t="shared" si="8"/>
        <v>0.62005566107743937</v>
      </c>
      <c r="F37" s="13">
        <f t="shared" ref="F37:G37" si="9">IF(OR(F$28="",$A37=""),"",F$36*F35/SUM(F33:F34))</f>
        <v>0.62005566107743937</v>
      </c>
      <c r="G37" s="13">
        <f t="shared" si="9"/>
        <v>0.62005566107743937</v>
      </c>
      <c r="H37" s="13">
        <f t="shared" ref="H37:L37" si="10">IF(OR(H$28="",$A37=""),"",H$36*H35/SUM(H33:H34))</f>
        <v>0.62005566107743937</v>
      </c>
      <c r="I37" s="13">
        <f t="shared" si="10"/>
        <v>0.62005566107743937</v>
      </c>
      <c r="J37" s="13">
        <f t="shared" si="10"/>
        <v>0.62005566107743937</v>
      </c>
      <c r="K37" s="13">
        <f t="shared" si="10"/>
        <v>0.62005566107743937</v>
      </c>
      <c r="L37" s="13">
        <f t="shared" si="10"/>
        <v>0.62005566107743937</v>
      </c>
      <c r="N37" s="159"/>
    </row>
    <row r="38" spans="1:16" x14ac:dyDescent="0.35">
      <c r="A38" s="1" t="s">
        <v>227</v>
      </c>
      <c r="B38" s="54"/>
      <c r="C38" s="33">
        <f>IF(C$28&lt;&gt;"",1.5-0.21/9/2-VLOOKUP(C34,MandatoryConservation!$C$5:$P$13,13),"")</f>
        <v>1.4083333333333332</v>
      </c>
      <c r="D38" s="33">
        <f>IF(D$28&lt;&gt;"",1.5-0.21/9/2-VLOOKUP(D34,MandatoryConservation!$C$5:$P$13,13),"")</f>
        <v>1.4083333333333332</v>
      </c>
      <c r="E38" s="33">
        <f>IF(E$28&lt;&gt;"",1.5-0.21/9/2-VLOOKUP(E34,MandatoryConservation!$C$5:$P$13,13),"")</f>
        <v>1.4083333333333332</v>
      </c>
      <c r="F38" s="33">
        <f>IF(F$28&lt;&gt;"",1.5-0.21/9/2-VLOOKUP(F34,MandatoryConservation!$C$5:$P$13,13),"")</f>
        <v>1.4083333333333332</v>
      </c>
      <c r="G38" s="33">
        <f>IF(G$28&lt;&gt;"",1.5-0.21/9/2-VLOOKUP(G34,MandatoryConservation!$C$5:$P$13,13),"")</f>
        <v>1.4083333333333332</v>
      </c>
      <c r="H38" s="33">
        <f>IF(H$28&lt;&gt;"",1.5-0.21/9/2-VLOOKUP(H34,MandatoryConservation!$C$5:$P$13,13),"")</f>
        <v>1.4083333333333332</v>
      </c>
      <c r="I38" s="33">
        <f>IF(I$28&lt;&gt;"",1.5-0.21/9/2-VLOOKUP(I34,MandatoryConservation!$C$5:$P$13,13),"")</f>
        <v>1.4083333333333332</v>
      </c>
      <c r="J38" s="33">
        <f>IF(J$28&lt;&gt;"",1.5-0.21/9/2-VLOOKUP(J34,MandatoryConservation!$C$5:$P$13,13),"")</f>
        <v>1.4083333333333332</v>
      </c>
      <c r="K38" s="33">
        <f>IF(K$28&lt;&gt;"",1.5-0.21/9/2-VLOOKUP(K34,MandatoryConservation!$C$5:$P$13,13),"")</f>
        <v>1.4083333333333332</v>
      </c>
      <c r="L38" s="33">
        <f>IF(L$28&lt;&gt;"",1.5-0.21/9/2-VLOOKUP(L34,MandatoryConservation!$C$5:$P$13,13),"")</f>
        <v>1.4083333333333332</v>
      </c>
      <c r="N38" s="158" t="s">
        <v>283</v>
      </c>
    </row>
    <row r="39" spans="1:16" x14ac:dyDescent="0.35">
      <c r="A39" s="138" t="s">
        <v>255</v>
      </c>
      <c r="B39" s="1"/>
      <c r="C39" s="13">
        <f t="shared" ref="C39:L39" si="11">IF(C28="","",SUM(C28:C30))</f>
        <v>1</v>
      </c>
      <c r="D39" s="13">
        <f t="shared" si="11"/>
        <v>3</v>
      </c>
      <c r="E39" s="13">
        <f t="shared" si="11"/>
        <v>5</v>
      </c>
      <c r="F39" s="13">
        <f t="shared" si="11"/>
        <v>7</v>
      </c>
      <c r="G39" s="13">
        <f t="shared" si="11"/>
        <v>9</v>
      </c>
      <c r="H39" s="13">
        <f t="shared" si="11"/>
        <v>11</v>
      </c>
      <c r="I39" s="13">
        <f t="shared" si="11"/>
        <v>13</v>
      </c>
      <c r="J39" s="13">
        <f t="shared" si="11"/>
        <v>15</v>
      </c>
      <c r="K39" s="13">
        <f t="shared" si="11"/>
        <v>17</v>
      </c>
      <c r="L39" s="13">
        <f t="shared" si="11"/>
        <v>19</v>
      </c>
      <c r="M39" s="30"/>
      <c r="N39" s="156" t="s">
        <v>284</v>
      </c>
    </row>
    <row r="40" spans="1:16" x14ac:dyDescent="0.35">
      <c r="A40" t="str">
        <f t="shared" ref="A40:A45" si="12">IF(A5="","","    To "&amp;A5)</f>
        <v xml:space="preserve">    To Upper Basin</v>
      </c>
      <c r="B40" s="105" t="s">
        <v>315</v>
      </c>
      <c r="C40" s="87">
        <f>IF(OR(C$28="",$A41=""),"",MAX(0,MAX(0,C39-SUM(C41:C46))))</f>
        <v>2.5932619384264277E-2</v>
      </c>
      <c r="D40" s="87">
        <f t="shared" ref="D40:L40" si="13">IF(OR(D$28="",$A41=""),"",MAX(0,MAX(0,D39-SUM(D41:D46))))</f>
        <v>4.996168582375482E-2</v>
      </c>
      <c r="E40" s="87">
        <f t="shared" si="13"/>
        <v>0.52279874505282908</v>
      </c>
      <c r="F40" s="87">
        <f t="shared" si="13"/>
        <v>1.969751862947871</v>
      </c>
      <c r="G40" s="87">
        <f t="shared" si="13"/>
        <v>1.969751862947871</v>
      </c>
      <c r="H40" s="87">
        <f t="shared" si="13"/>
        <v>1.9697518629478719</v>
      </c>
      <c r="I40" s="87">
        <f t="shared" si="13"/>
        <v>2.2457472643937511</v>
      </c>
      <c r="J40" s="87">
        <f t="shared" si="13"/>
        <v>4.2457472643937511</v>
      </c>
      <c r="K40" s="87">
        <f t="shared" si="13"/>
        <v>6.2457472643937511</v>
      </c>
      <c r="L40" s="87">
        <f t="shared" si="13"/>
        <v>8.2457472643937511</v>
      </c>
      <c r="M40" s="19"/>
      <c r="N40" s="160"/>
      <c r="P40" s="87"/>
    </row>
    <row r="41" spans="1:16" x14ac:dyDescent="0.35">
      <c r="A41" t="str">
        <f t="shared" si="12"/>
        <v xml:space="preserve">    To Lower Basin</v>
      </c>
      <c r="B41" s="106">
        <f>7.5-IF($A$9="",0,0.95)-IF(C46="",0.6,C46)*IF($A$9="",(7.2/8.7),(7.2-0.95)/8.7)</f>
        <v>6.2770514806590798</v>
      </c>
      <c r="C41" s="87">
        <f t="shared" ref="C41:L41" si="14">IF(OR(C$28="",$A41=""),"",MAX(0,MIN($B$41,C28-SUM(C42/2,C43/4,C44,C45/2,C46)-MAX(0,MIN($B$25,C28-SUM(C45/2,C43/4,C42/2,1.06))))))</f>
        <v>0</v>
      </c>
      <c r="D41" s="87">
        <f t="shared" si="14"/>
        <v>0</v>
      </c>
      <c r="E41" s="87">
        <f t="shared" si="14"/>
        <v>0</v>
      </c>
      <c r="F41" s="87">
        <f t="shared" si="14"/>
        <v>0.55304688210495856</v>
      </c>
      <c r="G41" s="87">
        <f t="shared" si="14"/>
        <v>2.5530468821049586</v>
      </c>
      <c r="H41" s="87">
        <f t="shared" si="14"/>
        <v>4.5530468821049581</v>
      </c>
      <c r="I41" s="87">
        <f t="shared" si="14"/>
        <v>6.2770514806590798</v>
      </c>
      <c r="J41" s="87">
        <f t="shared" si="14"/>
        <v>6.2770514806590798</v>
      </c>
      <c r="K41" s="87">
        <f t="shared" si="14"/>
        <v>6.2770514806590798</v>
      </c>
      <c r="L41" s="87">
        <f t="shared" si="14"/>
        <v>6.2770514806590798</v>
      </c>
      <c r="M41" s="19"/>
      <c r="N41" s="160"/>
      <c r="P41" s="87"/>
    </row>
    <row r="42" spans="1:16" x14ac:dyDescent="0.35">
      <c r="A42" t="str">
        <f t="shared" si="12"/>
        <v xml:space="preserve">    To Mexico</v>
      </c>
      <c r="B42" s="106" t="s">
        <v>206</v>
      </c>
      <c r="C42" s="88">
        <f>IF(OR(C$28="",$A42=""),"",MAX(0,MIN(C38-C43/2,C$39-SUM(C43:C46))-C46*(1.5/8.7)))</f>
        <v>0</v>
      </c>
      <c r="D42" s="88">
        <f t="shared" ref="D42:G42" si="15">IF(OR(D$28="",$A42=""),"",MAX(0,MIN(D38-D43/2,D$39-SUM(D43:D46))-D46*(1.5/8.7)))</f>
        <v>0</v>
      </c>
      <c r="E42" s="88">
        <f t="shared" si="15"/>
        <v>1.2971072796934864</v>
      </c>
      <c r="F42" s="88">
        <f t="shared" si="15"/>
        <v>1.2971072796934864</v>
      </c>
      <c r="G42" s="88">
        <f t="shared" si="15"/>
        <v>1.2971072796934864</v>
      </c>
      <c r="H42" s="88">
        <f>IF(OR(H$28="",$A42=""),"",MIN(H38-H43/2,H$39-SUM(H43:H46))-H46*(1.5/8.7))</f>
        <v>1.2971072796934864</v>
      </c>
      <c r="I42" s="88">
        <f>IF(OR(I$28="",$A42=""),"",MIN(I38-I43/2,I$39-SUM(I43:I46))-I46*(1.5/8.7))</f>
        <v>1.2971072796934864</v>
      </c>
      <c r="J42" s="88">
        <f>IF(OR(J$28="",$A42=""),"",MIN(J38-J43/2,J$39-SUM(J43:J46))-J46*(1.5/8.7))</f>
        <v>1.2971072796934864</v>
      </c>
      <c r="K42" s="88">
        <f>IF(OR(K$28="",$A42=""),"",MIN(K38-K43/2,K$39-SUM(K43:K46))-K46*(1.5/8.7))</f>
        <v>1.2971072796934864</v>
      </c>
      <c r="L42" s="88">
        <f>IF(OR(L$28="",$A42=""),"",MIN(L38-L43/2,L$39-SUM(L43:L46))-L46*(1.5/8.7))</f>
        <v>1.2971072796934864</v>
      </c>
      <c r="M42" s="19"/>
      <c r="N42" s="160"/>
    </row>
    <row r="43" spans="1:16" x14ac:dyDescent="0.35">
      <c r="A43" t="str">
        <f t="shared" si="12"/>
        <v xml:space="preserve">    To Colorado River Delta</v>
      </c>
      <c r="B43" s="115">
        <f>0.21/9*(2/3)</f>
        <v>1.5555555555555553E-2</v>
      </c>
      <c r="C43" s="116">
        <f t="shared" ref="C43:L43" si="16">IF(OR(C$28="",$A43=""),"",MIN($B43,C$39-SUM(C44:C45)))</f>
        <v>1.5555555555555553E-2</v>
      </c>
      <c r="D43" s="116">
        <f t="shared" si="16"/>
        <v>1.5555555555555553E-2</v>
      </c>
      <c r="E43" s="116">
        <f t="shared" si="16"/>
        <v>1.5555555555555553E-2</v>
      </c>
      <c r="F43" s="116">
        <f t="shared" si="16"/>
        <v>1.5555555555555553E-2</v>
      </c>
      <c r="G43" s="116">
        <f t="shared" si="16"/>
        <v>1.5555555555555553E-2</v>
      </c>
      <c r="H43" s="116">
        <f t="shared" si="16"/>
        <v>1.5555555555555553E-2</v>
      </c>
      <c r="I43" s="116">
        <f t="shared" si="16"/>
        <v>1.5555555555555553E-2</v>
      </c>
      <c r="J43" s="116">
        <f t="shared" si="16"/>
        <v>1.5555555555555553E-2</v>
      </c>
      <c r="K43" s="116">
        <f t="shared" si="16"/>
        <v>1.5555555555555553E-2</v>
      </c>
      <c r="L43" s="116">
        <f t="shared" si="16"/>
        <v>1.5555555555555553E-2</v>
      </c>
      <c r="M43" s="19"/>
      <c r="N43" s="160"/>
    </row>
    <row r="44" spans="1:16" x14ac:dyDescent="0.35">
      <c r="A44" t="str">
        <f t="shared" si="12"/>
        <v xml:space="preserve">    To First Nations</v>
      </c>
      <c r="B44" s="106">
        <f>IF($A$9&lt;&gt;"",2.01,"")</f>
        <v>2.0099999999999998</v>
      </c>
      <c r="C44" s="87">
        <f t="shared" ref="C44:L44" si="17">IF(OR(C$28="",$A44=""),"",MIN($B44,C$39-SUM(C45:C46))-C46*0.95/8.7)</f>
        <v>-4.1488174939819843E-2</v>
      </c>
      <c r="D44" s="87">
        <f t="shared" si="17"/>
        <v>1.7144270975432503</v>
      </c>
      <c r="E44" s="87">
        <f t="shared" si="17"/>
        <v>1.9444827586206894</v>
      </c>
      <c r="F44" s="87">
        <f t="shared" si="17"/>
        <v>1.9444827586206894</v>
      </c>
      <c r="G44" s="87">
        <f t="shared" si="17"/>
        <v>1.9444827586206894</v>
      </c>
      <c r="H44" s="87">
        <f t="shared" si="17"/>
        <v>1.9444827586206894</v>
      </c>
      <c r="I44" s="87">
        <f t="shared" si="17"/>
        <v>1.9444827586206894</v>
      </c>
      <c r="J44" s="87">
        <f t="shared" si="17"/>
        <v>1.9444827586206894</v>
      </c>
      <c r="K44" s="87">
        <f t="shared" si="17"/>
        <v>1.9444827586206894</v>
      </c>
      <c r="L44" s="87">
        <f t="shared" si="17"/>
        <v>1.9444827586206894</v>
      </c>
      <c r="M44" s="19"/>
      <c r="N44" s="160"/>
    </row>
    <row r="45" spans="1:16" x14ac:dyDescent="0.35">
      <c r="A45" t="str">
        <f t="shared" si="12"/>
        <v xml:space="preserve">    To Shared, Reserve</v>
      </c>
      <c r="B45" s="106" t="s">
        <v>214</v>
      </c>
      <c r="C45" s="170">
        <f>IF(OR(C$28="",$A45=""),"",IF(C$39&gt;C37,C37,C39))</f>
        <v>0.62005566107743937</v>
      </c>
      <c r="D45" s="170">
        <f t="shared" ref="D45:L45" si="18">IF(OR(D$28="",$A45=""),"",IF(D$39&gt;D37,D37,D39))</f>
        <v>0.62005566107743937</v>
      </c>
      <c r="E45" s="170">
        <f t="shared" si="18"/>
        <v>0.62005566107743937</v>
      </c>
      <c r="F45" s="170">
        <f t="shared" si="18"/>
        <v>0.62005566107743937</v>
      </c>
      <c r="G45" s="170">
        <f t="shared" si="18"/>
        <v>0.62005566107743937</v>
      </c>
      <c r="H45" s="170">
        <f t="shared" si="18"/>
        <v>0.62005566107743937</v>
      </c>
      <c r="I45" s="170">
        <f t="shared" si="18"/>
        <v>0.62005566107743937</v>
      </c>
      <c r="J45" s="170">
        <f t="shared" si="18"/>
        <v>0.62005566107743937</v>
      </c>
      <c r="K45" s="170">
        <f t="shared" si="18"/>
        <v>0.62005566107743937</v>
      </c>
      <c r="L45" s="170">
        <f t="shared" si="18"/>
        <v>0.62005566107743937</v>
      </c>
      <c r="M45" s="19"/>
      <c r="N45" s="160"/>
    </row>
    <row r="46" spans="1:16" x14ac:dyDescent="0.35">
      <c r="A46" t="str">
        <f>IF(A31="","","    To "&amp;A31)</f>
        <v xml:space="preserve">    To Havasu / Parker evaporation and ET</v>
      </c>
      <c r="B46" s="169" t="s">
        <v>316</v>
      </c>
      <c r="C46" s="171">
        <f t="shared" ref="C46:L46" si="19">IF(OR(C$28="",$A46=""),"",MIN(C31,C39-C45))</f>
        <v>0.37994433892256063</v>
      </c>
      <c r="D46" s="171">
        <f t="shared" si="19"/>
        <v>0.6</v>
      </c>
      <c r="E46" s="171">
        <f t="shared" si="19"/>
        <v>0.6</v>
      </c>
      <c r="F46" s="171">
        <f t="shared" si="19"/>
        <v>0.6</v>
      </c>
      <c r="G46" s="171">
        <f t="shared" si="19"/>
        <v>0.6</v>
      </c>
      <c r="H46" s="171">
        <f t="shared" si="19"/>
        <v>0.6</v>
      </c>
      <c r="I46" s="171">
        <f t="shared" si="19"/>
        <v>0.6</v>
      </c>
      <c r="J46" s="171">
        <f t="shared" si="19"/>
        <v>0.6</v>
      </c>
      <c r="K46" s="171">
        <f t="shared" si="19"/>
        <v>0.6</v>
      </c>
      <c r="L46" s="171">
        <f t="shared" si="19"/>
        <v>0.6</v>
      </c>
      <c r="M46" s="19"/>
      <c r="N46" s="160"/>
    </row>
    <row r="47" spans="1:16" x14ac:dyDescent="0.35">
      <c r="B47" s="20"/>
      <c r="C47" s="19"/>
      <c r="D47" s="19"/>
      <c r="E47" s="19"/>
      <c r="F47" s="129"/>
      <c r="G47" s="30"/>
      <c r="N47" s="159"/>
    </row>
    <row r="49" spans="4:4" x14ac:dyDescent="0.35">
      <c r="D49" s="15"/>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3771D7F1-405E-4907-8D68-7D77D1BE6179}"/>
    <hyperlink ref="N12" r:id="rId2" location="1a-explain-cell-types" xr:uid="{9F8B3EAF-8870-4B48-BBC5-38196D8ACCA0}"/>
    <hyperlink ref="N17" r:id="rId3" location="1b-make-assumptions" xr:uid="{6DA58E8E-41CA-434A-970A-D6467DB32F37}"/>
    <hyperlink ref="N18" r:id="rId4" location="i-evaporation-rates" xr:uid="{680111E1-E0AB-4BF4-BF60-9F0F553B1039}"/>
    <hyperlink ref="N19" r:id="rId5" location="ii-start-storage" xr:uid="{2FA7F6B8-E228-4CCD-A66A-B92077D9418F}"/>
    <hyperlink ref="N20" r:id="rId6" location="iii-protection-elevations" xr:uid="{A1486DEA-E2AD-4B6D-997A-DAE5E80BA030}"/>
    <hyperlink ref="N21" r:id="rId7" location="iv-the-protection-volumes" xr:uid="{BDC68759-EDFA-4B6D-8854-F8B97402D007}"/>
    <hyperlink ref="N22" r:id="rId8" location="v-prior-9-year-lake-powell-release" xr:uid="{99F70D19-DA2B-420B-BC97-2ABC997B97E9}"/>
    <hyperlink ref="N23" r:id="rId9" location="vi-prior-9-year-paria-river-flow" xr:uid="{C7FF0331-C3FF-4EAA-9D1A-204F0252FD23}"/>
    <hyperlink ref="N24" r:id="rId10" location="vii-delivery-to-meet-10-year-requirement" xr:uid="{0831661D-8BDF-4229-8149-E3DD01C27507}"/>
    <hyperlink ref="N28" r:id="rId11" location="step-2-specify-natural-inflow-to-lake-powell" xr:uid="{EDC68797-C7E6-4EA4-AFD6-4725457814A3}"/>
    <hyperlink ref="N29" r:id="rId12" location="2a-intervening-grand-canyon-flow" xr:uid="{60B9A195-EBC6-4E70-833A-DFB1082432D6}"/>
    <hyperlink ref="N30" r:id="rId13" location="2b-mead-to-imperial-dam-intervening-flow" xr:uid="{4CFD85EF-7E4A-4655-A9BE-214DC42A475C}"/>
    <hyperlink ref="N31" r:id="rId14" location="2c-havasuparker-evaporation-and-evapotranspiration" xr:uid="{CFA03683-EBA4-4287-BAB0-9253F05A7A26}"/>
    <hyperlink ref="N32" r:id="rId15" location="3a-begin-of-year-reservoir-storage" display="Help begin year storage" xr:uid="{CF9ED0DC-210F-4BEA-8D42-DAB20F021C1E}"/>
    <hyperlink ref="N36" r:id="rId16" location="3b-calculate-powell--mead-evaporation" xr:uid="{5B7E61AA-15CA-4B50-A6C9-08A7924DDFF9}"/>
    <hyperlink ref="N38" r:id="rId17" location="3c-calculate-mexico-water-allocation" xr:uid="{4E213099-B421-4CF9-BA63-C985B83F1BD6}"/>
    <hyperlink ref="N39" r:id="rId18" location="split-combined-natural-inflow-among-parties" xr:uid="{209DF862-1AE5-4744-87E8-6B6881FDB61C}"/>
    <hyperlink ref="N25" r:id="rId19" location="upper-basin-pre-1922-water-rights" xr:uid="{2D89F754-3853-4E36-BC9F-6DBCF44F231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137</v>
      </c>
    </row>
    <row r="3" spans="1:16" s="1" customFormat="1" x14ac:dyDescent="0.35">
      <c r="D3" s="270" t="s">
        <v>138</v>
      </c>
      <c r="E3" s="270"/>
      <c r="F3" s="270" t="s">
        <v>139</v>
      </c>
      <c r="G3" s="270"/>
      <c r="H3" s="270"/>
      <c r="I3" s="270" t="s">
        <v>140</v>
      </c>
      <c r="J3" s="270"/>
      <c r="K3" s="270"/>
      <c r="L3" s="148"/>
      <c r="M3" s="270" t="s">
        <v>30</v>
      </c>
      <c r="N3" s="270"/>
      <c r="O3" s="270"/>
    </row>
    <row r="4" spans="1:16" s="51" customFormat="1" ht="42.65" customHeight="1" x14ac:dyDescent="0.3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35">
      <c r="A5" s="26">
        <v>1025</v>
      </c>
      <c r="B5" s="27">
        <v>5.981122</v>
      </c>
      <c r="C5" s="28">
        <v>0</v>
      </c>
      <c r="D5" s="24">
        <v>480</v>
      </c>
      <c r="E5" s="24">
        <v>20</v>
      </c>
      <c r="F5" s="24">
        <v>240</v>
      </c>
      <c r="G5" s="24">
        <v>10</v>
      </c>
      <c r="H5" s="24">
        <v>350</v>
      </c>
      <c r="I5" s="146">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7">
        <f t="shared" ref="P5:P13" si="5">SUM(L5,O5)</f>
        <v>1.375</v>
      </c>
    </row>
    <row r="6" spans="1:16" x14ac:dyDescent="0.35">
      <c r="A6" s="26">
        <v>1030</v>
      </c>
      <c r="B6" s="27">
        <v>6.305377</v>
      </c>
      <c r="C6" s="28">
        <f t="shared" ref="C6:C12" si="6">B5</f>
        <v>5.981122</v>
      </c>
      <c r="D6" s="24">
        <v>400</v>
      </c>
      <c r="E6" s="24">
        <v>17</v>
      </c>
      <c r="F6" s="24">
        <v>240</v>
      </c>
      <c r="G6" s="24">
        <v>10</v>
      </c>
      <c r="H6" s="24">
        <v>350</v>
      </c>
      <c r="I6" s="146">
        <f t="shared" si="0"/>
        <v>640</v>
      </c>
      <c r="J6" s="24">
        <f t="shared" si="1"/>
        <v>27</v>
      </c>
      <c r="K6" s="24">
        <f t="shared" si="2"/>
        <v>350</v>
      </c>
      <c r="L6" s="32">
        <f t="shared" si="3"/>
        <v>1.0169999999999999</v>
      </c>
      <c r="M6" s="24">
        <v>70</v>
      </c>
      <c r="N6" s="24">
        <v>101</v>
      </c>
      <c r="O6" s="24">
        <f t="shared" si="4"/>
        <v>0.17100000000000001</v>
      </c>
      <c r="P6" s="147">
        <f t="shared" si="5"/>
        <v>1.1879999999999999</v>
      </c>
    </row>
    <row r="7" spans="1:16" x14ac:dyDescent="0.35">
      <c r="A7" s="26">
        <v>1035</v>
      </c>
      <c r="B7" s="27">
        <v>6.6375080000000004</v>
      </c>
      <c r="C7" s="28">
        <f t="shared" si="6"/>
        <v>6.305377</v>
      </c>
      <c r="D7" s="24">
        <v>400</v>
      </c>
      <c r="E7" s="24">
        <v>17</v>
      </c>
      <c r="F7" s="24">
        <v>240</v>
      </c>
      <c r="G7" s="24">
        <v>10</v>
      </c>
      <c r="H7" s="24">
        <v>300</v>
      </c>
      <c r="I7" s="146">
        <f t="shared" si="0"/>
        <v>640</v>
      </c>
      <c r="J7" s="24">
        <f t="shared" si="1"/>
        <v>27</v>
      </c>
      <c r="K7" s="24">
        <f t="shared" si="2"/>
        <v>300</v>
      </c>
      <c r="L7" s="32">
        <f t="shared" si="3"/>
        <v>0.96699999999999997</v>
      </c>
      <c r="M7" s="24">
        <v>70</v>
      </c>
      <c r="N7" s="24">
        <v>92</v>
      </c>
      <c r="O7" s="24">
        <f t="shared" si="4"/>
        <v>0.16200000000000001</v>
      </c>
      <c r="P7" s="147">
        <f t="shared" si="5"/>
        <v>1.129</v>
      </c>
    </row>
    <row r="8" spans="1:16" x14ac:dyDescent="0.35">
      <c r="A8" s="26">
        <v>1040</v>
      </c>
      <c r="B8" s="27">
        <v>6.977665</v>
      </c>
      <c r="C8" s="28">
        <f t="shared" si="6"/>
        <v>6.6375080000000004</v>
      </c>
      <c r="D8" s="24">
        <v>400</v>
      </c>
      <c r="E8" s="24">
        <v>17</v>
      </c>
      <c r="F8" s="24">
        <v>240</v>
      </c>
      <c r="G8" s="24">
        <v>10</v>
      </c>
      <c r="H8" s="24">
        <v>250</v>
      </c>
      <c r="I8" s="146">
        <f t="shared" si="0"/>
        <v>640</v>
      </c>
      <c r="J8" s="24">
        <f t="shared" si="1"/>
        <v>27</v>
      </c>
      <c r="K8" s="24">
        <f t="shared" si="2"/>
        <v>250</v>
      </c>
      <c r="L8" s="32">
        <f t="shared" si="3"/>
        <v>0.91700000000000004</v>
      </c>
      <c r="M8" s="24">
        <v>70</v>
      </c>
      <c r="N8" s="24">
        <v>84</v>
      </c>
      <c r="O8" s="24">
        <f t="shared" si="4"/>
        <v>0.154</v>
      </c>
      <c r="P8" s="147">
        <f t="shared" si="5"/>
        <v>1.071</v>
      </c>
    </row>
    <row r="9" spans="1:16" x14ac:dyDescent="0.35">
      <c r="A9" s="26">
        <v>1045</v>
      </c>
      <c r="B9" s="27">
        <v>7.3260519999999998</v>
      </c>
      <c r="C9" s="28">
        <f t="shared" si="6"/>
        <v>6.977665</v>
      </c>
      <c r="D9" s="24">
        <v>400</v>
      </c>
      <c r="E9" s="24">
        <v>17</v>
      </c>
      <c r="F9" s="24">
        <v>240</v>
      </c>
      <c r="G9" s="24">
        <v>10</v>
      </c>
      <c r="H9" s="24">
        <v>200</v>
      </c>
      <c r="I9" s="146">
        <f t="shared" si="0"/>
        <v>640</v>
      </c>
      <c r="J9" s="24">
        <f t="shared" si="1"/>
        <v>27</v>
      </c>
      <c r="K9" s="24">
        <f t="shared" si="2"/>
        <v>200</v>
      </c>
      <c r="L9" s="32">
        <f t="shared" si="3"/>
        <v>0.86699999999999999</v>
      </c>
      <c r="M9" s="24">
        <v>70</v>
      </c>
      <c r="N9" s="24">
        <v>76</v>
      </c>
      <c r="O9" s="24">
        <f t="shared" si="4"/>
        <v>0.14599999999999999</v>
      </c>
      <c r="P9" s="147">
        <f t="shared" si="5"/>
        <v>1.0129999999999999</v>
      </c>
    </row>
    <row r="10" spans="1:16" x14ac:dyDescent="0.35">
      <c r="A10" s="26">
        <v>1050</v>
      </c>
      <c r="B10" s="27">
        <v>7.6828779999999997</v>
      </c>
      <c r="C10" s="28">
        <f t="shared" si="6"/>
        <v>7.3260519999999998</v>
      </c>
      <c r="D10" s="24">
        <v>400</v>
      </c>
      <c r="E10" s="24">
        <v>17</v>
      </c>
      <c r="F10" s="24">
        <v>192</v>
      </c>
      <c r="G10" s="24">
        <v>8</v>
      </c>
      <c r="H10" s="24">
        <v>0</v>
      </c>
      <c r="I10" s="146">
        <f t="shared" si="0"/>
        <v>592</v>
      </c>
      <c r="J10" s="24">
        <f t="shared" si="1"/>
        <v>25</v>
      </c>
      <c r="K10" s="24">
        <f t="shared" si="2"/>
        <v>0</v>
      </c>
      <c r="L10" s="32">
        <f t="shared" si="3"/>
        <v>0.61699999999999999</v>
      </c>
      <c r="M10" s="24">
        <v>70</v>
      </c>
      <c r="N10" s="24">
        <v>34</v>
      </c>
      <c r="O10" s="24">
        <f t="shared" si="4"/>
        <v>0.104</v>
      </c>
      <c r="P10" s="147">
        <f t="shared" si="5"/>
        <v>0.72099999999999997</v>
      </c>
    </row>
    <row r="11" spans="1:16" x14ac:dyDescent="0.35">
      <c r="A11" s="26">
        <v>1075</v>
      </c>
      <c r="B11" s="27">
        <v>9.6009879999900001</v>
      </c>
      <c r="C11" s="28">
        <f t="shared" si="6"/>
        <v>7.6828779999999997</v>
      </c>
      <c r="D11" s="24">
        <v>320</v>
      </c>
      <c r="E11" s="24">
        <v>13</v>
      </c>
      <c r="F11" s="24">
        <v>192</v>
      </c>
      <c r="G11" s="24">
        <v>8</v>
      </c>
      <c r="H11" s="24">
        <v>0</v>
      </c>
      <c r="I11" s="146">
        <f t="shared" si="0"/>
        <v>512</v>
      </c>
      <c r="J11" s="24">
        <f t="shared" si="1"/>
        <v>21</v>
      </c>
      <c r="K11" s="24">
        <f t="shared" si="2"/>
        <v>0</v>
      </c>
      <c r="L11" s="32">
        <f t="shared" si="3"/>
        <v>0.53300000000000003</v>
      </c>
      <c r="M11" s="24">
        <v>50</v>
      </c>
      <c r="N11" s="24">
        <v>30</v>
      </c>
      <c r="O11" s="147">
        <f t="shared" si="4"/>
        <v>0.08</v>
      </c>
      <c r="P11" s="147">
        <f t="shared" si="5"/>
        <v>0.61299999999999999</v>
      </c>
    </row>
    <row r="12" spans="1:16" x14ac:dyDescent="0.35">
      <c r="A12" s="26">
        <v>1090</v>
      </c>
      <c r="B12" s="27">
        <v>10.857008</v>
      </c>
      <c r="C12" s="28">
        <f t="shared" si="6"/>
        <v>9.6009879999900001</v>
      </c>
      <c r="D12" s="24">
        <v>0</v>
      </c>
      <c r="E12" s="24">
        <v>0</v>
      </c>
      <c r="F12" s="24">
        <v>192</v>
      </c>
      <c r="G12" s="24">
        <v>8</v>
      </c>
      <c r="H12" s="24">
        <v>0</v>
      </c>
      <c r="I12" s="146">
        <f t="shared" si="0"/>
        <v>192</v>
      </c>
      <c r="J12" s="24">
        <f t="shared" si="1"/>
        <v>8</v>
      </c>
      <c r="K12" s="24">
        <f t="shared" si="2"/>
        <v>0</v>
      </c>
      <c r="L12" s="32">
        <f t="shared" si="3"/>
        <v>0.2</v>
      </c>
      <c r="M12" s="24">
        <v>0</v>
      </c>
      <c r="N12" s="24">
        <v>41</v>
      </c>
      <c r="O12" s="24">
        <f t="shared" si="4"/>
        <v>4.1000000000000002E-2</v>
      </c>
      <c r="P12" s="147">
        <f t="shared" si="5"/>
        <v>0.24100000000000002</v>
      </c>
    </row>
    <row r="13" spans="1:16" x14ac:dyDescent="0.3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35">
      <c r="B14" s="57"/>
    </row>
    <row r="15" spans="1:16" x14ac:dyDescent="0.35">
      <c r="B15" s="55"/>
      <c r="C15" s="56"/>
    </row>
    <row r="16" spans="1:16" x14ac:dyDescent="0.35">
      <c r="A16" t="s">
        <v>148</v>
      </c>
    </row>
    <row r="17" spans="1:16" x14ac:dyDescent="0.35">
      <c r="A17" s="52">
        <v>1091</v>
      </c>
    </row>
    <row r="18" spans="1:16" x14ac:dyDescent="0.3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3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3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3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3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3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3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3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35">
      <c r="A26" s="25">
        <v>955</v>
      </c>
    </row>
    <row r="29" spans="1:16" x14ac:dyDescent="0.35">
      <c r="A29" s="26"/>
      <c r="I29" s="9"/>
      <c r="L29" s="20"/>
      <c r="O29" s="2"/>
      <c r="P29" s="53"/>
    </row>
    <row r="30" spans="1:16" x14ac:dyDescent="0.35">
      <c r="A30" s="26"/>
      <c r="I30" s="9"/>
      <c r="L30" s="20"/>
      <c r="O30" s="2"/>
      <c r="P30" s="53"/>
    </row>
    <row r="31" spans="1:16" x14ac:dyDescent="0.35">
      <c r="A31" s="26"/>
      <c r="I31" s="9"/>
      <c r="L31" s="20"/>
      <c r="O31" s="2"/>
      <c r="P31" s="53"/>
    </row>
    <row r="32" spans="1:16" x14ac:dyDescent="0.35">
      <c r="A32" s="26"/>
      <c r="I32" s="9"/>
      <c r="L32" s="20"/>
      <c r="O32" s="2"/>
      <c r="P32" s="53"/>
    </row>
    <row r="33" spans="1:16" x14ac:dyDescent="0.35">
      <c r="A33" s="26"/>
      <c r="I33" s="9"/>
      <c r="L33" s="20"/>
      <c r="O33" s="2"/>
      <c r="P33" s="53"/>
    </row>
    <row r="34" spans="1:16" x14ac:dyDescent="0.35">
      <c r="A34" s="26"/>
      <c r="I34" s="9"/>
      <c r="L34" s="20"/>
      <c r="O34" s="2"/>
      <c r="P34" s="53"/>
    </row>
    <row r="35" spans="1:16" x14ac:dyDescent="0.35">
      <c r="A35" s="26"/>
      <c r="I35" s="9"/>
      <c r="L35" s="20"/>
      <c r="O35" s="2"/>
      <c r="P35" s="53"/>
    </row>
    <row r="36" spans="1:16" x14ac:dyDescent="0.3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65" customWidth="1"/>
    <col min="2" max="2" width="12.7265625" style="65" customWidth="1"/>
    <col min="3" max="3" width="9.453125" style="65" customWidth="1"/>
    <col min="4" max="4" width="46.26953125" style="65" customWidth="1"/>
    <col min="5" max="5" width="14.453125" style="95" customWidth="1"/>
    <col min="6" max="6" width="10.54296875" style="2" customWidth="1"/>
    <col min="7" max="7" width="10.54296875" style="19" customWidth="1"/>
  </cols>
  <sheetData>
    <row r="1" spans="1:9" x14ac:dyDescent="0.35">
      <c r="A1" s="64" t="s">
        <v>164</v>
      </c>
    </row>
    <row r="2" spans="1:9" x14ac:dyDescent="0.35">
      <c r="A2" s="65" t="s">
        <v>165</v>
      </c>
    </row>
    <row r="3" spans="1:9" x14ac:dyDescent="0.35">
      <c r="I3" s="1" t="s">
        <v>257</v>
      </c>
    </row>
    <row r="4" spans="1:9" s="58" customFormat="1" ht="43.5" x14ac:dyDescent="0.35">
      <c r="A4" s="39" t="s">
        <v>166</v>
      </c>
      <c r="B4" s="39" t="s">
        <v>171</v>
      </c>
      <c r="C4" s="39" t="s">
        <v>172</v>
      </c>
      <c r="D4" s="40" t="s">
        <v>167</v>
      </c>
      <c r="E4" s="39" t="s">
        <v>186</v>
      </c>
      <c r="F4" s="39" t="s">
        <v>187</v>
      </c>
      <c r="G4" s="133" t="s">
        <v>218</v>
      </c>
    </row>
    <row r="5" spans="1:9" s="58" customFormat="1" ht="58" x14ac:dyDescent="0.3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58" x14ac:dyDescent="0.3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58" x14ac:dyDescent="0.35">
      <c r="A7" s="73">
        <v>3490</v>
      </c>
      <c r="B7" s="74" t="s">
        <v>178</v>
      </c>
      <c r="C7" s="74" t="s">
        <v>173</v>
      </c>
      <c r="D7" s="75" t="s">
        <v>170</v>
      </c>
      <c r="E7" s="97" t="str">
        <f>E6</f>
        <v>Highly uncertain</v>
      </c>
      <c r="F7" s="96" t="s">
        <v>188</v>
      </c>
      <c r="G7" s="134">
        <f>VLOOKUP(A7,'Powell-Elevation-Area'!$A$5:$B$689,2)/1000000</f>
        <v>3.9971625</v>
      </c>
    </row>
    <row r="8" spans="1:9" ht="72.5" x14ac:dyDescent="0.35">
      <c r="A8" s="76">
        <v>3525</v>
      </c>
      <c r="B8" s="77" t="s">
        <v>177</v>
      </c>
      <c r="C8" s="77" t="s">
        <v>173</v>
      </c>
      <c r="D8" s="78" t="s">
        <v>169</v>
      </c>
      <c r="E8" s="98" t="s">
        <v>190</v>
      </c>
      <c r="F8" s="98" t="s">
        <v>193</v>
      </c>
      <c r="G8" s="135">
        <f>VLOOKUP(A8,'Powell-Elevation-Area'!$A$5:$B$689,2)/1000000</f>
        <v>5.9265762500000001</v>
      </c>
    </row>
    <row r="9" spans="1:9" ht="43.5" x14ac:dyDescent="0.35">
      <c r="A9" s="79">
        <v>3600</v>
      </c>
      <c r="B9" s="80" t="s">
        <v>176</v>
      </c>
      <c r="C9" s="80" t="s">
        <v>173</v>
      </c>
      <c r="D9" s="81" t="s">
        <v>184</v>
      </c>
      <c r="E9" s="99" t="s">
        <v>185</v>
      </c>
      <c r="F9" s="99" t="str">
        <f>F8</f>
        <v>Help grow + incubate</v>
      </c>
      <c r="G9" s="136">
        <f>VLOOKUP(A9,'Powell-Elevation-Area'!$A$5:$B$689,2)/1000000</f>
        <v>11.750075000000001</v>
      </c>
    </row>
    <row r="10" spans="1:9" ht="101.5" x14ac:dyDescent="0.35">
      <c r="A10" s="82">
        <v>3675</v>
      </c>
      <c r="B10" s="83" t="s">
        <v>175</v>
      </c>
      <c r="C10" s="83" t="s">
        <v>173</v>
      </c>
      <c r="D10" s="84" t="s">
        <v>168</v>
      </c>
      <c r="E10" s="100" t="s">
        <v>192</v>
      </c>
      <c r="F10" s="100" t="s">
        <v>194</v>
      </c>
      <c r="G10" s="137">
        <f>VLOOKUP(A10,'Powell-Elevation-Area'!$A$5:$B$689,2)/1000000</f>
        <v>20.539037499999999</v>
      </c>
    </row>
    <row r="11" spans="1:9" ht="101.5" x14ac:dyDescent="0.3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35">
      <c r="D13" s="66"/>
    </row>
    <row r="14" spans="1:9" ht="16.5" x14ac:dyDescent="0.35">
      <c r="D14" s="66"/>
    </row>
    <row r="15" spans="1:9" ht="16.5" x14ac:dyDescent="0.3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Master-LawOfRiver</vt:lpstr>
      <vt:lpstr>Master-Plots</vt:lpstr>
      <vt:lpstr>SplitInflow</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2022-04-26T04:16:35Z</dcterms:modified>
</cp:coreProperties>
</file>