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9EACE7B-9762-43CB-875C-D3B276BE6CDB}" xr6:coauthVersionLast="36" xr6:coauthVersionMax="36" xr10:uidLastSave="{00000000-0000-0000-0000-000000000000}"/>
  <bookViews>
    <workbookView xWindow="0" yWindow="0" windowWidth="19200" windowHeight="6650"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47" l="1"/>
  <c r="C49" i="47"/>
  <c r="B22" i="52" l="1"/>
  <c r="C20" i="52"/>
  <c r="B20" i="52"/>
  <c r="B19" i="52"/>
  <c r="C19" i="52"/>
  <c r="C18" i="52"/>
  <c r="B18" i="52"/>
  <c r="F37" i="47" l="1"/>
  <c r="G37" i="47"/>
  <c r="H37" i="47"/>
  <c r="I37" i="47"/>
  <c r="J37" i="47"/>
  <c r="K37" i="47"/>
  <c r="L37" i="47"/>
  <c r="F38" i="47"/>
  <c r="G38" i="47"/>
  <c r="H38" i="47"/>
  <c r="I38" i="47"/>
  <c r="J38" i="47"/>
  <c r="K38" i="47"/>
  <c r="L38" i="47"/>
  <c r="C38" i="47"/>
  <c r="C37" i="47"/>
  <c r="G7" i="43" l="1"/>
  <c r="G8" i="43"/>
  <c r="G9" i="43"/>
  <c r="G10" i="43"/>
  <c r="G11" i="43"/>
  <c r="G6" i="43"/>
  <c r="G5" i="43"/>
  <c r="F25" i="52" l="1"/>
  <c r="B51" i="52"/>
  <c r="B51" i="47"/>
  <c r="D25" i="52"/>
  <c r="B10" i="52"/>
  <c r="D27" i="52" l="1"/>
  <c r="F27" i="52"/>
  <c r="H47" i="47"/>
  <c r="I47" i="47"/>
  <c r="J47" i="47"/>
  <c r="K47" i="47"/>
  <c r="L47" i="47"/>
  <c r="H27" i="47"/>
  <c r="I27" i="47"/>
  <c r="J27" i="47"/>
  <c r="K27" i="47"/>
  <c r="L27" i="47"/>
  <c r="D27" i="47"/>
  <c r="E27" i="47"/>
  <c r="F27" i="47"/>
  <c r="G27" i="47"/>
  <c r="C27"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I107" i="52" l="1"/>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7" i="47"/>
  <c r="K137" i="47"/>
  <c r="J137" i="47"/>
  <c r="I137" i="47"/>
  <c r="H137" i="47"/>
  <c r="L136" i="47"/>
  <c r="K136" i="47"/>
  <c r="J136" i="47"/>
  <c r="I136" i="47"/>
  <c r="H136" i="47"/>
  <c r="L135" i="47"/>
  <c r="K135" i="47"/>
  <c r="J135" i="47"/>
  <c r="I135" i="47"/>
  <c r="H135" i="47"/>
  <c r="L134" i="47"/>
  <c r="K134" i="47"/>
  <c r="J134" i="47"/>
  <c r="I134" i="47"/>
  <c r="H134" i="47"/>
  <c r="L132" i="47"/>
  <c r="K132" i="47"/>
  <c r="J132" i="47"/>
  <c r="I132" i="47"/>
  <c r="H132" i="47"/>
  <c r="L131" i="47"/>
  <c r="K131" i="47"/>
  <c r="J131" i="47"/>
  <c r="I131" i="47"/>
  <c r="H131" i="47"/>
  <c r="L129" i="47"/>
  <c r="K129" i="47"/>
  <c r="J129" i="47"/>
  <c r="I129" i="47"/>
  <c r="H129" i="47"/>
  <c r="L127" i="47"/>
  <c r="K127" i="47"/>
  <c r="J127" i="47"/>
  <c r="I127" i="47"/>
  <c r="H127" i="47"/>
  <c r="A126" i="47"/>
  <c r="J126" i="47" s="1"/>
  <c r="I125" i="47"/>
  <c r="A125" i="47"/>
  <c r="K125" i="47" s="1"/>
  <c r="A124" i="47"/>
  <c r="K124" i="47" s="1"/>
  <c r="A123" i="47"/>
  <c r="K123" i="47" s="1"/>
  <c r="A122" i="47"/>
  <c r="I122" i="47" s="1"/>
  <c r="A121" i="47"/>
  <c r="I121" i="47" s="1"/>
  <c r="K119" i="47"/>
  <c r="A119" i="47"/>
  <c r="J119" i="47" s="1"/>
  <c r="A118" i="47"/>
  <c r="G118" i="47" s="1"/>
  <c r="A117" i="47"/>
  <c r="J117" i="47" s="1"/>
  <c r="A116" i="47"/>
  <c r="K116" i="47" s="1"/>
  <c r="A115" i="47"/>
  <c r="F115" i="47" s="1"/>
  <c r="A114" i="47"/>
  <c r="K114" i="47" s="1"/>
  <c r="L112" i="47"/>
  <c r="K112" i="47"/>
  <c r="J112" i="47"/>
  <c r="I112" i="47"/>
  <c r="H112" i="47"/>
  <c r="A111" i="47"/>
  <c r="J111" i="47" s="1"/>
  <c r="H110" i="47"/>
  <c r="F110" i="47"/>
  <c r="A110" i="47"/>
  <c r="G110" i="47" s="1"/>
  <c r="A109" i="47"/>
  <c r="J109" i="47" s="1"/>
  <c r="A108" i="47"/>
  <c r="I108" i="47" s="1"/>
  <c r="I107" i="47"/>
  <c r="G107" i="47"/>
  <c r="A107" i="47"/>
  <c r="E107" i="47" s="1"/>
  <c r="A106" i="47"/>
  <c r="K106" i="47" s="1"/>
  <c r="M98" i="47"/>
  <c r="M97" i="47"/>
  <c r="A96" i="47"/>
  <c r="M90" i="47"/>
  <c r="M89" i="47"/>
  <c r="A88" i="47"/>
  <c r="A89" i="47" s="1"/>
  <c r="A90" i="47" s="1"/>
  <c r="M82" i="47"/>
  <c r="M81" i="47"/>
  <c r="A80" i="47"/>
  <c r="M74" i="47"/>
  <c r="M73" i="47"/>
  <c r="A72" i="47"/>
  <c r="M66" i="47"/>
  <c r="M65" i="47"/>
  <c r="A64" i="47"/>
  <c r="M58" i="47"/>
  <c r="M57" i="47"/>
  <c r="A56" i="47"/>
  <c r="A57" i="47" s="1"/>
  <c r="A58" i="47" s="1"/>
  <c r="A53" i="47"/>
  <c r="A52" i="47"/>
  <c r="A51" i="47"/>
  <c r="A50" i="47"/>
  <c r="B49" i="47"/>
  <c r="A49" i="47"/>
  <c r="A48" i="47"/>
  <c r="L46" i="47"/>
  <c r="K46" i="47"/>
  <c r="J46" i="47"/>
  <c r="I46" i="47"/>
  <c r="H46" i="47"/>
  <c r="A45" i="47"/>
  <c r="K45" i="47" s="1"/>
  <c r="A44" i="47"/>
  <c r="F44" i="47" s="1"/>
  <c r="A43" i="47"/>
  <c r="K43" i="47" s="1"/>
  <c r="A42" i="47"/>
  <c r="I42" i="47" s="1"/>
  <c r="A41" i="47"/>
  <c r="I41" i="47" s="1"/>
  <c r="A40" i="47"/>
  <c r="J40" i="47" s="1"/>
  <c r="L39" i="47"/>
  <c r="K39" i="47"/>
  <c r="J39" i="47"/>
  <c r="I39" i="47"/>
  <c r="H39" i="47"/>
  <c r="C46" i="47"/>
  <c r="A35" i="47"/>
  <c r="K35" i="47" s="1"/>
  <c r="A34" i="47"/>
  <c r="F34" i="47" s="1"/>
  <c r="A33" i="47"/>
  <c r="I33" i="47" s="1"/>
  <c r="A32" i="47"/>
  <c r="H32" i="47" s="1"/>
  <c r="A31" i="47"/>
  <c r="J31" i="47" s="1"/>
  <c r="A30" i="47"/>
  <c r="L29" i="47"/>
  <c r="K29" i="47"/>
  <c r="J29" i="47"/>
  <c r="I29" i="47"/>
  <c r="H29" i="47"/>
  <c r="C29" i="47"/>
  <c r="L28" i="47"/>
  <c r="K28" i="47"/>
  <c r="J28" i="47"/>
  <c r="I28" i="47"/>
  <c r="H28" i="47"/>
  <c r="G28" i="47"/>
  <c r="F28" i="47"/>
  <c r="E28" i="47"/>
  <c r="D28" i="47"/>
  <c r="C28" i="47"/>
  <c r="L26" i="47"/>
  <c r="L130" i="47" s="1"/>
  <c r="K26" i="47"/>
  <c r="K130" i="47" s="1"/>
  <c r="J26" i="47"/>
  <c r="J130" i="47" s="1"/>
  <c r="I26" i="47"/>
  <c r="I130" i="47" s="1"/>
  <c r="H26" i="47"/>
  <c r="G26" i="47"/>
  <c r="F26" i="47"/>
  <c r="E26" i="47"/>
  <c r="D26" i="47"/>
  <c r="C26" i="47"/>
  <c r="C47" i="47" s="1"/>
  <c r="C21" i="47"/>
  <c r="B31" i="47" s="1"/>
  <c r="B21" i="47"/>
  <c r="A1" i="47"/>
  <c r="F9" i="43"/>
  <c r="H137" i="33"/>
  <c r="I137" i="33"/>
  <c r="J137" i="33"/>
  <c r="K137" i="33"/>
  <c r="L137" i="33"/>
  <c r="H136" i="33"/>
  <c r="I136" i="33"/>
  <c r="J136" i="33"/>
  <c r="K136" i="33"/>
  <c r="L136" i="33"/>
  <c r="H135" i="33"/>
  <c r="I135" i="33"/>
  <c r="J135" i="33"/>
  <c r="K135" i="33"/>
  <c r="L135" i="33"/>
  <c r="E6" i="43"/>
  <c r="E7" i="43" s="1"/>
  <c r="E11" i="43"/>
  <c r="A65" i="52" l="1"/>
  <c r="A66" i="52" s="1"/>
  <c r="N57" i="52"/>
  <c r="A81" i="52"/>
  <c r="A82" i="52" s="1"/>
  <c r="D34" i="47"/>
  <c r="L51" i="47"/>
  <c r="H51" i="47"/>
  <c r="I51" i="47"/>
  <c r="K51" i="47"/>
  <c r="J51" i="47"/>
  <c r="B30" i="47"/>
  <c r="B35" i="47"/>
  <c r="L34" i="47"/>
  <c r="A73" i="47"/>
  <c r="A74" i="47" s="1"/>
  <c r="H118" i="47"/>
  <c r="L50" i="47"/>
  <c r="K50" i="47"/>
  <c r="I50" i="47"/>
  <c r="J50" i="47"/>
  <c r="H50" i="47"/>
  <c r="H53" i="47"/>
  <c r="I53" i="47"/>
  <c r="J53" i="47"/>
  <c r="K53" i="47"/>
  <c r="L53" i="47"/>
  <c r="A97" i="47"/>
  <c r="A98" i="47" s="1"/>
  <c r="C119" i="47"/>
  <c r="L123" i="47"/>
  <c r="I48" i="47"/>
  <c r="K48" i="47"/>
  <c r="J48" i="47"/>
  <c r="H48" i="47"/>
  <c r="L48" i="47"/>
  <c r="A81" i="47"/>
  <c r="A82" i="47" s="1"/>
  <c r="A84" i="47" s="1"/>
  <c r="D119" i="47"/>
  <c r="I49" i="47"/>
  <c r="H49" i="47"/>
  <c r="J49" i="47"/>
  <c r="K49" i="47"/>
  <c r="L49" i="47"/>
  <c r="F119" i="47"/>
  <c r="A65" i="47"/>
  <c r="A66" i="47" s="1"/>
  <c r="H119" i="47"/>
  <c r="H125"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7" i="47"/>
  <c r="F47" i="47"/>
  <c r="F47" i="52"/>
  <c r="D47" i="52"/>
  <c r="E47" i="47"/>
  <c r="D47" i="47"/>
  <c r="H44" i="52"/>
  <c r="K35" i="52"/>
  <c r="C44" i="52"/>
  <c r="K44" i="52"/>
  <c r="D44" i="52"/>
  <c r="I44" i="52"/>
  <c r="J44" i="52"/>
  <c r="L44" i="52"/>
  <c r="C30" i="52"/>
  <c r="G44" i="52"/>
  <c r="E44" i="52"/>
  <c r="C39" i="52"/>
  <c r="C41" i="52" s="1"/>
  <c r="L35" i="52"/>
  <c r="J35" i="52"/>
  <c r="I35" i="52"/>
  <c r="C35" i="52"/>
  <c r="K33" i="47"/>
  <c r="L33" i="47"/>
  <c r="I124" i="47"/>
  <c r="E119" i="47"/>
  <c r="H126" i="52"/>
  <c r="G119" i="47"/>
  <c r="G34" i="47"/>
  <c r="L43" i="47"/>
  <c r="E109" i="47"/>
  <c r="C115" i="47"/>
  <c r="D116" i="47"/>
  <c r="C117" i="47"/>
  <c r="L119" i="47"/>
  <c r="L124" i="47"/>
  <c r="K126" i="47"/>
  <c r="H34" i="47"/>
  <c r="G109" i="47"/>
  <c r="D115" i="47"/>
  <c r="E116" i="47"/>
  <c r="E117" i="47"/>
  <c r="N111" i="52"/>
  <c r="D111" i="52"/>
  <c r="D112" i="52" s="1"/>
  <c r="I34" i="47"/>
  <c r="I35" i="47"/>
  <c r="L44" i="47"/>
  <c r="H109" i="47"/>
  <c r="G115" i="47"/>
  <c r="F116" i="47"/>
  <c r="F117" i="47"/>
  <c r="D125" i="47"/>
  <c r="I119" i="52"/>
  <c r="F111" i="52"/>
  <c r="H35" i="47"/>
  <c r="K34" i="47"/>
  <c r="L35" i="47"/>
  <c r="H115" i="47"/>
  <c r="G116" i="47"/>
  <c r="I117" i="47"/>
  <c r="E125" i="47"/>
  <c r="I115" i="47"/>
  <c r="H116" i="47"/>
  <c r="K117" i="47"/>
  <c r="D114" i="47"/>
  <c r="K115" i="47"/>
  <c r="I116" i="47"/>
  <c r="C34" i="47"/>
  <c r="L114" i="47"/>
  <c r="L115" i="47"/>
  <c r="L116" i="47"/>
  <c r="F118" i="47"/>
  <c r="H124" i="47"/>
  <c r="I126" i="52"/>
  <c r="A92" i="52"/>
  <c r="K126" i="52"/>
  <c r="A91" i="52"/>
  <c r="L91" i="52" s="1"/>
  <c r="D119" i="52"/>
  <c r="L126" i="52"/>
  <c r="N89" i="52"/>
  <c r="N97" i="52" s="1"/>
  <c r="J34" i="52"/>
  <c r="D34" i="52"/>
  <c r="I44" i="47"/>
  <c r="I45" i="47"/>
  <c r="J33" i="47"/>
  <c r="K44" i="47"/>
  <c r="L45" i="47"/>
  <c r="F109" i="47"/>
  <c r="N110" i="47"/>
  <c r="N111" i="47"/>
  <c r="F125" i="47"/>
  <c r="I126" i="47"/>
  <c r="K111" i="52"/>
  <c r="K31" i="47"/>
  <c r="K40" i="47"/>
  <c r="C44" i="47"/>
  <c r="K109" i="47"/>
  <c r="E111" i="47"/>
  <c r="L125" i="47"/>
  <c r="C31" i="47"/>
  <c r="H40" i="47"/>
  <c r="C111" i="47"/>
  <c r="L40" i="47"/>
  <c r="D44" i="47"/>
  <c r="L109" i="47"/>
  <c r="F111" i="47"/>
  <c r="G111" i="52"/>
  <c r="E111" i="52"/>
  <c r="E112" i="52" s="1"/>
  <c r="I34" i="52"/>
  <c r="G44" i="47"/>
  <c r="N109" i="47"/>
  <c r="D106" i="47"/>
  <c r="C109" i="47"/>
  <c r="I111" i="47"/>
  <c r="H34" i="52"/>
  <c r="F34" i="52"/>
  <c r="H111" i="52"/>
  <c r="H44" i="47"/>
  <c r="H45" i="47"/>
  <c r="L106" i="47"/>
  <c r="D109" i="47"/>
  <c r="K111" i="47"/>
  <c r="F47" i="48"/>
  <c r="N107"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39"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7" i="47"/>
  <c r="N65" i="47" s="1"/>
  <c r="N73" i="47" s="1"/>
  <c r="N81" i="47" s="1"/>
  <c r="N82" i="47"/>
  <c r="H130" i="47"/>
  <c r="N89" i="47"/>
  <c r="N97" i="47" s="1"/>
  <c r="H30" i="47"/>
  <c r="L31" i="47"/>
  <c r="I32" i="47"/>
  <c r="J34" i="47"/>
  <c r="K41" i="47"/>
  <c r="H42" i="47"/>
  <c r="J44" i="47"/>
  <c r="E106" i="47"/>
  <c r="H107" i="47"/>
  <c r="C108" i="47"/>
  <c r="K108" i="47"/>
  <c r="I110" i="47"/>
  <c r="D111" i="47"/>
  <c r="L111" i="47"/>
  <c r="E114" i="47"/>
  <c r="J115" i="47"/>
  <c r="D117" i="47"/>
  <c r="L117" i="47"/>
  <c r="I118" i="47"/>
  <c r="K121" i="47"/>
  <c r="H122" i="47"/>
  <c r="J124" i="47"/>
  <c r="G125" i="47"/>
  <c r="L126" i="47"/>
  <c r="F106" i="47"/>
  <c r="N106" i="47"/>
  <c r="D108" i="47"/>
  <c r="L108" i="47"/>
  <c r="J110" i="47"/>
  <c r="F114" i="47"/>
  <c r="J118" i="47"/>
  <c r="L121" i="47"/>
  <c r="L41" i="47"/>
  <c r="J30" i="47"/>
  <c r="C32" i="47"/>
  <c r="K32" i="47"/>
  <c r="J42" i="47"/>
  <c r="G106" i="47"/>
  <c r="J107" i="47"/>
  <c r="E108" i="47"/>
  <c r="C110" i="47"/>
  <c r="K110" i="47"/>
  <c r="G114" i="47"/>
  <c r="C118" i="47"/>
  <c r="K118" i="47"/>
  <c r="J122" i="47"/>
  <c r="J121" i="47"/>
  <c r="J32" i="47"/>
  <c r="C30" i="47"/>
  <c r="K30" i="47"/>
  <c r="L32" i="47"/>
  <c r="H33" i="47"/>
  <c r="E34" i="47"/>
  <c r="J35" i="47"/>
  <c r="I40" i="47"/>
  <c r="K42" i="47"/>
  <c r="H43" i="47"/>
  <c r="E44" i="47"/>
  <c r="J45" i="47"/>
  <c r="H106" i="47"/>
  <c r="C107" i="47"/>
  <c r="K107" i="47"/>
  <c r="F108" i="47"/>
  <c r="N108" i="47"/>
  <c r="I109" i="47"/>
  <c r="D110" i="47"/>
  <c r="L110" i="47"/>
  <c r="G111" i="47"/>
  <c r="H114" i="47"/>
  <c r="E115" i="47"/>
  <c r="J116" i="47"/>
  <c r="G117" i="47"/>
  <c r="D118" i="47"/>
  <c r="L118" i="47"/>
  <c r="I119" i="47"/>
  <c r="K122" i="47"/>
  <c r="H123" i="47"/>
  <c r="J125" i="47"/>
  <c r="J41" i="47"/>
  <c r="I30" i="47"/>
  <c r="L30" i="47"/>
  <c r="H31" i="47"/>
  <c r="C35" i="47"/>
  <c r="L42" i="47"/>
  <c r="I43" i="47"/>
  <c r="I106" i="47"/>
  <c r="D107" i="47"/>
  <c r="L107" i="47"/>
  <c r="G108" i="47"/>
  <c r="E110" i="47"/>
  <c r="M110" i="47"/>
  <c r="H111" i="47"/>
  <c r="I114" i="47"/>
  <c r="C116" i="47"/>
  <c r="H117" i="47"/>
  <c r="E118" i="47"/>
  <c r="L122" i="47"/>
  <c r="I123" i="47"/>
  <c r="C125" i="47"/>
  <c r="H126" i="47"/>
  <c r="J108" i="47"/>
  <c r="I31" i="47"/>
  <c r="H41" i="47"/>
  <c r="J43" i="47"/>
  <c r="J106" i="47"/>
  <c r="H108" i="47"/>
  <c r="J114" i="47"/>
  <c r="H121" i="47"/>
  <c r="J123" i="47"/>
  <c r="C106" i="47"/>
  <c r="F107" i="47"/>
  <c r="C114" i="47"/>
  <c r="H47" i="33"/>
  <c r="I47" i="33"/>
  <c r="J47" i="33"/>
  <c r="K47" i="33"/>
  <c r="L47" i="33"/>
  <c r="H29" i="33"/>
  <c r="I29" i="33"/>
  <c r="J29" i="33"/>
  <c r="K29" i="33"/>
  <c r="L29" i="33"/>
  <c r="C29" i="33"/>
  <c r="D28" i="33"/>
  <c r="E28" i="33"/>
  <c r="F28" i="33"/>
  <c r="G28" i="33"/>
  <c r="H28" i="33"/>
  <c r="I28" i="33"/>
  <c r="J28" i="33"/>
  <c r="K28" i="33"/>
  <c r="L28" i="33"/>
  <c r="C28" i="33"/>
  <c r="N66" i="52" l="1"/>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5" i="47"/>
  <c r="C53" i="47" s="1"/>
  <c r="C40" i="52"/>
  <c r="C42" i="52"/>
  <c r="C45" i="52"/>
  <c r="C53" i="52" s="1"/>
  <c r="C51" i="52" s="1"/>
  <c r="C84" i="52" s="1"/>
  <c r="C85" i="52" s="1"/>
  <c r="C117" i="52" s="1"/>
  <c r="E91" i="52"/>
  <c r="F91" i="52"/>
  <c r="M91" i="52"/>
  <c r="C91" i="52"/>
  <c r="K91" i="52"/>
  <c r="D91" i="52"/>
  <c r="N91" i="52"/>
  <c r="N99" i="52" s="1"/>
  <c r="M111" i="47"/>
  <c r="M111" i="52"/>
  <c r="C33" i="47"/>
  <c r="C43" i="47" s="1"/>
  <c r="N92" i="52"/>
  <c r="N100" i="52" s="1"/>
  <c r="A93" i="52"/>
  <c r="A94" i="52" s="1"/>
  <c r="M109" i="47"/>
  <c r="F112" i="47"/>
  <c r="G112" i="47"/>
  <c r="D112" i="47"/>
  <c r="E112"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0" i="47"/>
  <c r="C42" i="47"/>
  <c r="C112" i="47"/>
  <c r="C41"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A93" i="47" s="1"/>
  <c r="N90" i="47"/>
  <c r="N98" i="47" s="1"/>
  <c r="A91" i="47"/>
  <c r="A83" i="47"/>
  <c r="A60" i="47"/>
  <c r="A61" i="47" s="1"/>
  <c r="A85" i="47" s="1"/>
  <c r="N58" i="47"/>
  <c r="N66" i="47" s="1"/>
  <c r="N74" i="47" s="1"/>
  <c r="A59" i="47"/>
  <c r="A75" i="47"/>
  <c r="A76" i="47"/>
  <c r="A99" i="47"/>
  <c r="A100"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L67" i="52" l="1"/>
  <c r="I67" i="52"/>
  <c r="K67" i="52"/>
  <c r="J67" i="52"/>
  <c r="H67" i="52"/>
  <c r="M67" i="52"/>
  <c r="H68" i="52"/>
  <c r="G68" i="52"/>
  <c r="K68" i="52"/>
  <c r="J68" i="52"/>
  <c r="A69" i="52"/>
  <c r="A70" i="52" s="1"/>
  <c r="F68" i="52"/>
  <c r="L68" i="52"/>
  <c r="I68" i="52"/>
  <c r="E67" i="52"/>
  <c r="G67" i="52"/>
  <c r="F67" i="52"/>
  <c r="C67" i="52"/>
  <c r="A101" i="47"/>
  <c r="A77" i="47"/>
  <c r="A69" i="47"/>
  <c r="C100" i="52"/>
  <c r="N93" i="52"/>
  <c r="K60" i="47"/>
  <c r="L60" i="47"/>
  <c r="F60" i="47"/>
  <c r="G60" i="47"/>
  <c r="H60" i="47"/>
  <c r="J60" i="47"/>
  <c r="I60" i="47"/>
  <c r="F100" i="47"/>
  <c r="H100" i="47"/>
  <c r="G100" i="47"/>
  <c r="J100" i="47"/>
  <c r="K100" i="47"/>
  <c r="L100" i="47"/>
  <c r="I100" i="47"/>
  <c r="D92" i="47"/>
  <c r="L92" i="47"/>
  <c r="J92" i="47"/>
  <c r="K92" i="47"/>
  <c r="E92" i="47"/>
  <c r="C92" i="47"/>
  <c r="F92" i="47"/>
  <c r="H92" i="47"/>
  <c r="I92" i="47"/>
  <c r="G92" i="47"/>
  <c r="C60" i="47"/>
  <c r="C51" i="47"/>
  <c r="C50" i="47" s="1"/>
  <c r="C68" i="47" s="1"/>
  <c r="C100" i="47"/>
  <c r="K84" i="47"/>
  <c r="H84" i="47"/>
  <c r="J84" i="47"/>
  <c r="L84" i="47"/>
  <c r="I84" i="47"/>
  <c r="F84" i="47"/>
  <c r="G84" i="47"/>
  <c r="F76" i="47"/>
  <c r="G76" i="47"/>
  <c r="H76" i="47"/>
  <c r="K76" i="47"/>
  <c r="L76" i="47"/>
  <c r="I76" i="47"/>
  <c r="J76" i="47"/>
  <c r="F68" i="47"/>
  <c r="J68" i="47"/>
  <c r="G68" i="47"/>
  <c r="L68" i="47"/>
  <c r="H68" i="47"/>
  <c r="K68" i="47"/>
  <c r="I68" i="47"/>
  <c r="C48" i="52"/>
  <c r="C60" i="52" s="1"/>
  <c r="C50"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1" i="47"/>
  <c r="G91" i="47"/>
  <c r="N91" i="47"/>
  <c r="N99" i="47" s="1"/>
  <c r="F91" i="47"/>
  <c r="I91" i="47"/>
  <c r="M91" i="47"/>
  <c r="E91" i="47"/>
  <c r="L91" i="47"/>
  <c r="D91" i="47"/>
  <c r="K91" i="47"/>
  <c r="C91" i="47"/>
  <c r="J91" i="47"/>
  <c r="L75" i="47"/>
  <c r="D75" i="47"/>
  <c r="K75" i="47"/>
  <c r="C75" i="47"/>
  <c r="M75" i="47"/>
  <c r="J75" i="47"/>
  <c r="E75" i="47"/>
  <c r="I75" i="47"/>
  <c r="H75" i="47"/>
  <c r="G75" i="47"/>
  <c r="F75" i="47"/>
  <c r="H59" i="47"/>
  <c r="G59" i="47"/>
  <c r="I59" i="47"/>
  <c r="N59" i="47"/>
  <c r="N67" i="47" s="1"/>
  <c r="N75" i="47" s="1"/>
  <c r="N83" i="47" s="1"/>
  <c r="F59" i="47"/>
  <c r="M59" i="47"/>
  <c r="E59" i="47"/>
  <c r="L59" i="47"/>
  <c r="D59" i="47"/>
  <c r="K59" i="47"/>
  <c r="C59" i="47"/>
  <c r="J59" i="47"/>
  <c r="N92" i="47"/>
  <c r="N100" i="47" s="1"/>
  <c r="N60" i="47"/>
  <c r="N68" i="47" s="1"/>
  <c r="N76" i="47" s="1"/>
  <c r="N84" i="47" s="1"/>
  <c r="J67" i="47"/>
  <c r="I67" i="47"/>
  <c r="K67" i="47"/>
  <c r="H67" i="47"/>
  <c r="G67" i="47"/>
  <c r="F67" i="47"/>
  <c r="M67" i="47"/>
  <c r="E67" i="47"/>
  <c r="L67" i="47"/>
  <c r="D67" i="47"/>
  <c r="C67" i="47"/>
  <c r="J99" i="47"/>
  <c r="I99" i="47"/>
  <c r="H99" i="47"/>
  <c r="G99" i="47"/>
  <c r="F99" i="47"/>
  <c r="M99" i="47"/>
  <c r="E99" i="47"/>
  <c r="C99" i="47"/>
  <c r="L99" i="47"/>
  <c r="D99" i="47"/>
  <c r="K99" i="47"/>
  <c r="F83" i="47"/>
  <c r="M83" i="47"/>
  <c r="E83" i="47"/>
  <c r="G83" i="47"/>
  <c r="L83" i="47"/>
  <c r="D83" i="47"/>
  <c r="K83" i="47"/>
  <c r="C83" i="47"/>
  <c r="J83" i="47"/>
  <c r="I83" i="47"/>
  <c r="H83" i="47"/>
  <c r="C58" i="33"/>
  <c r="F57" i="33"/>
  <c r="F74" i="33"/>
  <c r="F58" i="33" s="1"/>
  <c r="E74" i="33"/>
  <c r="E66" i="33"/>
  <c r="D58" i="33"/>
  <c r="E58" i="33"/>
  <c r="C49" i="52" l="1"/>
  <c r="C68" i="52" s="1"/>
  <c r="C76" i="52"/>
  <c r="C78" i="52" s="1"/>
  <c r="C123" i="52" s="1"/>
  <c r="D32" i="52" s="1"/>
  <c r="C84" i="47"/>
  <c r="C76"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A62" i="47"/>
  <c r="N61" i="47"/>
  <c r="N69" i="47" s="1"/>
  <c r="N77" i="47" s="1"/>
  <c r="N85" i="47" s="1"/>
  <c r="A86" i="47"/>
  <c r="A78" i="47"/>
  <c r="A94" i="47"/>
  <c r="N93" i="47"/>
  <c r="N101" i="47" s="1"/>
  <c r="A70" i="47"/>
  <c r="C61" i="52" l="1"/>
  <c r="C114" i="52" s="1"/>
  <c r="C69" i="52"/>
  <c r="C115" i="52" s="1"/>
  <c r="C62" i="47"/>
  <c r="C121"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C124" i="47" s="1"/>
  <c r="D33" i="47" s="1"/>
  <c r="L86" i="47"/>
  <c r="J86" i="47"/>
  <c r="I86" i="47"/>
  <c r="H86" i="47"/>
  <c r="I78" i="47"/>
  <c r="J78" i="47"/>
  <c r="H78" i="47"/>
  <c r="L78" i="47"/>
  <c r="K78" i="47"/>
  <c r="C78" i="47"/>
  <c r="C123" i="47" s="1"/>
  <c r="D32" i="47" s="1"/>
  <c r="L70" i="47"/>
  <c r="H70" i="47"/>
  <c r="K70" i="47"/>
  <c r="J70" i="47"/>
  <c r="I70" i="47"/>
  <c r="N62" i="47"/>
  <c r="N70" i="47" s="1"/>
  <c r="N78" i="47" s="1"/>
  <c r="N86" i="47" s="1"/>
  <c r="L62" i="47"/>
  <c r="K62" i="47"/>
  <c r="J62" i="47"/>
  <c r="I62" i="47"/>
  <c r="H62" i="47"/>
  <c r="N94" i="47"/>
  <c r="N102" i="47" s="1"/>
  <c r="E94" i="47"/>
  <c r="F94" i="47"/>
  <c r="L94" i="47"/>
  <c r="D94" i="47"/>
  <c r="K94" i="47"/>
  <c r="C94" i="47"/>
  <c r="J94" i="47"/>
  <c r="I94" i="47"/>
  <c r="H94" i="47"/>
  <c r="G94" i="47"/>
  <c r="L102" i="47"/>
  <c r="K102" i="47"/>
  <c r="C102" i="47"/>
  <c r="C126" i="47" s="1"/>
  <c r="D35" i="47" s="1"/>
  <c r="J102" i="47"/>
  <c r="H102" i="47"/>
  <c r="I102"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47" l="1"/>
  <c r="C62" i="52"/>
  <c r="C121" i="52" s="1"/>
  <c r="D30" i="52" s="1"/>
  <c r="C70" i="52"/>
  <c r="C122" i="52" s="1"/>
  <c r="D31" i="52" s="1"/>
  <c r="C70" i="47"/>
  <c r="C122" i="47" s="1"/>
  <c r="D31"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7" i="47" l="1"/>
  <c r="C130" i="47" s="1"/>
  <c r="D38" i="47" s="1"/>
  <c r="C127" i="52"/>
  <c r="C132" i="51"/>
  <c r="D38" i="51"/>
  <c r="C134" i="51"/>
  <c r="C131" i="51"/>
  <c r="D37" i="51"/>
  <c r="C132" i="50"/>
  <c r="D38" i="50"/>
  <c r="C134" i="50"/>
  <c r="C131" i="50"/>
  <c r="D37" i="50"/>
  <c r="C130" i="49"/>
  <c r="D38" i="49" s="1"/>
  <c r="C129" i="49"/>
  <c r="D37" i="49" s="1"/>
  <c r="C129" i="48"/>
  <c r="D29" i="48"/>
  <c r="C130" i="48"/>
  <c r="P5" i="41"/>
  <c r="C129" i="52" l="1"/>
  <c r="D29" i="52"/>
  <c r="C130" i="52"/>
  <c r="D29" i="47"/>
  <c r="C129" i="47"/>
  <c r="C132" i="47"/>
  <c r="D4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1" i="47" l="1"/>
  <c r="C137" i="47" s="1"/>
  <c r="D37" i="47"/>
  <c r="D39" i="47" s="1"/>
  <c r="C132" i="52"/>
  <c r="D38" i="52"/>
  <c r="D46" i="52" s="1"/>
  <c r="D77" i="52" s="1"/>
  <c r="D116" i="52" s="1"/>
  <c r="D37" i="52"/>
  <c r="C134" i="52"/>
  <c r="C131" i="52"/>
  <c r="C134"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5" i="47" l="1"/>
  <c r="C136" i="47"/>
  <c r="D39" i="52"/>
  <c r="C135" i="52"/>
  <c r="C137" i="52"/>
  <c r="C136" i="52"/>
  <c r="D43" i="47"/>
  <c r="D45" i="47"/>
  <c r="D40" i="47"/>
  <c r="D41" i="47"/>
  <c r="D42" i="47"/>
  <c r="D51" i="51"/>
  <c r="D50" i="51" s="1"/>
  <c r="D51" i="50"/>
  <c r="D84" i="50" s="1"/>
  <c r="D86" i="50" s="1"/>
  <c r="D124" i="50" s="1"/>
  <c r="E33" i="50" s="1"/>
  <c r="D49" i="49"/>
  <c r="D68" i="49" s="1"/>
  <c r="D60" i="49"/>
  <c r="D76" i="49"/>
  <c r="D41" i="48"/>
  <c r="D42" i="48"/>
  <c r="D43" i="48"/>
  <c r="D51" i="48" s="1"/>
  <c r="A1" i="33"/>
  <c r="D40" i="52" l="1"/>
  <c r="D41" i="52"/>
  <c r="D42" i="52"/>
  <c r="D43" i="52"/>
  <c r="D45" i="52"/>
  <c r="D53" i="52" s="1"/>
  <c r="D53" i="47"/>
  <c r="D100"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1" i="47"/>
  <c r="D48" i="47"/>
  <c r="D60" i="47" s="1"/>
  <c r="D102" i="47"/>
  <c r="D126" i="47" s="1"/>
  <c r="E35"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4" i="47"/>
  <c r="D86" i="47" s="1"/>
  <c r="D124" i="47" s="1"/>
  <c r="E33" i="47" s="1"/>
  <c r="D85" i="52"/>
  <c r="D117" i="52" s="1"/>
  <c r="D50" i="47"/>
  <c r="D62" i="47"/>
  <c r="D121" i="47" s="1"/>
  <c r="E30"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49" i="47" l="1"/>
  <c r="D68" i="47" s="1"/>
  <c r="D70" i="47" s="1"/>
  <c r="D122" i="47" s="1"/>
  <c r="E31" i="47" s="1"/>
  <c r="D76" i="47"/>
  <c r="D78" i="47" s="1"/>
  <c r="D123" i="47" s="1"/>
  <c r="E32"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7" i="47"/>
  <c r="E29"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0" i="47"/>
  <c r="D129" i="47"/>
  <c r="E37"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2" i="47" l="1"/>
  <c r="E38" i="47"/>
  <c r="E46" i="47" s="1"/>
  <c r="D127" i="52"/>
  <c r="D130" i="52" s="1"/>
  <c r="D132" i="52" s="1"/>
  <c r="D131" i="47"/>
  <c r="D136" i="47" s="1"/>
  <c r="D134"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39" i="47" l="1"/>
  <c r="E45" i="47" s="1"/>
  <c r="E53" i="47" s="1"/>
  <c r="E29" i="52"/>
  <c r="E38" i="52"/>
  <c r="E46" i="52" s="1"/>
  <c r="E77" i="52" s="1"/>
  <c r="E116" i="52" s="1"/>
  <c r="D129" i="52"/>
  <c r="D134" i="52" s="1"/>
  <c r="D137" i="47"/>
  <c r="D135"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1" i="47" l="1"/>
  <c r="E40" i="47"/>
  <c r="E43" i="47"/>
  <c r="E42" i="47"/>
  <c r="E37" i="52"/>
  <c r="E39" i="52" s="1"/>
  <c r="E43" i="52" s="1"/>
  <c r="E51" i="47"/>
  <c r="E100" i="47"/>
  <c r="E102" i="47" s="1"/>
  <c r="E126" i="47" s="1"/>
  <c r="F35" i="47" s="1"/>
  <c r="D131" i="52"/>
  <c r="D137" i="52" s="1"/>
  <c r="E48"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0" i="47" l="1"/>
  <c r="E62" i="47" s="1"/>
  <c r="E121" i="47" s="1"/>
  <c r="F30" i="47" s="1"/>
  <c r="E84" i="47"/>
  <c r="E86" i="47" s="1"/>
  <c r="E124" i="47" s="1"/>
  <c r="F33" i="47" s="1"/>
  <c r="E50" i="47"/>
  <c r="E76" i="47" s="1"/>
  <c r="E78" i="47" s="1"/>
  <c r="E123" i="47" s="1"/>
  <c r="F32"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49" i="47"/>
  <c r="E68" i="47" s="1"/>
  <c r="E70" i="47" s="1"/>
  <c r="E122" i="47" s="1"/>
  <c r="F31"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7" i="47"/>
  <c r="F29"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0" i="47" l="1"/>
  <c r="E132" i="47" s="1"/>
  <c r="E129" i="47"/>
  <c r="E134" i="47" s="1"/>
  <c r="F31" i="52"/>
  <c r="E127" i="52"/>
  <c r="F29" i="52" s="1"/>
  <c r="F46" i="47"/>
  <c r="E61" i="48"/>
  <c r="E114" i="48" s="1"/>
  <c r="E132" i="51"/>
  <c r="F38" i="51"/>
  <c r="E131" i="51"/>
  <c r="F37" i="51"/>
  <c r="E134" i="51"/>
  <c r="E132" i="50"/>
  <c r="F38" i="50"/>
  <c r="E134" i="50"/>
  <c r="E131" i="50"/>
  <c r="F37" i="50"/>
  <c r="F38" i="49"/>
  <c r="E132" i="49"/>
  <c r="E134" i="49"/>
  <c r="F37" i="49"/>
  <c r="E131" i="49"/>
  <c r="E131" i="47" l="1"/>
  <c r="E136" i="47" s="1"/>
  <c r="E129" i="52"/>
  <c r="F37" i="52" s="1"/>
  <c r="E130" i="52"/>
  <c r="F39"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7" i="47" l="1"/>
  <c r="E135" i="47"/>
  <c r="F43" i="47"/>
  <c r="F45" i="47"/>
  <c r="F53" i="47" s="1"/>
  <c r="E132" i="52"/>
  <c r="F38" i="52"/>
  <c r="E131" i="52"/>
  <c r="E134" i="52"/>
  <c r="F42" i="47"/>
  <c r="F40" i="47"/>
  <c r="F41" i="47"/>
  <c r="E127" i="48"/>
  <c r="F29" i="48" s="1"/>
  <c r="F41" i="51"/>
  <c r="F40" i="51"/>
  <c r="F42" i="51"/>
  <c r="F43" i="51"/>
  <c r="F40" i="50"/>
  <c r="F43" i="50"/>
  <c r="F51" i="50" s="1"/>
  <c r="F41" i="50"/>
  <c r="F40" i="49"/>
  <c r="F41" i="49"/>
  <c r="F43" i="49"/>
  <c r="F51" i="47" l="1"/>
  <c r="F102" i="47"/>
  <c r="F126" i="47" s="1"/>
  <c r="G35" i="47" s="1"/>
  <c r="F48" i="47"/>
  <c r="F62" i="47" s="1"/>
  <c r="F121" i="47" s="1"/>
  <c r="G30" i="47" s="1"/>
  <c r="F39" i="52"/>
  <c r="F46" i="52"/>
  <c r="E137" i="52"/>
  <c r="E136" i="52"/>
  <c r="E135" i="52"/>
  <c r="E129" i="48"/>
  <c r="E131" i="48" s="1"/>
  <c r="E130" i="48"/>
  <c r="E132" i="48" s="1"/>
  <c r="F51" i="51"/>
  <c r="F50" i="51" s="1"/>
  <c r="F50" i="50"/>
  <c r="F48" i="50" s="1"/>
  <c r="F60" i="50" s="1"/>
  <c r="F51" i="49"/>
  <c r="F84" i="50"/>
  <c r="F86" i="50" s="1"/>
  <c r="F124" i="50" s="1"/>
  <c r="G33" i="50" s="1"/>
  <c r="F50" i="47" l="1"/>
  <c r="F86" i="47"/>
  <c r="F124" i="47" s="1"/>
  <c r="G33"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78" i="47" l="1"/>
  <c r="F123" i="47" s="1"/>
  <c r="G32" i="47" s="1"/>
  <c r="F49" i="47"/>
  <c r="F70" i="47" s="1"/>
  <c r="F122"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1" i="47" l="1"/>
  <c r="F127"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29" i="47" l="1"/>
  <c r="F129" i="47"/>
  <c r="F130"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2" i="47" l="1"/>
  <c r="G46" i="47"/>
  <c r="G39" i="47"/>
  <c r="F134" i="47"/>
  <c r="F131"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0" i="47" l="1"/>
  <c r="G45" i="47"/>
  <c r="G53" i="47" s="1"/>
  <c r="G41" i="47"/>
  <c r="G42" i="47"/>
  <c r="G43" i="47"/>
  <c r="G48" i="47"/>
  <c r="G62" i="47" s="1"/>
  <c r="G121" i="47" s="1"/>
  <c r="F135" i="47"/>
  <c r="F136" i="47"/>
  <c r="F137"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1" i="47" l="1"/>
  <c r="G50" i="47" s="1"/>
  <c r="G78" i="47" s="1"/>
  <c r="G123" i="47" s="1"/>
  <c r="G102" i="47"/>
  <c r="G126"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49" i="47" l="1"/>
  <c r="G70" i="47" s="1"/>
  <c r="G122" i="47" s="1"/>
  <c r="G127" i="47" s="1"/>
  <c r="G129" i="47" s="1"/>
  <c r="G134" i="47" s="1"/>
  <c r="G86" i="47"/>
  <c r="G124"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1" i="47" l="1"/>
  <c r="G136" i="47" s="1"/>
  <c r="G130" i="47"/>
  <c r="G132" i="47" s="1"/>
  <c r="F132" i="52"/>
  <c r="G38" i="52"/>
  <c r="G39" i="52"/>
  <c r="F131" i="52"/>
  <c r="F134" i="52"/>
  <c r="G137" i="47"/>
  <c r="G135"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<sst xmlns="http://schemas.openxmlformats.org/spreadsheetml/2006/main" count="1152" uniqueCount="426">
  <si>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</si>
  <si>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</si>
  <si>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</si>
  <si>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</si>
  <si>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</si>
  <si>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</si>
  <si>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</si>
  <si>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</si>
  <si>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</si>
  <si>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</si>
  <si>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</si>
  <si>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</si>
  <si>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</si>
  <si>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</si>
  <si>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</si>
  <si>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</si>
  <si>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</si>
  <si>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</si>
  <si>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</si>
  <si>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</si>
  <si>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</si>
  <si>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</si>
  <si>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</si>
  <si>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</si>
  <si>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</si>
  <si>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</si>
  <si>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</si>
  <si>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</si>
  <si>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</si>
  <si>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</si>
  <si>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</si>
  <si>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</si>
  <si>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</si>
  <si>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</si>
  <si>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</si>
  <si>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</si>
  <si>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</si>
  <si>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</si>
  <si>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</si>
  <si>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</si>
  <si>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</si>
  <si>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</si>
  <si>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</si>
  <si>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</si>
  <si>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</si>
  <si>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</si>
  <si>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</si>
  <si>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</si>
  <si>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</si>
  <si>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</si>
  <si>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</si>
  <si>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</si>
  <si>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</si>
  <si>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</si>
  <si>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</si>
  <si>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</si>
  <si>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</si>
  <si>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</si>
  <si>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</si>
  <si>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</si>
  <si>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</si>
  <si>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</si>
  <si>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</si>
  <si>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</si>
  <si>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</si>
  <si>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</si>
  <si>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</si>
  <si>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</si>
  <si>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</si>
  <si>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</si>
  <si>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</si>
  <si>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</si>
  <si>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</si>
  <si>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</si>
  <si>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</si>
  <si>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</si>
  <si>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</si>
  <si>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</si>
  <si>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</si>
  <si>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</si>
  <si>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</si>
  <si>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</si>
  <si>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</si>
  <si>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</si>
  <si>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</si>
  <si>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</si>
  <si>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</si>
  <si>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</si>
  <si>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</si>
  <si>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</si>
  <si>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</si>
  <si>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</si>
  <si>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</si>
  <si>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</si>
  <si>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</si>
  <si>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</si>
  <si>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</si>
  <si>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</si>
  <si>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</si>
  <si>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</si>
  <si>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</si>
  <si>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</si>
  <si>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</si>
  <si>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</si>
  <si>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</si>
  <si>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</si>
  <si>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</si>
  <si>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</si>
  <si>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</si>
  <si>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</si>
  <si>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</si>
  <si>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</si>
  <si>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</si>
  <si>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</si>
  <si>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</si>
  <si>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</si>
  <si>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</si>
  <si>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</si>
  <si>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</si>
  <si>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</si>
  <si>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</si>
  <si>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</si>
  <si>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</si>
  <si>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</si>
  <si>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</si>
  <si>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</si>
  <si>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</si>
  <si>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</si>
  <si>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</si>
  <si>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</si>
  <si>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</si>
  <si>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</si>
  <si>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</si>
  <si>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</si>
  <si>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</si>
  <si>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</si>
  <si>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</si>
  <si>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</si>
  <si>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</si>
  <si>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</si>
  <si>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</si>
  <si>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</si>
  <si>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</si>
  <si>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</si>
  <si>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</si>
  <si>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</si>
  <si>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</si>
  <si>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</si>
  <si>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</si>
  <si>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</si>
  <si>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</si>
  <si>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</si>
  <si>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</si>
  <si>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</si>
  <si>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</si>
  <si>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</si>
  <si>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</si>
  <si>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</si>
  <si>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</si>
  <si>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</si>
  <si>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</si>
  <si>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</si>
  <si>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</si>
  <si>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</si>
  <si>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</si>
  <si>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</si>
  <si>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</si>
  <si>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</si>
  <si>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</si>
  <si>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</si>
  <si>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</si>
  <si>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</si>
  <si>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</si>
  <si>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</si>
  <si>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</si>
  <si>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</si>
  <si>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</si>
  <si>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</si>
  <si>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</si>
  <si>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</si>
  <si>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</si>
  <si>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</si>
  <si>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</si>
  <si>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</si>
  <si>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</si>
  <si>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</si>
  <si>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</si>
  <si>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</si>
  <si>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</si>
  <si>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</si>
  <si>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</si>
  <si>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</si>
  <si>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</si>
  <si>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</si>
  <si>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</si>
  <si>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</si>
  <si>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</si>
  <si>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</si>
  <si>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</si>
  <si>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</si>
  <si>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</si>
  <si>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</si>
  <si>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</si>
  <si>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</si>
  <si>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</si>
  <si>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</si>
  <si>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</si>
  <si>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</si>
  <si>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</si>
  <si>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</si>
  <si>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</si>
  <si>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</si>
  <si>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</si>
  <si>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</si>
  <si>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</si>
  <si>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</si>
  <si>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</si>
  <si>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</si>
  <si>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</si>
  <si>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</si>
  <si>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</si>
  <si>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</si>
  <si>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</si>
  <si>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</si>
  <si>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</si>
  <si>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</si>
  <si>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</si>
  <si>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</si>
  <si>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</si>
  <si>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</si>
  <si>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</si>
  <si>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</si>
  <si>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</si>
  <si>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</si>
  <si>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</si>
  <si>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</si>
  <si>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</si>
  <si>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</si>
  <si>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</si>
  <si>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</si>
  <si>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</si>
  <si>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</si>
  <si>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</si>
  <si>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</si>
  <si>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</si>
  <si>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</si>
  <si>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</si>
  <si>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</si>
  <si>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</si>
  <si>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</si>
  <si>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</si>
  <si>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</si>
  <si>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</si>
  <si>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</si>
  <si>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</si>
  <si>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</si>
  <si>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</si>
  <si>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</si>
  <si>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</si>
  <si>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</si>
  <si>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</si>
  <si>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</si>
  <si>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</si>
  <si>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</si>
  <si>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</si>
  <si>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</si>
  <si>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</si>
  <si>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</si>
  <si>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</si>
  <si>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</si>
  <si>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</si>
  <si>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</si>
  <si>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</si>
  <si>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</si>
  <si>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</si>
  <si>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</si>
  <si>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</si>
  <si>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</si>
  <si>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</si>
  <si>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</si>
  <si>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</si>
  <si>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</si>
  <si>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</si>
  <si>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</si>
  <si>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</si>
  <si>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</si>
  <si>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</si>
  <si>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</si>
  <si>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</si>
  <si>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</si>
  <si>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</si>
  <si>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</si>
  <si>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</si>
  <si>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</si>
  <si>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</si>
  <si>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</si>
  <si>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</si>
  <si>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</si>
  <si>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</si>
  <si>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</si>
  <si>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</si>
  <si>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</si>
  <si>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</si>
  <si>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</si>
  <si>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</si>
  <si>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</si>
  <si>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</si>
  <si>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</si>
  <si>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</si>
  <si>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</si>
  <si>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</si>
  <si>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</si>
  <si>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</si>
  <si>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</si>
  <si>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</si>
  <si>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</si>
  <si>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</si>
  <si>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</si>
  <si>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</si>
  <si>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</si>
  <si>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</si>
  <si>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</si>
  <si>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</si>
  <si>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</si>
  <si>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</si>
  <si>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</si>
  <si>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</si>
  <si>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</si>
  <si>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</si>
  <si>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</si>
  <si>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</si>
  <si>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</si>
  <si>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</si>
  <si>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</si>
  <si>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</si>
  <si>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</si>
  <si>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</si>
  <si>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</si>
  <si>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</si>
  <si>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</si>
  <si>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</si>
  <si>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</si>
  <si>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</si>
  <si>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</si>
  <si>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</si>
  <si>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</si>
  <si>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</si>
  <si>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</si>
  <si>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</si>
  <si>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</si>
  <si>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</si>
  <si>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</si>
  <si>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</si>
  <si>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</si>
  <si>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</si>
  <si>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</si>
  <si>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</si>
  <si>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</si>
  <si>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</si>
  <si>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</si>
  <si>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</si>
  <si>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</si>
  <si>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</si>
  <si>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</si>
  <si>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</si>
  <si>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</si>
  <si>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</si>
  <si>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</si>
  <si>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</si>
  <si>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</si>
  <si>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</si>
  <si>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</si>
  <si>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</si>
  <si>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</si>
  <si>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</si>
  <si>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</si>
  <si>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</si>
  <si>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</si>
  <si>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</si>
  <si>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</si>
  <si>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</si>
  <si>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</si>
  <si>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4. Split combined natural inflow minus Havasu/Parker Evap. among parties</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</si>
  <si>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</si>
  <si>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</si>
  <si>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</si>
  <si>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</si>
  <si>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</si>
  <si>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</si>
  <si>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</si>
  <si>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</si>
  <si>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</si>
  <si>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</si>
  <si>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</si>
  <si>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</si>
  <si>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</si>
  <si>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1. Define the Parties, person playing, and each party's strategy in Cells A5 to C11 (Up to 5 players):</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</si>
  <si>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</si>
  <si>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</si>
  <si>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</si>
  <si>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</si>
  <si>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</si>
  <si>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</si>
  <si>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</si>
  <si>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</si>
  <si>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</si>
  <si>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A party's strategy including decisions such as conservation, consumption, sales, purchages from a party's flex account.</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</si>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</sst>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3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Master!$C$24:$G$24</c:f>
              <c:strCache>
                <c:ptCount val="5"/>
                <c:pt idx="0">
                  <c:v>Year 1</c:v>
                </c:pt>
                <c:pt idx="1">
                  <c:v>Year 2</c:v>
                </c:pt>
                <c:pt idx="2">
                  <c:v>Year 3</c:v>
                </c:pt>
                <c:pt idx="3">
                  <c:v>Year 4</c:v>
                </c:pt>
                <c:pt idx="4">
                  <c:v>Year 5</c:v>
                </c:pt>
              </c:strCache>
            </c:strRef>
          </c:cat>
          <c:val>
            <c:numRef>
              <c:f>Master!$C$115:$G$115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Master!$C$24:$G$24</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zoomScale="150" zoomScaleNormal="150" workbookViewId="0">
      <selection activeCell="C54" sqref="C5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4" t="s">
        <v>203</v>
      </c>
      <c r="B1" s="194"/>
      <c r="C1" s="194"/>
      <c r="D1" s="194"/>
      <c r="E1" s="194"/>
      <c r="F1" s="194"/>
      <c r="G1" s="194"/>
      <c r="H1" s="194"/>
      <c r="I1" s="194"/>
      <c r="J1" s="194"/>
      <c r="K1" s="194"/>
      <c r="L1" s="194"/>
    </row>
    <row r="2" spans="1:18" x14ac:dyDescent="0.35">
      <c r="A2" s="1"/>
      <c r="B2" s="1"/>
      <c r="C2" s="2"/>
      <c r="D2"/>
    </row>
    <row r="3" spans="1:18" x14ac:dyDescent="0.35">
      <c r="A3" s="1" t="s">
        <v>231</v>
      </c>
      <c r="B3" s="1"/>
      <c r="C3" s="2"/>
      <c r="D3"/>
      <c r="N3" s="1" t="s">
        <v>315</v>
      </c>
    </row>
    <row r="4" spans="1:18" s="79" customFormat="1" ht="66" customHeight="1" x14ac:dyDescent="0.35">
      <c r="A4" s="197" t="s">
        <v>358</v>
      </c>
      <c r="B4" s="197"/>
      <c r="C4" s="197"/>
      <c r="D4" s="197"/>
      <c r="E4" s="197"/>
      <c r="F4" s="197"/>
      <c r="G4" s="197"/>
      <c r="H4" s="197"/>
      <c r="I4" s="197"/>
      <c r="J4" s="197"/>
      <c r="K4" s="197"/>
      <c r="L4" s="197"/>
      <c r="N4" s="196" t="s">
        <v>316</v>
      </c>
      <c r="O4" s="196"/>
      <c r="P4" s="196"/>
      <c r="Q4" s="196"/>
      <c r="R4" s="196"/>
    </row>
    <row r="5" spans="1:18" s="32" customFormat="1" ht="16" customHeight="1" x14ac:dyDescent="0.35">
      <c r="A5" s="197" t="s">
        <v>359</v>
      </c>
      <c r="B5" s="197"/>
      <c r="C5" s="197"/>
      <c r="D5" s="197"/>
      <c r="E5" s="197"/>
      <c r="F5" s="197"/>
      <c r="G5" s="197"/>
      <c r="H5" s="197"/>
      <c r="I5" s="197"/>
      <c r="J5" s="197"/>
      <c r="K5" s="197"/>
      <c r="L5" s="197"/>
    </row>
    <row r="6" spans="1:18" s="32" customFormat="1" ht="32.5" customHeight="1" x14ac:dyDescent="0.35">
      <c r="A6" s="195" t="s">
        <v>228</v>
      </c>
      <c r="B6" s="195"/>
      <c r="C6" s="195"/>
      <c r="D6" s="195"/>
      <c r="E6" s="195"/>
      <c r="F6" s="195"/>
      <c r="G6" s="195"/>
      <c r="H6" s="195"/>
      <c r="I6" s="195"/>
      <c r="J6" s="195"/>
      <c r="K6" s="195"/>
      <c r="L6" s="195"/>
      <c r="N6" s="143" t="s">
        <v>317</v>
      </c>
    </row>
    <row r="7" spans="1:18" s="32" customFormat="1" ht="20.25" customHeight="1" x14ac:dyDescent="0.35">
      <c r="A7" s="195" t="s">
        <v>360</v>
      </c>
      <c r="B7" s="195"/>
      <c r="C7" s="195"/>
      <c r="D7" s="195"/>
      <c r="E7" s="195"/>
      <c r="F7" s="195"/>
      <c r="G7" s="195"/>
      <c r="H7" s="195"/>
      <c r="I7" s="195"/>
      <c r="J7" s="195"/>
      <c r="K7" s="195"/>
      <c r="L7" s="195"/>
    </row>
    <row r="8" spans="1:18" s="32" customFormat="1" ht="16.5" customHeight="1" x14ac:dyDescent="0.35">
      <c r="A8" s="195" t="s">
        <v>361</v>
      </c>
      <c r="B8" s="195"/>
      <c r="C8" s="195"/>
      <c r="D8" s="195"/>
      <c r="E8" s="195"/>
      <c r="F8" s="195"/>
      <c r="G8" s="195"/>
      <c r="H8" s="195"/>
      <c r="I8" s="195"/>
      <c r="J8" s="195"/>
      <c r="K8" s="195"/>
      <c r="L8" s="195"/>
      <c r="N8" s="69" t="s">
        <v>362</v>
      </c>
    </row>
    <row r="9" spans="1:18" s="32" customFormat="1" ht="15" customHeight="1" x14ac:dyDescent="0.35">
      <c r="A9" s="195" t="s">
        <v>363</v>
      </c>
      <c r="B9" s="195"/>
      <c r="C9" s="195"/>
      <c r="D9" s="195"/>
      <c r="E9" s="195"/>
      <c r="F9" s="195"/>
      <c r="G9" s="195"/>
      <c r="H9" s="195"/>
      <c r="I9" s="195"/>
      <c r="J9" s="195"/>
      <c r="K9" s="195"/>
      <c r="L9" s="195"/>
    </row>
    <row r="10" spans="1:18" s="32" customFormat="1" ht="32.15" customHeight="1" x14ac:dyDescent="0.35">
      <c r="A10" s="195" t="s">
        <v>390</v>
      </c>
      <c r="B10" s="195"/>
      <c r="C10" s="195"/>
      <c r="D10" s="195"/>
      <c r="E10" s="195"/>
      <c r="F10" s="195"/>
      <c r="G10" s="195"/>
      <c r="H10" s="195"/>
      <c r="I10" s="195"/>
      <c r="J10" s="195"/>
      <c r="K10" s="195"/>
      <c r="L10" s="195"/>
      <c r="N10" s="32" t="s">
        <v>364</v>
      </c>
    </row>
    <row r="11" spans="1:18" ht="15" customHeight="1" x14ac:dyDescent="0.35">
      <c r="A11" s="195" t="s">
        <v>391</v>
      </c>
      <c r="B11" s="195"/>
      <c r="C11" s="195"/>
      <c r="D11" s="195"/>
      <c r="E11" s="195"/>
      <c r="F11" s="195"/>
      <c r="G11" s="195"/>
      <c r="H11" s="195"/>
      <c r="I11" s="195"/>
      <c r="J11" s="195"/>
      <c r="K11" s="195"/>
      <c r="L11" s="195"/>
    </row>
    <row r="12" spans="1:18" ht="17.25" customHeight="1" x14ac:dyDescent="0.35">
      <c r="A12" s="195" t="s">
        <v>392</v>
      </c>
      <c r="B12" s="195"/>
      <c r="C12" s="195"/>
      <c r="D12" s="195"/>
      <c r="E12" s="195"/>
      <c r="F12" s="195"/>
      <c r="G12" s="195"/>
      <c r="H12" s="195"/>
      <c r="I12" s="195"/>
      <c r="J12" s="195"/>
      <c r="K12" s="195"/>
      <c r="L12" s="195"/>
    </row>
    <row r="13" spans="1:18" ht="20.25" customHeight="1" x14ac:dyDescent="0.35">
      <c r="A13" s="154"/>
      <c r="B13" s="154"/>
      <c r="C13" s="154"/>
      <c r="D13" s="154"/>
      <c r="E13" s="154"/>
      <c r="F13" s="154"/>
      <c r="G13" s="154"/>
      <c r="H13" s="154"/>
      <c r="I13" s="154"/>
      <c r="J13" s="154"/>
      <c r="K13" s="154"/>
      <c r="L13" s="154"/>
    </row>
    <row r="14" spans="1:18" ht="50.5" customHeight="1" x14ac:dyDescent="0.35">
      <c r="A14" s="195" t="s">
        <v>365</v>
      </c>
      <c r="B14" s="195"/>
      <c r="C14" s="195"/>
      <c r="D14" s="195"/>
      <c r="E14" s="195"/>
      <c r="F14" s="195"/>
      <c r="G14" s="195"/>
      <c r="H14" s="195"/>
      <c r="I14" s="195"/>
      <c r="J14" s="195"/>
      <c r="K14" s="195"/>
      <c r="L14" s="195"/>
    </row>
    <row r="15" spans="1:18" ht="48.65" customHeight="1" x14ac:dyDescent="0.35">
      <c r="A15" s="195" t="s">
        <v>200</v>
      </c>
      <c r="B15" s="195"/>
      <c r="C15" s="195"/>
      <c r="D15" s="195"/>
      <c r="E15" s="195"/>
      <c r="F15" s="195"/>
      <c r="G15" s="195"/>
      <c r="H15" s="195"/>
      <c r="I15" s="195"/>
      <c r="J15" s="195"/>
      <c r="K15" s="195"/>
      <c r="L15" s="195"/>
    </row>
    <row r="16" spans="1:18" ht="15.65" customHeight="1" x14ac:dyDescent="0.35">
      <c r="A16" s="195" t="s">
        <v>331</v>
      </c>
      <c r="B16" s="195"/>
      <c r="C16" s="195"/>
      <c r="D16" s="195"/>
      <c r="E16" s="195"/>
      <c r="F16" s="195"/>
      <c r="G16" s="195"/>
      <c r="H16" s="195"/>
      <c r="I16" s="195"/>
      <c r="J16" s="195"/>
      <c r="K16" s="195"/>
      <c r="L16" s="195"/>
    </row>
    <row r="17" spans="1:12" x14ac:dyDescent="0.35">
      <c r="B17" s="15"/>
      <c r="C17" s="15"/>
      <c r="D17" s="15"/>
      <c r="E17" s="15"/>
      <c r="F17" s="15"/>
      <c r="G17" s="15"/>
      <c r="H17" s="15"/>
      <c r="I17" s="15"/>
      <c r="J17" s="15"/>
      <c r="K17" s="15"/>
      <c r="L17" s="15"/>
    </row>
    <row r="18" spans="1:12" ht="16.5" customHeight="1" x14ac:dyDescent="0.35">
      <c r="A18" s="185" t="s">
        <v>201</v>
      </c>
      <c r="B18" s="186"/>
      <c r="C18" s="186"/>
      <c r="D18" s="186"/>
      <c r="E18" s="186"/>
      <c r="F18" s="186"/>
      <c r="G18" s="186"/>
      <c r="H18" s="186"/>
      <c r="I18" s="186"/>
      <c r="J18" s="186"/>
      <c r="K18" s="186"/>
      <c r="L18" s="187"/>
    </row>
    <row r="19" spans="1:12" ht="16.5" customHeight="1" x14ac:dyDescent="0.35">
      <c r="A19" s="28">
        <v>1</v>
      </c>
      <c r="B19" s="188" t="s">
        <v>141</v>
      </c>
      <c r="C19" s="188"/>
      <c r="D19" s="188"/>
      <c r="E19" s="188"/>
      <c r="F19" s="188"/>
      <c r="G19" s="188"/>
      <c r="H19" s="188"/>
      <c r="I19" s="188"/>
      <c r="J19" s="188"/>
      <c r="K19" s="188"/>
      <c r="L19" s="189"/>
    </row>
    <row r="20" spans="1:12" ht="16.5" customHeight="1" x14ac:dyDescent="0.35">
      <c r="A20" s="28">
        <v>2</v>
      </c>
      <c r="B20" s="188" t="s">
        <v>202</v>
      </c>
      <c r="C20" s="188"/>
      <c r="D20" s="188"/>
      <c r="E20" s="188"/>
      <c r="F20" s="188"/>
      <c r="G20" s="188"/>
      <c r="H20" s="188"/>
      <c r="I20" s="188"/>
      <c r="J20" s="188"/>
      <c r="K20" s="188"/>
      <c r="L20" s="189"/>
    </row>
    <row r="21" spans="1:12" ht="34.5" customHeight="1" x14ac:dyDescent="0.35">
      <c r="A21" s="28">
        <v>3</v>
      </c>
      <c r="B21" s="188" t="s">
        <v>345</v>
      </c>
      <c r="C21" s="188"/>
      <c r="D21" s="188"/>
      <c r="E21" s="188"/>
      <c r="F21" s="188"/>
      <c r="G21" s="188"/>
      <c r="H21" s="188"/>
      <c r="I21" s="188"/>
      <c r="J21" s="188"/>
      <c r="K21" s="188"/>
      <c r="L21" s="189"/>
    </row>
    <row r="22" spans="1:12" ht="32.5" customHeight="1" x14ac:dyDescent="0.35">
      <c r="A22" s="28">
        <v>4</v>
      </c>
      <c r="B22" s="188" t="s">
        <v>344</v>
      </c>
      <c r="C22" s="188"/>
      <c r="D22" s="188"/>
      <c r="E22" s="188"/>
      <c r="F22" s="188"/>
      <c r="G22" s="188"/>
      <c r="H22" s="188"/>
      <c r="I22" s="188"/>
      <c r="J22" s="188"/>
      <c r="K22" s="188"/>
      <c r="L22" s="189"/>
    </row>
    <row r="23" spans="1:12" ht="30" customHeight="1" x14ac:dyDescent="0.35">
      <c r="A23" s="28">
        <v>5</v>
      </c>
      <c r="B23" s="188" t="s">
        <v>335</v>
      </c>
      <c r="C23" s="188"/>
      <c r="D23" s="188"/>
      <c r="E23" s="188"/>
      <c r="F23" s="188"/>
      <c r="G23" s="188"/>
      <c r="H23" s="188"/>
      <c r="I23" s="188"/>
      <c r="J23" s="188"/>
      <c r="K23" s="188"/>
      <c r="L23" s="189"/>
    </row>
    <row r="24" spans="1:12" ht="47" customHeight="1" x14ac:dyDescent="0.35">
      <c r="A24" s="28">
        <v>6</v>
      </c>
      <c r="B24" s="188" t="s">
        <v>412</v>
      </c>
      <c r="C24" s="188"/>
      <c r="D24" s="188"/>
      <c r="E24" s="188"/>
      <c r="F24" s="188"/>
      <c r="G24" s="188"/>
      <c r="H24" s="188"/>
      <c r="I24" s="188"/>
      <c r="J24" s="188"/>
      <c r="K24" s="188"/>
      <c r="L24" s="189"/>
    </row>
    <row r="25" spans="1:12" ht="31.5" customHeight="1" x14ac:dyDescent="0.35">
      <c r="A25" s="28">
        <v>7</v>
      </c>
      <c r="B25" s="188" t="s">
        <v>413</v>
      </c>
      <c r="C25" s="188"/>
      <c r="D25" s="188"/>
      <c r="E25" s="188"/>
      <c r="F25" s="188"/>
      <c r="G25" s="188"/>
      <c r="H25" s="188"/>
      <c r="I25" s="188"/>
      <c r="J25" s="188"/>
      <c r="K25" s="188"/>
      <c r="L25" s="189"/>
    </row>
    <row r="26" spans="1:12" ht="60.65" customHeight="1" x14ac:dyDescent="0.35">
      <c r="A26" s="28">
        <v>8</v>
      </c>
      <c r="B26" s="188" t="s">
        <v>414</v>
      </c>
      <c r="C26" s="188"/>
      <c r="D26" s="188"/>
      <c r="E26" s="188"/>
      <c r="F26" s="188"/>
      <c r="G26" s="188"/>
      <c r="H26" s="188"/>
      <c r="I26" s="188"/>
      <c r="J26" s="188"/>
      <c r="K26" s="188"/>
      <c r="L26" s="189"/>
    </row>
    <row r="27" spans="1:12" ht="16.5" customHeight="1" x14ac:dyDescent="0.35">
      <c r="A27" s="28">
        <v>9</v>
      </c>
      <c r="B27" s="188" t="s">
        <v>415</v>
      </c>
      <c r="C27" s="188"/>
      <c r="D27" s="188"/>
      <c r="E27" s="188"/>
      <c r="F27" s="188"/>
      <c r="G27" s="188"/>
      <c r="H27" s="188"/>
      <c r="I27" s="188"/>
      <c r="J27" s="188"/>
      <c r="K27" s="188"/>
      <c r="L27" s="189"/>
    </row>
    <row r="28" spans="1:12" ht="16.5" customHeight="1" x14ac:dyDescent="0.35">
      <c r="A28" s="28">
        <v>10</v>
      </c>
      <c r="B28" s="188" t="s">
        <v>416</v>
      </c>
      <c r="C28" s="188"/>
      <c r="D28" s="188"/>
      <c r="E28" s="188"/>
      <c r="F28" s="188"/>
      <c r="G28" s="188"/>
      <c r="H28" s="188"/>
      <c r="I28" s="188"/>
      <c r="J28" s="188"/>
      <c r="K28" s="188"/>
      <c r="L28" s="189"/>
    </row>
    <row r="29" spans="1:12" ht="32.15" customHeight="1" x14ac:dyDescent="0.35">
      <c r="A29" s="28">
        <v>11</v>
      </c>
      <c r="B29" s="188" t="s">
        <v>417</v>
      </c>
      <c r="C29" s="188"/>
      <c r="D29" s="188"/>
      <c r="E29" s="188"/>
      <c r="F29" s="188"/>
      <c r="G29" s="188"/>
      <c r="H29" s="188"/>
      <c r="I29" s="188"/>
      <c r="J29" s="188"/>
      <c r="K29" s="188"/>
      <c r="L29" s="189"/>
    </row>
    <row r="30" spans="1:12" ht="17.5" customHeight="1" x14ac:dyDescent="0.35">
      <c r="A30" s="28">
        <v>12</v>
      </c>
      <c r="B30" s="188" t="s">
        <v>418</v>
      </c>
      <c r="C30" s="188"/>
      <c r="D30" s="188"/>
      <c r="E30" s="188"/>
      <c r="F30" s="188"/>
      <c r="G30" s="188"/>
      <c r="H30" s="188"/>
      <c r="I30" s="188"/>
      <c r="J30" s="188"/>
      <c r="K30" s="188"/>
      <c r="L30" s="189"/>
    </row>
    <row r="31" spans="1:12" ht="30" customHeight="1" x14ac:dyDescent="0.35">
      <c r="A31" s="28">
        <v>13</v>
      </c>
      <c r="B31" s="188" t="s">
        <v>419</v>
      </c>
      <c r="C31" s="188"/>
      <c r="D31" s="188"/>
      <c r="E31" s="188"/>
      <c r="F31" s="188"/>
      <c r="G31" s="188"/>
      <c r="H31" s="188"/>
      <c r="I31" s="188"/>
      <c r="J31" s="188"/>
      <c r="K31" s="188"/>
      <c r="L31" s="189"/>
    </row>
    <row r="32" spans="1:12" ht="16.5" customHeight="1" x14ac:dyDescent="0.35">
      <c r="A32" s="28">
        <v>14</v>
      </c>
      <c r="B32" s="190" t="s">
        <v>420</v>
      </c>
      <c r="C32" s="190"/>
      <c r="D32" s="190"/>
      <c r="E32" s="190"/>
      <c r="F32" s="190"/>
      <c r="G32" s="190"/>
      <c r="H32" s="190"/>
      <c r="I32" s="190"/>
      <c r="J32" s="190"/>
      <c r="K32" s="190"/>
      <c r="L32" s="191"/>
    </row>
    <row r="33" spans="1:12" ht="32.15" customHeight="1" x14ac:dyDescent="0.35">
      <c r="A33" s="28">
        <v>15</v>
      </c>
      <c r="B33" s="188" t="s">
        <v>421</v>
      </c>
      <c r="C33" s="188"/>
      <c r="D33" s="188"/>
      <c r="E33" s="188"/>
      <c r="F33" s="188"/>
      <c r="G33" s="188"/>
      <c r="H33" s="188"/>
      <c r="I33" s="188"/>
      <c r="J33" s="188"/>
      <c r="K33" s="188"/>
      <c r="L33" s="189"/>
    </row>
    <row r="34" spans="1:12" ht="31" customHeight="1" x14ac:dyDescent="0.35">
      <c r="A34" s="28">
        <v>16</v>
      </c>
      <c r="B34" s="192" t="s">
        <v>205</v>
      </c>
      <c r="C34" s="192"/>
      <c r="D34" s="192"/>
      <c r="E34" s="192"/>
      <c r="F34" s="192"/>
      <c r="G34" s="192"/>
      <c r="H34" s="192"/>
      <c r="I34" s="192"/>
      <c r="J34" s="192"/>
      <c r="K34" s="192"/>
      <c r="L34" s="193"/>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423</v>
      </c>
      <c r="C53" t="s">
        <v>424</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84" t="s">
        <v>229</v>
      </c>
      <c r="B65" s="184"/>
      <c r="C65" s="184"/>
      <c r="D65" s="184"/>
      <c r="E65" s="184"/>
      <c r="F65" s="184"/>
      <c r="G65" s="184"/>
      <c r="H65" s="184"/>
      <c r="I65" s="184"/>
      <c r="J65" s="184"/>
      <c r="K65" s="184"/>
      <c r="L65" s="184"/>
    </row>
  </sheetData>
  <mergeCells count="32">
    <mergeCell ref="N4:R4"/>
    <mergeCell ref="A10:L10"/>
    <mergeCell ref="A9:L9"/>
    <mergeCell ref="A4:L4"/>
    <mergeCell ref="B25:L25"/>
    <mergeCell ref="A5:L5"/>
    <mergeCell ref="A11:L11"/>
    <mergeCell ref="A16:L16"/>
    <mergeCell ref="A15:L15"/>
    <mergeCell ref="A14:L14"/>
    <mergeCell ref="A6:L6"/>
    <mergeCell ref="A8:L8"/>
    <mergeCell ref="B22:L22"/>
    <mergeCell ref="A1:L1"/>
    <mergeCell ref="A12:L12"/>
    <mergeCell ref="B30:L30"/>
    <mergeCell ref="B28:L28"/>
    <mergeCell ref="B23:L23"/>
    <mergeCell ref="A7:L7"/>
    <mergeCell ref="B24:L24"/>
    <mergeCell ref="A65:L65"/>
    <mergeCell ref="A18:L18"/>
    <mergeCell ref="B19:L19"/>
    <mergeCell ref="B21:L21"/>
    <mergeCell ref="B26:L26"/>
    <mergeCell ref="B27:L27"/>
    <mergeCell ref="B31:L31"/>
    <mergeCell ref="B32:L32"/>
    <mergeCell ref="B34:L34"/>
    <mergeCell ref="B33:L33"/>
    <mergeCell ref="B20:L20"/>
    <mergeCell ref="B29:L29"/>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213</v>
      </c>
      <c r="D5" s="206"/>
      <c r="E5" s="206"/>
      <c r="F5" s="206"/>
      <c r="G5" s="206"/>
      <c r="M5" t="s">
        <v>304</v>
      </c>
    </row>
    <row r="6" spans="1:13" x14ac:dyDescent="0.35">
      <c r="A6" s="124" t="s">
        <v>40</v>
      </c>
      <c r="B6" s="124"/>
      <c r="C6" s="211" t="s">
        <v>214</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0" t="s">
        <v>40</v>
      </c>
      <c r="Q1" s="230"/>
      <c r="R1" s="230"/>
      <c r="S1" s="230"/>
      <c r="T1" s="230"/>
      <c r="U1" s="230"/>
      <c r="V1" s="230"/>
      <c r="W1" s="230"/>
      <c r="X1" s="230"/>
      <c r="Y1" s="230"/>
      <c r="AA1" s="230" t="s">
        <v>206</v>
      </c>
      <c r="AB1" s="230"/>
      <c r="AC1" s="230"/>
      <c r="AD1" s="230"/>
      <c r="AE1" s="230"/>
      <c r="AF1" s="230"/>
      <c r="AG1" s="230"/>
      <c r="AH1" s="230"/>
      <c r="AI1" s="230"/>
      <c r="AJ1" s="23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213</v>
      </c>
      <c r="D5" s="206"/>
      <c r="E5" s="206"/>
      <c r="F5" s="206"/>
      <c r="G5" s="206"/>
      <c r="M5" t="s">
        <v>304</v>
      </c>
    </row>
    <row r="6" spans="1:13" x14ac:dyDescent="0.35">
      <c r="A6" s="124" t="s">
        <v>40</v>
      </c>
      <c r="B6" s="124"/>
      <c r="C6" s="211" t="s">
        <v>214</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8" t="s">
        <v>147</v>
      </c>
      <c r="B9" s="124"/>
      <c r="C9" s="206" t="s">
        <v>215</v>
      </c>
      <c r="D9" s="206"/>
      <c r="E9" s="206"/>
      <c r="F9" s="206"/>
      <c r="G9" s="206"/>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311</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1" t="s">
        <v>233</v>
      </c>
      <c r="E3" s="231"/>
      <c r="F3" s="231" t="s">
        <v>234</v>
      </c>
      <c r="G3" s="231"/>
      <c r="H3" s="231"/>
      <c r="I3" s="231" t="s">
        <v>235</v>
      </c>
      <c r="J3" s="231"/>
      <c r="K3" s="231"/>
      <c r="M3" s="231" t="s">
        <v>41</v>
      </c>
      <c r="N3" s="231"/>
      <c r="O3" s="231"/>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B9"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266</v>
      </c>
    </row>
    <row r="2" spans="1:7" x14ac:dyDescent="0.35">
      <c r="A2" s="85" t="s">
        <v>267</v>
      </c>
    </row>
    <row r="4" spans="1:7" s="78" customFormat="1" ht="43.5" x14ac:dyDescent="0.35">
      <c r="A4" s="56" t="s">
        <v>268</v>
      </c>
      <c r="B4" s="56" t="s">
        <v>273</v>
      </c>
      <c r="C4" s="56" t="s">
        <v>274</v>
      </c>
      <c r="D4" s="57" t="s">
        <v>269</v>
      </c>
      <c r="E4" s="56" t="s">
        <v>294</v>
      </c>
      <c r="F4" s="56" t="s">
        <v>295</v>
      </c>
      <c r="G4" s="165" t="s">
        <v>366</v>
      </c>
    </row>
    <row r="5" spans="1:7"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7"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7" s="78" customFormat="1" ht="58" x14ac:dyDescent="0.35">
      <c r="A7" s="93">
        <v>3490</v>
      </c>
      <c r="B7" s="94" t="s">
        <v>282</v>
      </c>
      <c r="C7" s="94" t="s">
        <v>275</v>
      </c>
      <c r="D7" s="95" t="s">
        <v>272</v>
      </c>
      <c r="E7" s="120" t="str">
        <f>E6</f>
        <v>Highly uncertain</v>
      </c>
      <c r="F7" s="119" t="s">
        <v>296</v>
      </c>
      <c r="G7" s="166">
        <f>VLOOKUP(A7,'Powell-Elevation-Area'!$A$5:$B$689,2)/1000000</f>
        <v>3.9971625</v>
      </c>
    </row>
    <row r="8" spans="1:7" ht="72.5" x14ac:dyDescent="0.35">
      <c r="A8" s="96">
        <v>3525</v>
      </c>
      <c r="B8" s="97" t="s">
        <v>281</v>
      </c>
      <c r="C8" s="97" t="s">
        <v>275</v>
      </c>
      <c r="D8" s="98" t="s">
        <v>271</v>
      </c>
      <c r="E8" s="121" t="s">
        <v>298</v>
      </c>
      <c r="F8" s="121" t="s">
        <v>301</v>
      </c>
      <c r="G8" s="167">
        <f>VLOOKUP(A8,'Powell-Elevation-Area'!$A$5:$B$689,2)/1000000</f>
        <v>5.9265762500000001</v>
      </c>
    </row>
    <row r="9" spans="1:7" ht="43.5" x14ac:dyDescent="0.35">
      <c r="A9" s="99">
        <v>3600</v>
      </c>
      <c r="B9" s="100" t="s">
        <v>280</v>
      </c>
      <c r="C9" s="100" t="s">
        <v>275</v>
      </c>
      <c r="D9" s="101" t="s">
        <v>290</v>
      </c>
      <c r="E9" s="122" t="s">
        <v>291</v>
      </c>
      <c r="F9" s="122" t="str">
        <f>F8</f>
        <v>Help grow + incubate</v>
      </c>
      <c r="G9" s="168">
        <f>VLOOKUP(A9,'Powell-Elevation-Area'!$A$5:$B$689,2)/1000000</f>
        <v>11.750075000000001</v>
      </c>
    </row>
    <row r="10" spans="1:7" ht="101.5" x14ac:dyDescent="0.35">
      <c r="A10" s="102">
        <v>3675</v>
      </c>
      <c r="B10" s="103" t="s">
        <v>279</v>
      </c>
      <c r="C10" s="103" t="s">
        <v>275</v>
      </c>
      <c r="D10" s="104" t="s">
        <v>270</v>
      </c>
      <c r="E10" s="123" t="s">
        <v>300</v>
      </c>
      <c r="F10" s="123" t="s">
        <v>302</v>
      </c>
      <c r="G10" s="169">
        <f>VLOOKUP(A10,'Powell-Elevation-Area'!$A$5:$B$689,2)/1000000</f>
        <v>20.539037499999999</v>
      </c>
    </row>
    <row r="11" spans="1:7"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2"/>
      <c r="D5" s="232"/>
      <c r="E5" s="232"/>
      <c r="F5" s="232"/>
      <c r="G5" s="232"/>
      <c r="H5" s="232"/>
    </row>
    <row r="6" spans="1:11" x14ac:dyDescent="0.35">
      <c r="A6" s="16" t="s">
        <v>39</v>
      </c>
      <c r="B6" s="46"/>
      <c r="C6" s="232"/>
      <c r="D6" s="232"/>
      <c r="E6" s="232"/>
      <c r="F6" s="232"/>
      <c r="G6" s="232"/>
      <c r="H6" s="232"/>
    </row>
    <row r="7" spans="1:11" x14ac:dyDescent="0.35">
      <c r="A7" s="16" t="s">
        <v>40</v>
      </c>
      <c r="B7" s="46"/>
      <c r="C7" s="232"/>
      <c r="D7" s="232"/>
      <c r="E7" s="232"/>
      <c r="F7" s="232"/>
      <c r="G7" s="232"/>
      <c r="H7" s="232"/>
    </row>
    <row r="8" spans="1:11" x14ac:dyDescent="0.35">
      <c r="A8" s="16" t="s">
        <v>41</v>
      </c>
      <c r="B8" s="46"/>
      <c r="C8" s="232"/>
      <c r="D8" s="232"/>
      <c r="E8" s="232"/>
      <c r="F8" s="232"/>
      <c r="G8" s="232"/>
      <c r="H8" s="232"/>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zoomScale="280" zoomScaleNormal="280" workbookViewId="0">
      <selection activeCell="A2" sqref="A2"/>
    </sheetView>
  </sheetViews>
  <sheetFormatPr defaultRowHeight="14.5" x14ac:dyDescent="0.35"/>
  <cols>
    <col min="1" max="3" width="8.7265625" style="85"/>
    <col min="4" max="4" width="46.6328125" style="85" customWidth="1"/>
  </cols>
  <sheetData>
    <row r="1" spans="1:4" x14ac:dyDescent="0.35">
      <c r="A1" s="85" t="s">
        <v>422</v>
      </c>
    </row>
    <row r="3" spans="1:4" s="1" customFormat="1" x14ac:dyDescent="0.35">
      <c r="A3" s="237" t="s">
        <v>409</v>
      </c>
      <c r="B3" s="237"/>
      <c r="C3" s="237"/>
      <c r="D3" s="182" t="s">
        <v>408</v>
      </c>
    </row>
    <row r="4" spans="1:4" ht="29" x14ac:dyDescent="0.35">
      <c r="A4" s="233" t="s">
        <v>400</v>
      </c>
      <c r="B4" s="233"/>
      <c r="C4" s="233"/>
      <c r="D4" s="58" t="s">
        <v>407</v>
      </c>
    </row>
    <row r="5" spans="1:4" ht="43.5" x14ac:dyDescent="0.35">
      <c r="A5" s="234" t="s">
        <v>401</v>
      </c>
      <c r="B5" s="234"/>
      <c r="C5" s="234"/>
      <c r="D5" s="58" t="s">
        <v>406</v>
      </c>
    </row>
    <row r="6" spans="1:4" ht="58" x14ac:dyDescent="0.35">
      <c r="A6" s="235" t="s">
        <v>402</v>
      </c>
      <c r="B6" s="235"/>
      <c r="C6" s="235"/>
      <c r="D6" s="58" t="s">
        <v>405</v>
      </c>
    </row>
    <row r="7" spans="1:4" ht="29" x14ac:dyDescent="0.35">
      <c r="A7" s="236" t="s">
        <v>46</v>
      </c>
      <c r="B7" s="236"/>
      <c r="C7" s="236"/>
      <c r="D7" s="58" t="s">
        <v>404</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abSelected="1"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425</v>
      </c>
      <c r="D3" s="80" t="s">
        <v>152</v>
      </c>
      <c r="E3" s="80" t="s">
        <v>152</v>
      </c>
      <c r="F3" s="82"/>
      <c r="H3" s="58" t="s">
        <v>367</v>
      </c>
      <c r="I3" s="58" t="s">
        <v>152</v>
      </c>
      <c r="J3" s="60"/>
    </row>
    <row r="4" spans="1:10" ht="57" customHeight="1" x14ac:dyDescent="0.35">
      <c r="A4" s="80">
        <v>3.6</v>
      </c>
      <c r="B4" s="82">
        <v>44463</v>
      </c>
      <c r="C4" s="81" t="s">
        <v>389</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0"/>
  <sheetViews>
    <sheetView topLeftCell="A115" zoomScale="150" zoomScaleNormal="150" workbookViewId="0">
      <selection activeCell="C25" sqref="C25:E25"/>
    </sheetView>
  </sheetViews>
  <sheetFormatPr defaultRowHeight="14.5" x14ac:dyDescent="0.35"/>
  <cols>
    <col min="1" max="1" width="38.816406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393</v>
      </c>
      <c r="B2" s="1"/>
      <c r="N2"/>
    </row>
    <row r="3" spans="1:14" ht="32.15" customHeight="1" x14ac:dyDescent="0.35">
      <c r="A3" s="207" t="s">
        <v>396</v>
      </c>
      <c r="B3" s="207"/>
      <c r="C3" s="207"/>
      <c r="D3" s="207"/>
      <c r="E3" s="207"/>
      <c r="F3" s="207"/>
      <c r="G3" s="207"/>
      <c r="H3" s="114"/>
      <c r="I3" s="114"/>
      <c r="J3" s="114"/>
      <c r="K3" s="114"/>
      <c r="N3" s="181" t="s">
        <v>403</v>
      </c>
    </row>
    <row r="4" spans="1:14" x14ac:dyDescent="0.35">
      <c r="A4" s="173" t="s">
        <v>397</v>
      </c>
      <c r="B4" s="173" t="s">
        <v>42</v>
      </c>
      <c r="C4" s="208" t="s">
        <v>43</v>
      </c>
      <c r="D4" s="209"/>
      <c r="E4" s="209"/>
      <c r="F4" s="209"/>
      <c r="G4" s="210"/>
    </row>
    <row r="5" spans="1:14" x14ac:dyDescent="0.35">
      <c r="A5" s="124" t="s">
        <v>39</v>
      </c>
      <c r="B5" s="124"/>
      <c r="C5" s="211"/>
      <c r="D5" s="206"/>
      <c r="E5" s="206"/>
      <c r="F5" s="206"/>
      <c r="G5" s="206"/>
    </row>
    <row r="6" spans="1:14" x14ac:dyDescent="0.35">
      <c r="A6" s="124" t="s">
        <v>40</v>
      </c>
      <c r="B6" s="124"/>
      <c r="C6" s="211"/>
      <c r="D6" s="206"/>
      <c r="E6" s="206"/>
      <c r="F6" s="206"/>
      <c r="G6" s="206"/>
    </row>
    <row r="7" spans="1:14" x14ac:dyDescent="0.35">
      <c r="A7" s="124" t="s">
        <v>41</v>
      </c>
      <c r="B7" s="124"/>
      <c r="C7" s="211"/>
      <c r="D7" s="206"/>
      <c r="E7" s="206"/>
      <c r="F7" s="206"/>
      <c r="G7" s="206"/>
    </row>
    <row r="8" spans="1:14" x14ac:dyDescent="0.35">
      <c r="A8" s="156" t="s">
        <v>147</v>
      </c>
      <c r="B8" s="155"/>
      <c r="C8" s="206"/>
      <c r="D8" s="206"/>
      <c r="E8" s="206"/>
      <c r="F8" s="206"/>
      <c r="G8" s="206"/>
    </row>
    <row r="9" spans="1:14" x14ac:dyDescent="0.35">
      <c r="A9" s="124"/>
      <c r="B9" s="124"/>
      <c r="C9" s="212"/>
      <c r="D9" s="212"/>
      <c r="E9" s="212"/>
      <c r="F9" s="212"/>
      <c r="G9" s="212"/>
    </row>
    <row r="10" spans="1:14" x14ac:dyDescent="0.35">
      <c r="A10" s="157" t="s">
        <v>156</v>
      </c>
      <c r="B10" s="157"/>
      <c r="C10" s="213"/>
      <c r="D10" s="213"/>
      <c r="E10" s="213"/>
      <c r="F10" s="213"/>
      <c r="G10" s="213"/>
    </row>
    <row r="11" spans="1:14" x14ac:dyDescent="0.35">
      <c r="A11" s="16"/>
      <c r="B11" s="2"/>
      <c r="C11"/>
    </row>
    <row r="12" spans="1:14" x14ac:dyDescent="0.35">
      <c r="A12" s="19" t="s">
        <v>398</v>
      </c>
      <c r="B12" s="214" t="s">
        <v>400</v>
      </c>
      <c r="C12" s="215"/>
      <c r="D12" s="216"/>
    </row>
    <row r="13" spans="1:14" x14ac:dyDescent="0.35">
      <c r="B13" s="217" t="s">
        <v>401</v>
      </c>
      <c r="C13" s="218"/>
      <c r="D13" s="219"/>
    </row>
    <row r="14" spans="1:14" x14ac:dyDescent="0.35">
      <c r="B14" s="198" t="s">
        <v>402</v>
      </c>
      <c r="C14" s="199"/>
      <c r="D14" s="200"/>
    </row>
    <row r="15" spans="1:14" x14ac:dyDescent="0.35">
      <c r="B15" s="201" t="s">
        <v>46</v>
      </c>
      <c r="C15" s="202"/>
      <c r="D15" s="203"/>
    </row>
    <row r="17" spans="1:14" x14ac:dyDescent="0.35">
      <c r="A17" s="1" t="s">
        <v>399</v>
      </c>
      <c r="B17" s="1" t="s">
        <v>109</v>
      </c>
      <c r="C17" s="13" t="s">
        <v>110</v>
      </c>
    </row>
    <row r="18" spans="1:14" x14ac:dyDescent="0.35">
      <c r="A18" t="s">
        <v>108</v>
      </c>
      <c r="B18" s="150">
        <v>5.73</v>
      </c>
      <c r="C18" s="150">
        <v>6</v>
      </c>
      <c r="D18" s="23" t="s">
        <v>111</v>
      </c>
    </row>
    <row r="19" spans="1:14" x14ac:dyDescent="0.35">
      <c r="A19" t="s">
        <v>140</v>
      </c>
      <c r="B19" s="150">
        <v>7.2</v>
      </c>
      <c r="C19" s="150">
        <v>9</v>
      </c>
      <c r="D19" s="183" t="s">
        <v>411</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0">
        <v>78.099999999999994</v>
      </c>
      <c r="C22"/>
      <c r="D22" s="152"/>
      <c r="E22" s="45"/>
    </row>
    <row r="23" spans="1:14" x14ac:dyDescent="0.35">
      <c r="B23" s="45"/>
    </row>
    <row r="24" spans="1:14" s="1" customFormat="1" x14ac:dyDescent="0.35">
      <c r="A24" s="137" t="s">
        <v>383</v>
      </c>
      <c r="B24" s="138" t="s">
        <v>48</v>
      </c>
      <c r="C24" s="138" t="s">
        <v>5</v>
      </c>
      <c r="D24" s="138" t="s">
        <v>6</v>
      </c>
      <c r="E24" s="138" t="s">
        <v>7</v>
      </c>
      <c r="F24" s="138" t="s">
        <v>8</v>
      </c>
      <c r="G24" s="138" t="s">
        <v>9</v>
      </c>
      <c r="H24" s="138" t="s">
        <v>10</v>
      </c>
      <c r="I24" s="138" t="s">
        <v>11</v>
      </c>
      <c r="J24" s="138" t="s">
        <v>12</v>
      </c>
      <c r="K24" s="138" t="s">
        <v>36</v>
      </c>
      <c r="L24" s="138" t="s">
        <v>37</v>
      </c>
      <c r="M24" s="138" t="s">
        <v>106</v>
      </c>
      <c r="N24" s="175" t="s">
        <v>171</v>
      </c>
    </row>
    <row r="25" spans="1:14" x14ac:dyDescent="0.35">
      <c r="A25" s="170" t="s">
        <v>378</v>
      </c>
      <c r="B25" s="1"/>
      <c r="C25" s="132"/>
      <c r="D25" s="132"/>
      <c r="E25" s="132"/>
      <c r="F25" s="132"/>
      <c r="G25" s="132"/>
      <c r="H25" s="132"/>
      <c r="I25" s="132"/>
      <c r="J25" s="132"/>
      <c r="K25" s="132"/>
      <c r="L25" s="132"/>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70" t="s">
        <v>379</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s="174"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s="174"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s="174"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4" t="s">
        <v>175</v>
      </c>
    </row>
    <row r="36" spans="1:14" x14ac:dyDescent="0.35">
      <c r="A36" s="1" t="s">
        <v>394</v>
      </c>
      <c r="C36"/>
      <c r="N36" s="174" t="s">
        <v>395</v>
      </c>
    </row>
    <row r="37" spans="1:14" x14ac:dyDescent="0.35">
      <c r="A37" t="s">
        <v>112</v>
      </c>
      <c r="C37" s="14" t="str">
        <f>IF(C$25&lt;&gt;"",IF(COLUMN(C24)=COLUMN($C24),$B$19,B129),"")</f>
        <v/>
      </c>
      <c r="D37" s="14" t="str">
        <f t="shared" ref="D37:L37" si="8">IF(D$25&lt;&gt;"",IF(COLUMN(D24)=COLUMN($C24),$B$19,C129),"")</f>
        <v/>
      </c>
      <c r="E37" s="14" t="str">
        <f t="shared" si="8"/>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IF(C$25&lt;&gt;"",IF(COLUMN(C25)=COLUMN($C25),$C$19,B130),"")</f>
        <v/>
      </c>
      <c r="D38" s="14" t="str">
        <f t="shared" ref="D38:L38" si="9">IF(D$25&lt;&gt;"",IF(COLUMN(D25)=COLUMN($C25),$C$19,C130),"")</f>
        <v/>
      </c>
      <c r="E38" s="14" t="str">
        <f t="shared" si="9"/>
        <v/>
      </c>
      <c r="F38" s="14" t="str">
        <f t="shared" si="9"/>
        <v/>
      </c>
      <c r="G38" s="14" t="str">
        <f t="shared" si="9"/>
        <v/>
      </c>
      <c r="H38" s="14" t="str">
        <f t="shared" si="9"/>
        <v/>
      </c>
      <c r="I38" s="14" t="str">
        <f t="shared" si="9"/>
        <v/>
      </c>
      <c r="J38" s="14" t="str">
        <f t="shared" si="9"/>
        <v/>
      </c>
      <c r="K38" s="14" t="str">
        <f t="shared" si="9"/>
        <v/>
      </c>
      <c r="L38" s="14" t="str">
        <f t="shared" si="9"/>
        <v/>
      </c>
    </row>
    <row r="39" spans="1:14" x14ac:dyDescent="0.35">
      <c r="A39" s="1" t="s">
        <v>380</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10">IF(A5="","","    "&amp;A5&amp;" Share")</f>
        <v xml:space="preserve">    Upper Basin Share</v>
      </c>
      <c r="B40" s="1"/>
      <c r="C40" s="14" t="str">
        <f t="shared" ref="C40:L40" si="11">IF(OR(C$25="",$A40=""),"",C$39*C30/C$29)</f>
        <v/>
      </c>
      <c r="D40" s="14" t="str">
        <f t="shared" si="11"/>
        <v/>
      </c>
      <c r="E40" s="14" t="str">
        <f t="shared" si="11"/>
        <v/>
      </c>
      <c r="F40" s="14" t="str">
        <f t="shared" si="11"/>
        <v/>
      </c>
      <c r="G40" s="14" t="str">
        <f t="shared" si="11"/>
        <v/>
      </c>
      <c r="H40" s="14" t="str">
        <f t="shared" si="11"/>
        <v/>
      </c>
      <c r="I40" s="14" t="str">
        <f t="shared" si="11"/>
        <v/>
      </c>
      <c r="J40" s="14" t="str">
        <f t="shared" si="11"/>
        <v/>
      </c>
      <c r="K40" s="14" t="str">
        <f t="shared" si="11"/>
        <v/>
      </c>
      <c r="L40" s="14" t="str">
        <f t="shared" si="11"/>
        <v/>
      </c>
    </row>
    <row r="41" spans="1:14" x14ac:dyDescent="0.35">
      <c r="A41" t="str">
        <f t="shared" si="10"/>
        <v xml:space="preserve">    Lower Basin Share</v>
      </c>
      <c r="B41" s="1"/>
      <c r="C41" s="14" t="str">
        <f t="shared" ref="C41:L41" si="12">IF(OR(C$25="",$A41=""),"",C$39*C31/C$29)</f>
        <v/>
      </c>
      <c r="D41" s="14" t="str">
        <f t="shared" si="12"/>
        <v/>
      </c>
      <c r="E41" s="14" t="str">
        <f t="shared" si="12"/>
        <v/>
      </c>
      <c r="F41" s="14" t="str">
        <f t="shared" si="12"/>
        <v/>
      </c>
      <c r="G41" s="14" t="str">
        <f t="shared" si="12"/>
        <v/>
      </c>
      <c r="H41" s="14" t="str">
        <f t="shared" si="12"/>
        <v/>
      </c>
      <c r="I41" s="14" t="str">
        <f t="shared" si="12"/>
        <v/>
      </c>
      <c r="J41" s="14" t="str">
        <f t="shared" si="12"/>
        <v/>
      </c>
      <c r="K41" s="14" t="str">
        <f t="shared" si="12"/>
        <v/>
      </c>
      <c r="L41" s="14" t="str">
        <f t="shared" si="12"/>
        <v/>
      </c>
    </row>
    <row r="42" spans="1:14" x14ac:dyDescent="0.35">
      <c r="A42" t="str">
        <f t="shared" si="10"/>
        <v xml:space="preserve">    Mexico Share</v>
      </c>
      <c r="B42" s="1"/>
      <c r="C42" s="14" t="str">
        <f t="shared" ref="C42:L42" si="13">IF(OR(C$25="",$A42=""),"",C$39*C32/C$29)</f>
        <v/>
      </c>
      <c r="D42" s="14" t="str">
        <f t="shared" si="13"/>
        <v/>
      </c>
      <c r="E42" s="14" t="str">
        <f t="shared" si="13"/>
        <v/>
      </c>
      <c r="F42" s="14" t="str">
        <f t="shared" si="13"/>
        <v/>
      </c>
      <c r="G42" s="14" t="str">
        <f t="shared" si="13"/>
        <v/>
      </c>
      <c r="H42" s="14" t="str">
        <f t="shared" si="13"/>
        <v/>
      </c>
      <c r="I42" s="14" t="str">
        <f t="shared" si="13"/>
        <v/>
      </c>
      <c r="J42" s="14" t="str">
        <f t="shared" si="13"/>
        <v/>
      </c>
      <c r="K42" s="14" t="str">
        <f t="shared" si="13"/>
        <v/>
      </c>
      <c r="L42" s="14" t="str">
        <f t="shared" si="13"/>
        <v/>
      </c>
    </row>
    <row r="43" spans="1:14" x14ac:dyDescent="0.35">
      <c r="A43" t="str">
        <f t="shared" si="10"/>
        <v xml:space="preserve">    Colorado River Delta Share</v>
      </c>
      <c r="B43" s="1"/>
      <c r="C43" s="14" t="str">
        <f t="shared" ref="C43:L43" si="14">IF(OR(C$25="",$A43=""),"",C$39*C33/C$29)</f>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0"/>
        <v/>
      </c>
      <c r="B44" s="1"/>
      <c r="C44" s="14" t="str">
        <f t="shared" ref="C44:L44" si="15">IF(OR(C$25="",$A44=""),"",C$39*C34/C$29)</f>
        <v/>
      </c>
      <c r="D44" s="14" t="str">
        <f t="shared" si="15"/>
        <v/>
      </c>
      <c r="E44" s="14" t="str">
        <f t="shared" si="15"/>
        <v/>
      </c>
      <c r="F44" s="14" t="str">
        <f t="shared" si="15"/>
        <v/>
      </c>
      <c r="G44" s="14" t="str">
        <f t="shared" si="15"/>
        <v/>
      </c>
      <c r="H44" s="14" t="str">
        <f t="shared" si="15"/>
        <v/>
      </c>
      <c r="I44" s="14" t="str">
        <f t="shared" si="15"/>
        <v/>
      </c>
      <c r="J44" s="14" t="str">
        <f t="shared" si="15"/>
        <v/>
      </c>
      <c r="K44" s="14" t="str">
        <f t="shared" si="15"/>
        <v/>
      </c>
      <c r="L44" s="14" t="str">
        <f t="shared" si="15"/>
        <v/>
      </c>
    </row>
    <row r="45" spans="1:14" x14ac:dyDescent="0.35">
      <c r="A45" t="str">
        <f t="shared" si="10"/>
        <v xml:space="preserve">    Shared, Reserve Share</v>
      </c>
      <c r="B45" s="1"/>
      <c r="C45" s="14" t="str">
        <f t="shared" ref="C45:L45" si="16">IF(OR(C$25="",$A45=""),"",C$39*C35/C$29)</f>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381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c r="N46" s="174" t="s">
        <v>341</v>
      </c>
    </row>
    <row r="47" spans="1:14" x14ac:dyDescent="0.35">
      <c r="A47" s="170" t="s">
        <v>382</v>
      </c>
      <c r="B47" s="1"/>
      <c r="C47" s="51" t="str">
        <f>IF(C25="","",SUM(C25:C27)-C28)</f>
        <v/>
      </c>
      <c r="D47" s="51" t="str">
        <f t="shared" ref="D47:L47" si="17">IF(D25="","",SUM(D25:D27)-D28)</f>
        <v/>
      </c>
      <c r="E47" s="51" t="str">
        <f t="shared" si="17"/>
        <v/>
      </c>
      <c r="F47" s="51" t="str">
        <f t="shared" si="17"/>
        <v/>
      </c>
      <c r="G47" s="51" t="str">
        <f t="shared" si="17"/>
        <v/>
      </c>
      <c r="H47" s="51" t="str">
        <f t="shared" si="17"/>
        <v/>
      </c>
      <c r="I47" s="51" t="str">
        <f t="shared" si="17"/>
        <v/>
      </c>
      <c r="J47" s="51" t="str">
        <f t="shared" si="17"/>
        <v/>
      </c>
      <c r="K47" s="51" t="str">
        <f t="shared" si="17"/>
        <v/>
      </c>
      <c r="L47" s="51" t="str">
        <f t="shared" si="17"/>
        <v/>
      </c>
      <c r="M47" s="45"/>
      <c r="N47" s="176"/>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L48" si="19">IF(OR(E$25="",$A48=""),"",MAX(0,E25-$B$49-E46/2-E53*$B$21/SUM($B$21:$C$21)))</f>
        <v/>
      </c>
      <c r="F48" s="108" t="str">
        <f t="shared" si="19"/>
        <v/>
      </c>
      <c r="G48" s="108" t="str">
        <f t="shared" si="19"/>
        <v/>
      </c>
      <c r="H48" s="108" t="str">
        <f t="shared" si="19"/>
        <v/>
      </c>
      <c r="I48" s="108" t="str">
        <f t="shared" si="19"/>
        <v/>
      </c>
      <c r="J48" s="108" t="str">
        <f t="shared" si="19"/>
        <v/>
      </c>
      <c r="K48" s="108" t="str">
        <f t="shared" si="19"/>
        <v/>
      </c>
      <c r="L48" s="108" t="str">
        <f t="shared" si="19"/>
        <v/>
      </c>
      <c r="M48" s="29"/>
      <c r="N48" s="177" t="s">
        <v>352</v>
      </c>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0">IF(OR(F$25="",$A49=""),"",F26+F27-F28-F53*IF($B49&lt;F25-F50/2,$C$21/SUM($B$21:$C$21),1)-F50/2+MIN($B49,F25-F50/2))</f>
        <v/>
      </c>
      <c r="G49" s="108" t="str">
        <f t="shared" si="20"/>
        <v/>
      </c>
      <c r="H49" s="108" t="str">
        <f t="shared" si="20"/>
        <v/>
      </c>
      <c r="I49" s="108" t="str">
        <f t="shared" si="20"/>
        <v/>
      </c>
      <c r="J49" s="108" t="str">
        <f t="shared" si="20"/>
        <v/>
      </c>
      <c r="K49" s="108" t="str">
        <f t="shared" si="20"/>
        <v/>
      </c>
      <c r="L49" s="108" t="str">
        <f t="shared" si="20"/>
        <v/>
      </c>
      <c r="M49" s="29"/>
      <c r="N49" s="178"/>
    </row>
    <row r="50" spans="1:14" x14ac:dyDescent="0.35">
      <c r="A50" t="str">
        <f t="shared" si="18"/>
        <v xml:space="preserve">    To Mexico</v>
      </c>
      <c r="B50" s="130" t="s">
        <v>340</v>
      </c>
      <c r="C50" s="108" t="str">
        <f>IF(OR(C$25="",$A50=""),"",IF(C$47&gt;SUM(C51:C53,C46),C46,C$47-SUM(C51:C53)))</f>
        <v/>
      </c>
      <c r="D50" s="108" t="str">
        <f>IF(OR(D$25="",$A50=""),"",IF(D$47&gt;SUM(D51:D53,D46),D46,D$47-SUM(D51:D53)))</f>
        <v/>
      </c>
      <c r="E50" s="108" t="str">
        <f t="shared" ref="E50:L50" si="21">IF(OR(E$25="",$A50=""),"",IF(E$47&gt;SUM(E51:E53,E46),E46,E$47-SUM(E51:E52)))</f>
        <v/>
      </c>
      <c r="F50" s="108" t="str">
        <f t="shared" si="21"/>
        <v/>
      </c>
      <c r="G50" s="108" t="str">
        <f t="shared" si="21"/>
        <v/>
      </c>
      <c r="H50" s="108" t="str">
        <f t="shared" si="21"/>
        <v/>
      </c>
      <c r="I50" s="108" t="str">
        <f t="shared" si="21"/>
        <v/>
      </c>
      <c r="J50" s="108" t="str">
        <f t="shared" si="21"/>
        <v/>
      </c>
      <c r="K50" s="108" t="str">
        <f t="shared" si="21"/>
        <v/>
      </c>
      <c r="L50" s="108" t="str">
        <f t="shared" si="21"/>
        <v/>
      </c>
      <c r="M50" s="29"/>
      <c r="N50" s="177" t="s">
        <v>342</v>
      </c>
    </row>
    <row r="51" spans="1:14" x14ac:dyDescent="0.35">
      <c r="A51" t="str">
        <f t="shared" si="18"/>
        <v xml:space="preserve">    To Colorado River Delta</v>
      </c>
      <c r="B51" s="139">
        <f>0.21/9*(2/3)</f>
        <v>1.5555555555555553E-2</v>
      </c>
      <c r="C51" s="140" t="str">
        <f>IF(OR(C$25="",$A51=""),"",MIN($B51,C$47-SUM(C52:C53)))</f>
        <v/>
      </c>
      <c r="D51" s="140" t="str">
        <f t="shared" ref="D51:L51" si="22">IF(OR(D$25="",$A51=""),"",MIN($B51,D$47-SUM(D52:D53)))</f>
        <v/>
      </c>
      <c r="E51" s="140" t="str">
        <f t="shared" si="22"/>
        <v/>
      </c>
      <c r="F51" s="140" t="str">
        <f t="shared" si="22"/>
        <v/>
      </c>
      <c r="G51" s="140" t="str">
        <f t="shared" si="22"/>
        <v/>
      </c>
      <c r="H51" s="140" t="str">
        <f t="shared" si="22"/>
        <v/>
      </c>
      <c r="I51" s="140" t="str">
        <f t="shared" si="22"/>
        <v/>
      </c>
      <c r="J51" s="140" t="str">
        <f t="shared" si="22"/>
        <v/>
      </c>
      <c r="K51" s="140" t="str">
        <f t="shared" si="22"/>
        <v/>
      </c>
      <c r="L51" s="140" t="str">
        <f t="shared" si="22"/>
        <v/>
      </c>
      <c r="M51" s="29"/>
      <c r="N51" s="177" t="s">
        <v>339</v>
      </c>
    </row>
    <row r="52" spans="1:14" x14ac:dyDescent="0.35">
      <c r="A52" t="str">
        <f t="shared" si="18"/>
        <v/>
      </c>
      <c r="B52" s="130"/>
      <c r="C52" s="108"/>
      <c r="D52" s="108"/>
      <c r="E52" s="108"/>
      <c r="F52" s="108"/>
      <c r="G52" s="108"/>
      <c r="H52" s="108"/>
      <c r="I52" s="108"/>
      <c r="J52" s="108"/>
      <c r="K52" s="108"/>
      <c r="L52" s="108"/>
      <c r="M52" s="29"/>
      <c r="N52" s="178"/>
    </row>
    <row r="53" spans="1:14" x14ac:dyDescent="0.35">
      <c r="A53" t="str">
        <f t="shared" si="18"/>
        <v xml:space="preserve">    To Shared, Reserve</v>
      </c>
      <c r="B53" s="130" t="s">
        <v>353</v>
      </c>
      <c r="C53" s="108" t="str">
        <f>IF(OR(C$25="",$A53=""),"",IF(C$47&gt;C45,C45,C47))</f>
        <v/>
      </c>
      <c r="D53" s="108" t="str">
        <f>IF(OR(D$25="",$A53=""),"",IF(D$47&gt;D45,D45,D47))</f>
        <v/>
      </c>
      <c r="E53" s="108" t="str">
        <f t="shared" ref="E53:L53" si="23">IF(OR(E$25="",$A53=""),"",IF(E$47&gt;E45,E45,E47))</f>
        <v/>
      </c>
      <c r="F53" s="108" t="str">
        <f t="shared" si="23"/>
        <v/>
      </c>
      <c r="G53" s="108" t="str">
        <f t="shared" si="23"/>
        <v/>
      </c>
      <c r="H53" s="108" t="str">
        <f t="shared" si="23"/>
        <v/>
      </c>
      <c r="I53" s="108" t="str">
        <f t="shared" si="23"/>
        <v/>
      </c>
      <c r="J53" s="108" t="str">
        <f t="shared" si="23"/>
        <v/>
      </c>
      <c r="K53" s="108" t="str">
        <f t="shared" si="23"/>
        <v/>
      </c>
      <c r="L53" s="108" t="str">
        <f t="shared" si="23"/>
        <v/>
      </c>
      <c r="M53" s="29"/>
      <c r="N53" s="178"/>
    </row>
    <row r="54" spans="1:14" x14ac:dyDescent="0.35">
      <c r="B54" s="159"/>
      <c r="C54" s="29"/>
      <c r="D54" s="29"/>
      <c r="E54" s="29"/>
      <c r="F54" s="159"/>
      <c r="G54" s="45"/>
    </row>
    <row r="55" spans="1:14" x14ac:dyDescent="0.35">
      <c r="A55" s="136" t="s">
        <v>180</v>
      </c>
      <c r="B55" s="133"/>
      <c r="C55" s="133"/>
      <c r="D55" s="133"/>
      <c r="E55" s="133"/>
      <c r="F55" s="133"/>
      <c r="G55" s="133"/>
      <c r="H55" s="133"/>
      <c r="I55" s="133"/>
      <c r="J55" s="133"/>
      <c r="K55" s="133"/>
      <c r="L55" s="133"/>
      <c r="M55" s="133"/>
    </row>
    <row r="56" spans="1:14" x14ac:dyDescent="0.35">
      <c r="A56" s="162" t="str">
        <f>IF(A$5="[Unused]","",A5)</f>
        <v>Upper Basin</v>
      </c>
      <c r="B56" s="134"/>
      <c r="C56" s="134"/>
      <c r="D56" s="134"/>
      <c r="E56" s="134"/>
      <c r="F56" s="134"/>
      <c r="G56" s="134"/>
      <c r="H56" s="134"/>
      <c r="I56" s="134"/>
      <c r="J56" s="134"/>
      <c r="K56" s="134"/>
      <c r="L56" s="134"/>
      <c r="M56" s="135" t="s">
        <v>106</v>
      </c>
      <c r="N56" s="174" t="s">
        <v>171</v>
      </c>
    </row>
    <row r="57" spans="1:14" x14ac:dyDescent="0.35">
      <c r="A57" s="171" t="str">
        <f>IF(A56="[Unused]","","   Purchase(+) or Sell(-) water [maf]")</f>
        <v xml:space="preserve">   Purchase(+) or Sell(-) water [maf]</v>
      </c>
      <c r="C57" s="125"/>
      <c r="D57" s="125">
        <v>0.8</v>
      </c>
      <c r="E57" s="125">
        <v>0.8</v>
      </c>
      <c r="F57" s="125"/>
      <c r="G57" s="125"/>
      <c r="H57" s="125"/>
      <c r="I57" s="125"/>
      <c r="J57" s="125"/>
      <c r="K57" s="125"/>
      <c r="L57" s="125"/>
      <c r="M57" s="67">
        <f>SUM(C57:L57)</f>
        <v>1.6</v>
      </c>
      <c r="N57" s="174" t="str">
        <f>IF(A57="","","Add if multiple transactions, e.g.: 0.5 + 0.25")</f>
        <v>Add if multiple transactions, e.g.: 0.5 + 0.25</v>
      </c>
    </row>
    <row r="58" spans="1:14" x14ac:dyDescent="0.35">
      <c r="A58" s="171" t="str">
        <f>IF(A57="","","   Pay(-) or receive Income(+) [$ Mill]")</f>
        <v xml:space="preserve">   Pay(-) or receive Income(+) [$ Mill]</v>
      </c>
      <c r="C58" s="126"/>
      <c r="D58" s="126"/>
      <c r="E58" s="126"/>
      <c r="F58" s="125"/>
      <c r="G58" s="126"/>
      <c r="H58" s="126"/>
      <c r="I58" s="126"/>
      <c r="J58" s="126"/>
      <c r="K58" s="126"/>
      <c r="L58" s="126"/>
      <c r="M58" s="65">
        <f>SUM(C58:L58)</f>
        <v>0</v>
      </c>
      <c r="N58" s="174"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4">IF(OR(C$25="",$A59=""),"",C$112)</f>
        <v/>
      </c>
      <c r="D59" s="67" t="str">
        <f t="shared" si="24"/>
        <v/>
      </c>
      <c r="E59" s="67" t="str">
        <f t="shared" si="24"/>
        <v/>
      </c>
      <c r="F59" s="67" t="str">
        <f t="shared" si="24"/>
        <v/>
      </c>
      <c r="G59" s="67" t="str">
        <f t="shared" si="24"/>
        <v/>
      </c>
      <c r="H59" s="67" t="str">
        <f t="shared" si="24"/>
        <v/>
      </c>
      <c r="I59" s="67" t="str">
        <f t="shared" si="24"/>
        <v/>
      </c>
      <c r="J59" s="67" t="str">
        <f t="shared" si="24"/>
        <v/>
      </c>
      <c r="K59" s="67" t="str">
        <f t="shared" si="24"/>
        <v/>
      </c>
      <c r="L59" s="67" t="str">
        <f t="shared" si="24"/>
        <v/>
      </c>
      <c r="M59" t="str">
        <f t="shared" si="24"/>
        <v/>
      </c>
      <c r="N59" s="174"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25">IF(OR(D$25="",$A60=""),"",D30+D48-D40+D57)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s="174" t="str">
        <f>IF(A60="","","Available water = Account Balance + Available Inflow - Evaporation + Sales - Purchases")</f>
        <v>Available water = Account Balance + Available Inflow - Evaporation + Sales - Purchases</v>
      </c>
    </row>
    <row r="61" spans="1:14" x14ac:dyDescent="0.35">
      <c r="A61" s="170" t="str">
        <f>IF(A60="","","   5. Withdraw [maf] within available water")</f>
        <v xml:space="preserve">   5. Withdraw [maf] within available water</v>
      </c>
      <c r="C61" s="127">
        <v>3</v>
      </c>
      <c r="D61" s="127">
        <v>1.1000000000000001</v>
      </c>
      <c r="E61" s="127">
        <v>1.4</v>
      </c>
      <c r="F61" s="127"/>
      <c r="G61" s="127"/>
      <c r="H61" s="127"/>
      <c r="I61" s="127"/>
      <c r="J61" s="127"/>
      <c r="K61" s="127"/>
      <c r="L61" s="127"/>
      <c r="N61" s="174"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26">IF(OR(D$25="",$A62=""),"",D60-D61)</f>
        <v/>
      </c>
      <c r="E62" s="66" t="str">
        <f t="shared" si="26"/>
        <v/>
      </c>
      <c r="F62" s="66" t="str">
        <f t="shared" si="26"/>
        <v/>
      </c>
      <c r="G62" s="66" t="str">
        <f t="shared" si="26"/>
        <v/>
      </c>
      <c r="H62" s="66" t="str">
        <f t="shared" si="26"/>
        <v/>
      </c>
      <c r="I62" s="66" t="str">
        <f t="shared" si="26"/>
        <v/>
      </c>
      <c r="J62" s="66" t="str">
        <f t="shared" si="26"/>
        <v/>
      </c>
      <c r="K62" s="66" t="str">
        <f t="shared" si="26"/>
        <v/>
      </c>
      <c r="L62" s="66" t="str">
        <f t="shared" si="26"/>
        <v/>
      </c>
      <c r="N62" s="174" t="str">
        <f>IF(A62="","","Available water - Account Withdraw")</f>
        <v>Available water - Account Withdraw</v>
      </c>
    </row>
    <row r="63" spans="1:14" x14ac:dyDescent="0.35">
      <c r="C63"/>
    </row>
    <row r="64" spans="1:14" x14ac:dyDescent="0.35">
      <c r="A64" s="162" t="str">
        <f>IF(A$6="","[Unused]",A6)</f>
        <v>Lower Basin</v>
      </c>
      <c r="B64" s="134"/>
      <c r="C64" s="134"/>
      <c r="D64" s="134"/>
      <c r="E64" s="134"/>
      <c r="F64" s="134"/>
      <c r="G64" s="134"/>
      <c r="H64" s="134"/>
      <c r="I64" s="134"/>
      <c r="J64" s="134"/>
      <c r="K64" s="134"/>
      <c r="L64" s="134"/>
      <c r="M64" s="135" t="s">
        <v>106</v>
      </c>
      <c r="N64" s="174" t="s">
        <v>171</v>
      </c>
    </row>
    <row r="65" spans="1:14" x14ac:dyDescent="0.35">
      <c r="A65" s="171" t="str">
        <f>IF(A64="[Unused]","",$A$57)</f>
        <v xml:space="preserve">   Purchase(+) or Sell(-) water [maf]</v>
      </c>
      <c r="C65" s="125">
        <v>0.2</v>
      </c>
      <c r="D65" s="125">
        <v>-0.8</v>
      </c>
      <c r="E65" s="125">
        <v>-0.8</v>
      </c>
      <c r="F65" s="125"/>
      <c r="G65" s="125"/>
      <c r="H65" s="125"/>
      <c r="I65" s="125"/>
      <c r="J65" s="125"/>
      <c r="K65" s="125"/>
      <c r="L65" s="125"/>
      <c r="M65" s="67">
        <f>SUM(C65:L65)</f>
        <v>-1.4000000000000001</v>
      </c>
      <c r="N65" s="174" t="str">
        <f>IF(A65="","",N57)</f>
        <v>Add if multiple transactions, e.g.: 0.5 + 0.25</v>
      </c>
    </row>
    <row r="66" spans="1:14" x14ac:dyDescent="0.35">
      <c r="A66" s="171" t="str">
        <f>IF(A65="","",$A$58)</f>
        <v xml:space="preserve">   Pay(-) or receive Income(+) [$ Mill]</v>
      </c>
      <c r="C66" s="126"/>
      <c r="D66" s="126"/>
      <c r="E66" s="126"/>
      <c r="F66" s="126"/>
      <c r="G66" s="126"/>
      <c r="H66" s="126"/>
      <c r="I66" s="126"/>
      <c r="J66" s="126"/>
      <c r="K66" s="126"/>
      <c r="L66" s="126"/>
      <c r="M66" s="65">
        <f>SUM(C66:L66)</f>
        <v>0</v>
      </c>
      <c r="N66" s="174" t="str">
        <f t="shared" ref="N66:N70" si="27">IF(A66="","",N58)</f>
        <v>Add if multiple transactions, e.g.: $350*0.5 + $450*0.25</v>
      </c>
    </row>
    <row r="67" spans="1:14" x14ac:dyDescent="0.35">
      <c r="A67" s="32" t="str">
        <f>IF(A66="","","   Volume all players (should be zero)")</f>
        <v xml:space="preserve">   Volume all players (should be zero)</v>
      </c>
      <c r="C67" s="67" t="str">
        <f t="shared" ref="C67:M67" si="28">IF(OR(C$25="",$A67=""),"",C$112)</f>
        <v/>
      </c>
      <c r="D67" s="67" t="str">
        <f t="shared" si="28"/>
        <v/>
      </c>
      <c r="E67" s="67" t="str">
        <f t="shared" si="28"/>
        <v/>
      </c>
      <c r="F67" s="67" t="str">
        <f t="shared" si="28"/>
        <v/>
      </c>
      <c r="G67" s="67" t="str">
        <f t="shared" si="28"/>
        <v/>
      </c>
      <c r="H67" s="67" t="str">
        <f t="shared" si="28"/>
        <v/>
      </c>
      <c r="I67" s="67" t="str">
        <f t="shared" si="28"/>
        <v/>
      </c>
      <c r="J67" s="67" t="str">
        <f t="shared" si="28"/>
        <v/>
      </c>
      <c r="K67" s="67" t="str">
        <f t="shared" si="28"/>
        <v/>
      </c>
      <c r="L67" s="67" t="str">
        <f t="shared" si="28"/>
        <v/>
      </c>
      <c r="M67" t="str">
        <f t="shared" si="28"/>
        <v/>
      </c>
      <c r="N67" s="174" t="str">
        <f t="shared" si="27"/>
        <v>If non-zero, players need to change amount(s)</v>
      </c>
    </row>
    <row r="68" spans="1:14" x14ac:dyDescent="0.35">
      <c r="A68" s="1" t="str">
        <f>IF(A66="","","   Available Water [maf]")</f>
        <v xml:space="preserve">   Available Water [maf]</v>
      </c>
      <c r="C68" s="14" t="str">
        <f>IF(OR(C$25="",$A68=""),"",C31+C49-C41+C65)</f>
        <v/>
      </c>
      <c r="D68" s="14" t="str">
        <f t="shared" ref="D68:L68" si="29">IF(OR(D$25="",$A68=""),"",D31+D49-D41+D65)</f>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s="174" t="str">
        <f t="shared" si="27"/>
        <v>Available water = Account Balance + Available Inflow - Evaporation + Sales - Purchases</v>
      </c>
    </row>
    <row r="69" spans="1:14" x14ac:dyDescent="0.35">
      <c r="A69" s="170" t="str">
        <f>IF(A68="","",$A$61)</f>
        <v xml:space="preserve">   5. Withdraw [maf] within available water</v>
      </c>
      <c r="C69" s="127">
        <v>5.0999999999999996</v>
      </c>
      <c r="D69" s="127">
        <v>5.8</v>
      </c>
      <c r="E69" s="127">
        <v>6.1</v>
      </c>
      <c r="F69" s="127"/>
      <c r="G69" s="127"/>
      <c r="H69" s="127"/>
      <c r="I69" s="127"/>
      <c r="J69" s="127"/>
      <c r="K69" s="127"/>
      <c r="L69" s="127"/>
      <c r="N69" s="174" t="str">
        <f t="shared" si="27"/>
        <v>Must be less than Available water</v>
      </c>
    </row>
    <row r="70" spans="1:14" x14ac:dyDescent="0.35">
      <c r="A70" s="32" t="str">
        <f>IF(A69="","","   End of Year Balance [maf]")</f>
        <v xml:space="preserve">   End of Year Balance [maf]</v>
      </c>
      <c r="C70" s="66" t="str">
        <f>IF(OR(C$25="",$A70=""),"",C68-C69)</f>
        <v/>
      </c>
      <c r="D70" s="66" t="str">
        <f t="shared" ref="D70:L70" si="30">IF(OR(D$25="",$A70=""),"",D68-D69)</f>
        <v/>
      </c>
      <c r="E70" s="66" t="str">
        <f t="shared" si="30"/>
        <v/>
      </c>
      <c r="F70" s="66" t="str">
        <f t="shared" si="30"/>
        <v/>
      </c>
      <c r="G70" s="66" t="str">
        <f t="shared" si="30"/>
        <v/>
      </c>
      <c r="H70" s="66" t="str">
        <f t="shared" si="30"/>
        <v/>
      </c>
      <c r="I70" s="66" t="str">
        <f t="shared" si="30"/>
        <v/>
      </c>
      <c r="J70" s="66" t="str">
        <f t="shared" si="30"/>
        <v/>
      </c>
      <c r="K70" s="66" t="str">
        <f t="shared" si="30"/>
        <v/>
      </c>
      <c r="L70" s="66" t="str">
        <f t="shared" si="30"/>
        <v/>
      </c>
      <c r="N70" s="174" t="str">
        <f t="shared" si="27"/>
        <v>Available water - Account Withdraw</v>
      </c>
    </row>
    <row r="71" spans="1:14" x14ac:dyDescent="0.35">
      <c r="C71"/>
    </row>
    <row r="72" spans="1:14" x14ac:dyDescent="0.35">
      <c r="A72" s="162" t="str">
        <f>IF(A$7="","[Unused]",A7)</f>
        <v>Mexico</v>
      </c>
      <c r="B72" s="134"/>
      <c r="C72" s="134"/>
      <c r="D72" s="134"/>
      <c r="E72" s="134"/>
      <c r="F72" s="134"/>
      <c r="G72" s="134"/>
      <c r="H72" s="134"/>
      <c r="I72" s="134"/>
      <c r="J72" s="134"/>
      <c r="K72" s="134"/>
      <c r="L72" s="134"/>
      <c r="M72" s="135" t="s">
        <v>106</v>
      </c>
      <c r="N72" s="174" t="s">
        <v>171</v>
      </c>
    </row>
    <row r="73" spans="1:14" x14ac:dyDescent="0.35">
      <c r="A73" s="171" t="str">
        <f>IF(A72="[Unused]","",$A$57)</f>
        <v xml:space="preserve">   Purchase(+) or Sell(-) water [maf]</v>
      </c>
      <c r="C73" s="125">
        <v>-0.2</v>
      </c>
      <c r="D73" s="125"/>
      <c r="E73" s="125"/>
      <c r="F73" s="125"/>
      <c r="G73" s="125"/>
      <c r="H73" s="125"/>
      <c r="I73" s="125"/>
      <c r="J73" s="125"/>
      <c r="K73" s="125"/>
      <c r="L73" s="125"/>
      <c r="M73" s="67">
        <f>SUM(C73:L73)</f>
        <v>-0.2</v>
      </c>
      <c r="N73" s="174" t="str">
        <f>IF(A73="","",N65)</f>
        <v>Add if multiple transactions, e.g.: 0.5 + 0.25</v>
      </c>
    </row>
    <row r="74" spans="1:14" x14ac:dyDescent="0.35">
      <c r="A74" s="171" t="str">
        <f>IF(A73="","",$A$58)</f>
        <v xml:space="preserve">   Pay(-) or receive Income(+) [$ Mill]</v>
      </c>
      <c r="C74" s="126"/>
      <c r="D74" s="126"/>
      <c r="E74" s="126"/>
      <c r="F74" s="126"/>
      <c r="G74" s="126"/>
      <c r="H74" s="126"/>
      <c r="I74" s="126"/>
      <c r="J74" s="126"/>
      <c r="K74" s="126"/>
      <c r="L74" s="126"/>
      <c r="M74" s="65">
        <f>SUM(C74:L74)</f>
        <v>0</v>
      </c>
      <c r="N74" s="174" t="str">
        <f t="shared" ref="N74:N78" si="31">IF(A74="","",N66)</f>
        <v>Add if multiple transactions, e.g.: $350*0.5 + $450*0.25</v>
      </c>
    </row>
    <row r="75" spans="1:14" x14ac:dyDescent="0.35">
      <c r="A75" s="32" t="str">
        <f>IF(A74="","","   Volume all players (should be zero)")</f>
        <v xml:space="preserve">   Volume all players (should be zero)</v>
      </c>
      <c r="C75" s="67" t="str">
        <f t="shared" ref="C75:M75" si="32">IF(OR(C$25="",$A75=""),"",C$112)</f>
        <v/>
      </c>
      <c r="D75" s="67" t="str">
        <f t="shared" si="32"/>
        <v/>
      </c>
      <c r="E75" s="67" t="str">
        <f t="shared" si="32"/>
        <v/>
      </c>
      <c r="F75" s="67" t="str">
        <f t="shared" si="32"/>
        <v/>
      </c>
      <c r="G75" s="67" t="str">
        <f t="shared" si="32"/>
        <v/>
      </c>
      <c r="H75" s="67" t="str">
        <f t="shared" si="32"/>
        <v/>
      </c>
      <c r="I75" s="67" t="str">
        <f t="shared" si="32"/>
        <v/>
      </c>
      <c r="J75" s="67" t="str">
        <f t="shared" si="32"/>
        <v/>
      </c>
      <c r="K75" s="67" t="str">
        <f t="shared" si="32"/>
        <v/>
      </c>
      <c r="L75" s="67" t="str">
        <f t="shared" si="32"/>
        <v/>
      </c>
      <c r="M75" t="str">
        <f t="shared" si="32"/>
        <v/>
      </c>
      <c r="N75" s="174" t="str">
        <f t="shared" si="31"/>
        <v>If non-zero, players need to change amount(s)</v>
      </c>
    </row>
    <row r="76" spans="1:14" x14ac:dyDescent="0.35">
      <c r="A76" s="1" t="str">
        <f>IF(A74="","","   Available Water [maf]")</f>
        <v xml:space="preserve">   Available Water [maf]</v>
      </c>
      <c r="C76" s="14" t="str">
        <f>IF(OR(C$25="",$A76=""),"",C32+C50-C42+C73)</f>
        <v/>
      </c>
      <c r="D76" s="14" t="str">
        <f t="shared" ref="D76:L76" si="33">IF(OR(D$25="",$A76=""),"",D32+D50-D42+D73)</f>
        <v/>
      </c>
      <c r="E76" s="14" t="str">
        <f t="shared" si="33"/>
        <v/>
      </c>
      <c r="F76" s="14" t="str">
        <f t="shared" si="33"/>
        <v/>
      </c>
      <c r="G76" s="14" t="str">
        <f t="shared" si="33"/>
        <v/>
      </c>
      <c r="H76" s="14" t="str">
        <f t="shared" si="33"/>
        <v/>
      </c>
      <c r="I76" s="14" t="str">
        <f t="shared" si="33"/>
        <v/>
      </c>
      <c r="J76" s="14" t="str">
        <f t="shared" si="33"/>
        <v/>
      </c>
      <c r="K76" s="14" t="str">
        <f t="shared" si="33"/>
        <v/>
      </c>
      <c r="L76" s="14" t="str">
        <f t="shared" si="33"/>
        <v/>
      </c>
      <c r="N76" s="174" t="str">
        <f t="shared" si="31"/>
        <v>Available water = Account Balance + Available Inflow - Evaporation + Sales - Purchases</v>
      </c>
    </row>
    <row r="77" spans="1:14" x14ac:dyDescent="0.35">
      <c r="A77" s="170" t="str">
        <f>IF(A76="","",$A$61)</f>
        <v xml:space="preserve">   5. Withdraw [maf] within available water</v>
      </c>
      <c r="C77" s="127">
        <v>1.3</v>
      </c>
      <c r="D77" s="127">
        <v>1.3</v>
      </c>
      <c r="E77" s="127">
        <v>1.25</v>
      </c>
      <c r="F77" s="127"/>
      <c r="G77" s="127"/>
      <c r="H77" s="127"/>
      <c r="I77" s="127"/>
      <c r="J77" s="127"/>
      <c r="K77" s="127"/>
      <c r="L77" s="127"/>
      <c r="N77" s="174" t="str">
        <f t="shared" si="31"/>
        <v>Must be less than Available water</v>
      </c>
    </row>
    <row r="78" spans="1:14" x14ac:dyDescent="0.35">
      <c r="A78" s="32" t="str">
        <f>IF(A77="","","   End of Year Balance [maf]")</f>
        <v xml:space="preserve">   End of Year Balance [maf]</v>
      </c>
      <c r="C78" s="66" t="str">
        <f>IF(OR(C$25="",$A78=""),"",C76-C77)</f>
        <v/>
      </c>
      <c r="D78" s="66" t="str">
        <f t="shared" ref="D78:L78" si="34">IF(OR(D$25="",$A78=""),"",D76-D77)</f>
        <v/>
      </c>
      <c r="E78" s="66" t="str">
        <f t="shared" si="34"/>
        <v/>
      </c>
      <c r="F78" s="66" t="str">
        <f t="shared" si="34"/>
        <v/>
      </c>
      <c r="G78" s="66" t="str">
        <f t="shared" si="34"/>
        <v/>
      </c>
      <c r="H78" s="66" t="str">
        <f t="shared" si="34"/>
        <v/>
      </c>
      <c r="I78" s="66" t="str">
        <f t="shared" si="34"/>
        <v/>
      </c>
      <c r="J78" s="66" t="str">
        <f t="shared" si="34"/>
        <v/>
      </c>
      <c r="K78" s="66" t="str">
        <f t="shared" si="34"/>
        <v/>
      </c>
      <c r="L78" s="66" t="str">
        <f t="shared" si="34"/>
        <v/>
      </c>
      <c r="N78" s="174" t="str">
        <f t="shared" si="31"/>
        <v>Available water - Account Withdraw</v>
      </c>
    </row>
    <row r="79" spans="1:14" x14ac:dyDescent="0.35">
      <c r="C79"/>
    </row>
    <row r="80" spans="1:14" x14ac:dyDescent="0.35">
      <c r="A80" s="162" t="str">
        <f>IF(A$8="","[Unused]",A8)</f>
        <v>Colorado River Delta</v>
      </c>
      <c r="B80" s="134"/>
      <c r="C80" s="134"/>
      <c r="D80" s="134"/>
      <c r="E80" s="134"/>
      <c r="F80" s="134"/>
      <c r="G80" s="134"/>
      <c r="H80" s="134"/>
      <c r="I80" s="134"/>
      <c r="J80" s="134"/>
      <c r="K80" s="134"/>
      <c r="L80" s="134"/>
      <c r="M80" s="135" t="s">
        <v>106</v>
      </c>
      <c r="N80" s="174" t="s">
        <v>171</v>
      </c>
    </row>
    <row r="81" spans="1:14" x14ac:dyDescent="0.35">
      <c r="A81" s="171" t="str">
        <f>IF(A80="[Unused]","",$A$57)</f>
        <v xml:space="preserve">   Purchase(+) or Sell(-) water [maf]</v>
      </c>
      <c r="C81" s="125"/>
      <c r="D81" s="125"/>
      <c r="E81" s="125"/>
      <c r="F81" s="125"/>
      <c r="G81" s="125"/>
      <c r="H81" s="125"/>
      <c r="I81" s="125"/>
      <c r="J81" s="125"/>
      <c r="K81" s="125"/>
      <c r="L81" s="125"/>
      <c r="M81" s="67">
        <f>SUM(C81:L81)</f>
        <v>0</v>
      </c>
      <c r="N81" s="174" t="str">
        <f>IF(A81="","",N73)</f>
        <v>Add if multiple transactions, e.g.: 0.5 + 0.25</v>
      </c>
    </row>
    <row r="82" spans="1:14" x14ac:dyDescent="0.35">
      <c r="A82" s="171" t="str">
        <f>IF(A81="","",$A$58)</f>
        <v xml:space="preserve">   Pay(-) or receive Income(+) [$ Mill]</v>
      </c>
      <c r="C82" s="126"/>
      <c r="D82" s="126"/>
      <c r="E82" s="126"/>
      <c r="F82" s="126"/>
      <c r="G82" s="126"/>
      <c r="H82" s="126"/>
      <c r="I82" s="126"/>
      <c r="J82" s="126"/>
      <c r="K82" s="126"/>
      <c r="L82" s="126"/>
      <c r="M82" s="65">
        <f>SUM(C82:L82)</f>
        <v>0</v>
      </c>
      <c r="N82" s="174" t="str">
        <f>IF(A82="","","Parties may choose to make these transactions without money to help poor, struggling parties")</f>
        <v>Parties may choose to make these transactions without money to help poor, struggling parties</v>
      </c>
    </row>
    <row r="83" spans="1:14" x14ac:dyDescent="0.35">
      <c r="A83" s="32" t="str">
        <f>IF(A82="","","   Volume all players (should be zero)")</f>
        <v xml:space="preserve">   Volume all players (should be zero)</v>
      </c>
      <c r="C83" s="67" t="str">
        <f t="shared" ref="C83:M83" si="35">IF(OR(C$25="",$A83=""),"",C$112)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s="174" t="str">
        <f t="shared" ref="N83:N86" si="36">IF(A83="","",N75)</f>
        <v>If non-zero, players need to change amount(s)</v>
      </c>
    </row>
    <row r="84" spans="1:14" x14ac:dyDescent="0.35">
      <c r="A84" s="1" t="str">
        <f>IF(A82="","","   Available Water [maf]")</f>
        <v xml:space="preserve">   Available Water [maf]</v>
      </c>
      <c r="C84" s="160" t="str">
        <f>IF(OR(C$25="",$A84=""),"",C33+C51-C43+C81)</f>
        <v/>
      </c>
      <c r="D84" s="160" t="str">
        <f t="shared" ref="D84:L84" si="37">IF(OR(D$25="",$A84=""),"",D33+D51-D43+D81)</f>
        <v/>
      </c>
      <c r="E84" s="160" t="str">
        <f t="shared" si="37"/>
        <v/>
      </c>
      <c r="F84" s="160" t="str">
        <f t="shared" si="37"/>
        <v/>
      </c>
      <c r="G84" s="160" t="str">
        <f t="shared" si="37"/>
        <v/>
      </c>
      <c r="H84" s="160" t="str">
        <f t="shared" si="37"/>
        <v/>
      </c>
      <c r="I84" s="160" t="str">
        <f t="shared" si="37"/>
        <v/>
      </c>
      <c r="J84" s="160" t="str">
        <f t="shared" si="37"/>
        <v/>
      </c>
      <c r="K84" s="160" t="str">
        <f t="shared" si="37"/>
        <v/>
      </c>
      <c r="L84" s="160" t="str">
        <f t="shared" si="37"/>
        <v/>
      </c>
      <c r="N84" s="174" t="str">
        <f t="shared" si="36"/>
        <v>Available water = Account Balance + Available Inflow - Evaporation + Sales - Purchases</v>
      </c>
    </row>
    <row r="85" spans="1:14" x14ac:dyDescent="0.35">
      <c r="A85" s="170" t="str">
        <f>IF(A84="","",$A$61)</f>
        <v xml:space="preserve">   5. Withdraw [maf] within available water</v>
      </c>
      <c r="C85" s="161"/>
      <c r="D85" s="161"/>
      <c r="E85" s="161"/>
      <c r="F85" s="161"/>
      <c r="G85" s="161"/>
      <c r="H85" s="161"/>
      <c r="I85" s="161"/>
      <c r="J85" s="161"/>
      <c r="K85" s="161"/>
      <c r="L85" s="161"/>
      <c r="N85" s="174" t="str">
        <f t="shared" si="36"/>
        <v>Must be less than Available water</v>
      </c>
    </row>
    <row r="86" spans="1:14" x14ac:dyDescent="0.35">
      <c r="A86" s="32" t="str">
        <f>IF(A85="","","   End of Year Balance [maf]")</f>
        <v xml:space="preserve">   End of Year Balance [maf]</v>
      </c>
      <c r="C86" s="66" t="str">
        <f>IF(OR(C$25="",$A86=""),"",C84-C85)</f>
        <v/>
      </c>
      <c r="D86" s="66" t="str">
        <f t="shared" ref="D86:L86" si="38">IF(OR(D$25="",$A86=""),"",D84-D85)</f>
        <v/>
      </c>
      <c r="E86" s="66" t="str">
        <f t="shared" si="38"/>
        <v/>
      </c>
      <c r="F86" s="66" t="str">
        <f t="shared" si="38"/>
        <v/>
      </c>
      <c r="G86" s="66" t="str">
        <f t="shared" si="38"/>
        <v/>
      </c>
      <c r="H86" s="66" t="str">
        <f t="shared" si="38"/>
        <v/>
      </c>
      <c r="I86" s="66" t="str">
        <f t="shared" si="38"/>
        <v/>
      </c>
      <c r="J86" s="66" t="str">
        <f t="shared" si="38"/>
        <v/>
      </c>
      <c r="K86" s="66" t="str">
        <f t="shared" si="38"/>
        <v/>
      </c>
      <c r="L86" s="66" t="str">
        <f t="shared" si="38"/>
        <v/>
      </c>
      <c r="N86" s="174" t="str">
        <f t="shared" si="36"/>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74" t="s">
        <v>171</v>
      </c>
    </row>
    <row r="89" spans="1:14" x14ac:dyDescent="0.35">
      <c r="A89" s="32" t="str">
        <f>IF(A88="[Unused]","",$A$57)</f>
        <v/>
      </c>
      <c r="C89" s="125"/>
      <c r="D89" s="125"/>
      <c r="E89" s="125"/>
      <c r="F89" s="125"/>
      <c r="G89" s="125"/>
      <c r="H89" s="125"/>
      <c r="I89" s="125"/>
      <c r="J89" s="125"/>
      <c r="K89" s="125"/>
      <c r="L89" s="125"/>
      <c r="M89" s="67">
        <f>SUM(C89:L89)</f>
        <v>0</v>
      </c>
      <c r="N89" s="174" t="str">
        <f>IF(A89="","",N81)</f>
        <v/>
      </c>
    </row>
    <row r="90" spans="1:14" x14ac:dyDescent="0.35">
      <c r="A90" s="32" t="str">
        <f>IF(A89="","",$A$58)</f>
        <v/>
      </c>
      <c r="C90" s="126"/>
      <c r="D90" s="126"/>
      <c r="E90" s="126"/>
      <c r="F90" s="126"/>
      <c r="G90" s="126"/>
      <c r="H90" s="126"/>
      <c r="I90" s="126"/>
      <c r="J90" s="126"/>
      <c r="K90" s="126"/>
      <c r="L90" s="126"/>
      <c r="M90" s="65">
        <f>SUM(C90:L90)</f>
        <v>0</v>
      </c>
      <c r="N90" s="174" t="str">
        <f t="shared" ref="N90:N94" si="39">IF(A90="","",N82)</f>
        <v/>
      </c>
    </row>
    <row r="91" spans="1:14" x14ac:dyDescent="0.35">
      <c r="A91" s="32" t="str">
        <f>IF(A90="","","   Volume all players (should be zero)")</f>
        <v/>
      </c>
      <c r="C91" s="67" t="str">
        <f t="shared" ref="C91:M91" si="40">IF(OR(C$25="",$A91=""),"",C$112)</f>
        <v/>
      </c>
      <c r="D91" s="67" t="str">
        <f t="shared" si="40"/>
        <v/>
      </c>
      <c r="E91" s="67" t="str">
        <f t="shared" si="40"/>
        <v/>
      </c>
      <c r="F91" s="67" t="str">
        <f t="shared" si="40"/>
        <v/>
      </c>
      <c r="G91" s="67" t="str">
        <f t="shared" si="40"/>
        <v/>
      </c>
      <c r="H91" s="67" t="str">
        <f t="shared" si="40"/>
        <v/>
      </c>
      <c r="I91" s="67" t="str">
        <f t="shared" si="40"/>
        <v/>
      </c>
      <c r="J91" s="67" t="str">
        <f t="shared" si="40"/>
        <v/>
      </c>
      <c r="K91" s="67" t="str">
        <f t="shared" si="40"/>
        <v/>
      </c>
      <c r="L91" s="67" t="str">
        <f t="shared" si="40"/>
        <v/>
      </c>
      <c r="M91" t="str">
        <f t="shared" si="40"/>
        <v/>
      </c>
      <c r="N91" s="174" t="str">
        <f t="shared" si="39"/>
        <v/>
      </c>
    </row>
    <row r="92" spans="1:14" x14ac:dyDescent="0.35">
      <c r="A92" s="1" t="str">
        <f>IF(A90="","","   Available Water [maf]")</f>
        <v/>
      </c>
      <c r="C92" s="14" t="str">
        <f>IF(OR(C$25="",$A92=""),"",C34+C52-C44+C89)</f>
        <v/>
      </c>
      <c r="D92" s="14" t="str">
        <f t="shared" ref="D92:L92" si="41">IF(OR(D$25="",$A92=""),"",D34+D52-D44+D89)</f>
        <v/>
      </c>
      <c r="E92" s="14" t="str">
        <f t="shared" si="41"/>
        <v/>
      </c>
      <c r="F92" s="14" t="str">
        <f t="shared" si="41"/>
        <v/>
      </c>
      <c r="G92" s="14" t="str">
        <f t="shared" si="41"/>
        <v/>
      </c>
      <c r="H92" s="14" t="str">
        <f t="shared" si="41"/>
        <v/>
      </c>
      <c r="I92" s="14" t="str">
        <f t="shared" si="41"/>
        <v/>
      </c>
      <c r="J92" s="14" t="str">
        <f t="shared" si="41"/>
        <v/>
      </c>
      <c r="K92" s="14" t="str">
        <f t="shared" si="41"/>
        <v/>
      </c>
      <c r="L92" s="14" t="str">
        <f t="shared" si="41"/>
        <v/>
      </c>
      <c r="N92" s="174" t="str">
        <f t="shared" si="39"/>
        <v/>
      </c>
    </row>
    <row r="93" spans="1:14" x14ac:dyDescent="0.35">
      <c r="A93" s="170" t="str">
        <f>IF(A92="","",$A$61)</f>
        <v/>
      </c>
      <c r="C93" s="127"/>
      <c r="D93" s="127"/>
      <c r="E93" s="127"/>
      <c r="F93" s="127"/>
      <c r="G93" s="127"/>
      <c r="H93" s="127"/>
      <c r="I93" s="127"/>
      <c r="J93" s="127"/>
      <c r="K93" s="127"/>
      <c r="L93" s="127"/>
      <c r="N93" s="174" t="str">
        <f t="shared" si="39"/>
        <v/>
      </c>
    </row>
    <row r="94" spans="1:14" x14ac:dyDescent="0.35">
      <c r="A94" s="32" t="str">
        <f>IF(A93="","","   End of Year Balance [maf]")</f>
        <v/>
      </c>
      <c r="C94" s="66" t="str">
        <f>IF(OR(C$25="",$A94=""),"",C92-C93)</f>
        <v/>
      </c>
      <c r="D94" s="66" t="str">
        <f t="shared" ref="D94:L94" si="42">IF(OR(D$25="",$A94=""),"",D92-D93)</f>
        <v/>
      </c>
      <c r="E94" s="66" t="str">
        <f t="shared" si="42"/>
        <v/>
      </c>
      <c r="F94" s="66" t="str">
        <f t="shared" si="42"/>
        <v/>
      </c>
      <c r="G94" s="66" t="str">
        <f t="shared" si="42"/>
        <v/>
      </c>
      <c r="H94" s="66" t="str">
        <f t="shared" si="42"/>
        <v/>
      </c>
      <c r="I94" s="66" t="str">
        <f t="shared" si="42"/>
        <v/>
      </c>
      <c r="J94" s="66" t="str">
        <f t="shared" si="42"/>
        <v/>
      </c>
      <c r="K94" s="66" t="str">
        <f t="shared" si="42"/>
        <v/>
      </c>
      <c r="L94" s="66" t="str">
        <f t="shared" si="42"/>
        <v/>
      </c>
      <c r="N94" s="174" t="str">
        <f t="shared" si="39"/>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74" t="s">
        <v>171</v>
      </c>
    </row>
    <row r="97" spans="1:14" x14ac:dyDescent="0.35">
      <c r="A97" s="171" t="str">
        <f>IF(A96="[Unused]","",$A$57)</f>
        <v xml:space="preserve">   Purchase(+) or Sell(-) water [maf]</v>
      </c>
      <c r="C97" s="25"/>
      <c r="D97" s="25"/>
      <c r="E97" s="25"/>
      <c r="F97" s="25"/>
      <c r="G97" s="25"/>
      <c r="H97" s="25"/>
      <c r="I97" s="25"/>
      <c r="J97" s="25"/>
      <c r="K97" s="25"/>
      <c r="L97" s="25"/>
      <c r="M97" s="67">
        <f>SUM(C97:L97)</f>
        <v>0</v>
      </c>
      <c r="N97" s="174" t="str">
        <f>IF(A97="","",N89)</f>
        <v/>
      </c>
    </row>
    <row r="98" spans="1:14" x14ac:dyDescent="0.35">
      <c r="A98" s="171" t="str">
        <f>IF(A97="","",$A$58)</f>
        <v xml:space="preserve">   Pay(-) or receive Income(+) [$ Mill]</v>
      </c>
      <c r="C98" s="153"/>
      <c r="D98" s="153"/>
      <c r="E98" s="153"/>
      <c r="F98" s="153"/>
      <c r="G98" s="153"/>
      <c r="H98" s="153"/>
      <c r="I98" s="153"/>
      <c r="J98" s="153"/>
      <c r="K98" s="153"/>
      <c r="L98" s="153"/>
      <c r="M98" s="65">
        <f>SUM(C98:L98)</f>
        <v>0</v>
      </c>
      <c r="N98" s="174" t="str">
        <f t="shared" ref="N98:N102" si="43">IF(A98="","",N90)</f>
        <v/>
      </c>
    </row>
    <row r="99" spans="1:14" x14ac:dyDescent="0.35">
      <c r="A99" s="32" t="str">
        <f>IF(A98="","","   Volume all players (should be zero)")</f>
        <v xml:space="preserve">   Volume all players (should be zero)</v>
      </c>
      <c r="C99" s="67" t="str">
        <f t="shared" ref="C99:M99" si="44">IF(OR(C$25="",$A99=""),"",C$112)</f>
        <v/>
      </c>
      <c r="D99" s="67" t="str">
        <f t="shared" si="44"/>
        <v/>
      </c>
      <c r="E99" s="67" t="str">
        <f t="shared" si="44"/>
        <v/>
      </c>
      <c r="F99" s="67" t="str">
        <f t="shared" si="44"/>
        <v/>
      </c>
      <c r="G99" s="67" t="str">
        <f t="shared" si="44"/>
        <v/>
      </c>
      <c r="H99" s="67" t="str">
        <f t="shared" si="44"/>
        <v/>
      </c>
      <c r="I99" s="67" t="str">
        <f t="shared" si="44"/>
        <v/>
      </c>
      <c r="J99" s="67" t="str">
        <f t="shared" si="44"/>
        <v/>
      </c>
      <c r="K99" s="67" t="str">
        <f t="shared" si="44"/>
        <v/>
      </c>
      <c r="L99" s="67" t="str">
        <f t="shared" si="44"/>
        <v/>
      </c>
      <c r="M99" t="str">
        <f t="shared" si="44"/>
        <v/>
      </c>
      <c r="N99" s="174" t="str">
        <f t="shared" si="43"/>
        <v/>
      </c>
    </row>
    <row r="100" spans="1:14" x14ac:dyDescent="0.35">
      <c r="A100" s="1" t="str">
        <f>IF(A98="","","   Available Water [maf]")</f>
        <v xml:space="preserve">   Available Water [maf]</v>
      </c>
      <c r="C100" s="14" t="str">
        <f>IF(OR(C$25="",$A100=""),"",C35+C53-C45+C97)</f>
        <v/>
      </c>
      <c r="D100" s="14" t="str">
        <f t="shared" ref="D100:L100" si="45">IF(OR(D$25="",$A100=""),"",D35+D53-D45+D97)</f>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s="174" t="str">
        <f t="shared" si="43"/>
        <v/>
      </c>
    </row>
    <row r="101" spans="1:14" x14ac:dyDescent="0.35">
      <c r="A101" s="170" t="str">
        <f>IF(A100="","",$A$61)</f>
        <v xml:space="preserve">   5. Withdraw [maf] within available water</v>
      </c>
      <c r="C101" s="43"/>
      <c r="D101" s="43"/>
      <c r="E101" s="43"/>
      <c r="F101" s="43"/>
      <c r="G101" s="43"/>
      <c r="H101" s="43"/>
      <c r="I101" s="43"/>
      <c r="J101" s="43"/>
      <c r="K101" s="43"/>
      <c r="L101" s="43"/>
      <c r="N101" s="174" t="str">
        <f t="shared" si="43"/>
        <v/>
      </c>
    </row>
    <row r="102" spans="1:14" x14ac:dyDescent="0.35">
      <c r="A102" s="32" t="str">
        <f>IF(A101="","","   End of Year Balance [maf]")</f>
        <v xml:space="preserve">   End of Year Balance [maf]</v>
      </c>
      <c r="C102" s="66" t="str">
        <f>IF(OR(C$25="",$A102=""),"",C100-C101)</f>
        <v/>
      </c>
      <c r="D102" s="66" t="str">
        <f t="shared" ref="D102:L102" si="46">IF(OR(D$25="",$A102=""),"",D100-D101)</f>
        <v/>
      </c>
      <c r="E102" s="66" t="str">
        <f t="shared" si="46"/>
        <v/>
      </c>
      <c r="F102" s="66" t="str">
        <f t="shared" si="46"/>
        <v/>
      </c>
      <c r="G102" s="66" t="str">
        <f t="shared" si="46"/>
        <v/>
      </c>
      <c r="H102" s="66" t="str">
        <f t="shared" si="46"/>
        <v/>
      </c>
      <c r="I102" s="66" t="str">
        <f t="shared" si="46"/>
        <v/>
      </c>
      <c r="J102" s="66" t="str">
        <f t="shared" si="46"/>
        <v/>
      </c>
      <c r="K102" s="66" t="str">
        <f t="shared" si="46"/>
        <v/>
      </c>
      <c r="L102" s="66" t="str">
        <f t="shared" si="46"/>
        <v/>
      </c>
      <c r="N102" s="174" t="str">
        <f t="shared" si="43"/>
        <v/>
      </c>
    </row>
    <row r="103" spans="1:14" x14ac:dyDescent="0.35">
      <c r="C103"/>
    </row>
    <row r="104" spans="1:14" x14ac:dyDescent="0.35">
      <c r="A104" s="136" t="s">
        <v>182</v>
      </c>
      <c r="B104" s="136"/>
      <c r="C104" s="136"/>
      <c r="D104" s="136"/>
      <c r="E104" s="136"/>
      <c r="F104" s="136"/>
      <c r="G104" s="136"/>
      <c r="H104" s="136"/>
      <c r="I104" s="136"/>
      <c r="J104" s="136"/>
      <c r="K104" s="136"/>
      <c r="L104" s="136"/>
      <c r="M104" s="136"/>
    </row>
    <row r="105" spans="1:14" x14ac:dyDescent="0.35">
      <c r="A105" s="1" t="s">
        <v>370</v>
      </c>
      <c r="C105"/>
      <c r="M105" t="s">
        <v>181</v>
      </c>
      <c r="N105" s="174" t="s">
        <v>149</v>
      </c>
    </row>
    <row r="106" spans="1:14" x14ac:dyDescent="0.35">
      <c r="A106" t="str">
        <f t="shared" ref="A106:A111" si="47">IF(A5="","","    "&amp;A5)</f>
        <v xml:space="preserve">    Upper Basin</v>
      </c>
      <c r="B106" s="1"/>
      <c r="C106" s="67" t="str">
        <f t="shared" ref="C106:L106" ca="1" si="48">IF(OR(C$25="",$A106=""),"",OFFSET(C$57,8*(ROW(B106)-ROW(B$106)),0))</f>
        <v/>
      </c>
      <c r="D106" s="67" t="str">
        <f t="shared" ca="1" si="48"/>
        <v/>
      </c>
      <c r="E106" s="67" t="str">
        <f t="shared" ca="1" si="48"/>
        <v/>
      </c>
      <c r="F106" s="67" t="str">
        <f t="shared" ca="1" si="48"/>
        <v/>
      </c>
      <c r="G106" s="67" t="str">
        <f t="shared" ca="1" si="48"/>
        <v/>
      </c>
      <c r="H106" s="67" t="str">
        <f t="shared" ca="1" si="48"/>
        <v/>
      </c>
      <c r="I106" s="67" t="str">
        <f t="shared" ca="1" si="48"/>
        <v/>
      </c>
      <c r="J106" s="67" t="str">
        <f t="shared" ca="1" si="48"/>
        <v/>
      </c>
      <c r="K106" s="67" t="str">
        <f t="shared" ca="1" si="48"/>
        <v/>
      </c>
      <c r="L106" s="67" t="str">
        <f t="shared" ca="1" si="48"/>
        <v/>
      </c>
      <c r="M106" s="67">
        <f ca="1">IF(OR($A106=""),"",SUM(C106:L106))</f>
        <v>0</v>
      </c>
      <c r="N106" s="179">
        <f>IF(OR($A106=""),"",M58)</f>
        <v>0</v>
      </c>
    </row>
    <row r="107" spans="1:14" x14ac:dyDescent="0.35">
      <c r="A107" t="str">
        <f t="shared" si="47"/>
        <v xml:space="preserve">    Lower Basin</v>
      </c>
      <c r="B107" s="1"/>
      <c r="C107" s="67" t="str">
        <f t="shared" ref="C107:L107" ca="1" si="49">IF(OR(C$25="",$A107=""),"",OFFSET(C$57,8*(ROW(B107)-ROW(B$106)),0))</f>
        <v/>
      </c>
      <c r="D107" s="67" t="str">
        <f t="shared" ca="1" si="49"/>
        <v/>
      </c>
      <c r="E107" s="67" t="str">
        <f t="shared" ca="1" si="49"/>
        <v/>
      </c>
      <c r="F107" s="67" t="str">
        <f t="shared" ca="1" si="49"/>
        <v/>
      </c>
      <c r="G107" s="67" t="str">
        <f t="shared" ca="1" si="49"/>
        <v/>
      </c>
      <c r="H107" s="67" t="str">
        <f t="shared" ca="1" si="49"/>
        <v/>
      </c>
      <c r="I107" s="67" t="str">
        <f t="shared" ca="1" si="49"/>
        <v/>
      </c>
      <c r="J107" s="67" t="str">
        <f t="shared" ca="1" si="49"/>
        <v/>
      </c>
      <c r="K107" s="67" t="str">
        <f t="shared" ca="1" si="49"/>
        <v/>
      </c>
      <c r="L107" s="67" t="str">
        <f t="shared" ca="1" si="49"/>
        <v/>
      </c>
      <c r="M107" s="67">
        <f t="shared" ref="M107:M111" ca="1" si="50">IF(OR($A107=""),"",SUM(C107:L107))</f>
        <v>0</v>
      </c>
      <c r="N107" s="179">
        <f>IF(OR($A107=""),"",M66)</f>
        <v>0</v>
      </c>
    </row>
    <row r="108" spans="1:14" x14ac:dyDescent="0.35">
      <c r="A108" t="str">
        <f t="shared" si="47"/>
        <v xml:space="preserve">    Mexico</v>
      </c>
      <c r="B108" s="1"/>
      <c r="C108" s="67" t="str">
        <f t="shared" ref="C108:L108" ca="1" si="51">IF(OR(C$25="",$A108=""),"",OFFSET(C$57,8*(ROW(B108)-ROW(B$106)),0))</f>
        <v/>
      </c>
      <c r="D108" s="67" t="str">
        <f t="shared" ca="1" si="51"/>
        <v/>
      </c>
      <c r="E108" s="67" t="str">
        <f t="shared" ca="1" si="51"/>
        <v/>
      </c>
      <c r="F108" s="67" t="str">
        <f t="shared" ca="1" si="51"/>
        <v/>
      </c>
      <c r="G108" s="67" t="str">
        <f t="shared" ca="1" si="51"/>
        <v/>
      </c>
      <c r="H108" s="67" t="str">
        <f t="shared" ca="1" si="51"/>
        <v/>
      </c>
      <c r="I108" s="67" t="str">
        <f t="shared" ca="1" si="51"/>
        <v/>
      </c>
      <c r="J108" s="67" t="str">
        <f t="shared" ca="1" si="51"/>
        <v/>
      </c>
      <c r="K108" s="67" t="str">
        <f t="shared" ca="1" si="51"/>
        <v/>
      </c>
      <c r="L108" s="67" t="str">
        <f t="shared" ca="1" si="51"/>
        <v/>
      </c>
      <c r="M108" s="67">
        <f t="shared" ca="1" si="50"/>
        <v>0</v>
      </c>
      <c r="N108" s="179">
        <f>IF(OR($A108=""),"",M74)</f>
        <v>0</v>
      </c>
    </row>
    <row r="109" spans="1:14" x14ac:dyDescent="0.35">
      <c r="A109" t="str">
        <f t="shared" si="47"/>
        <v xml:space="preserve">    Colorado River Delta</v>
      </c>
      <c r="B109" s="1"/>
      <c r="C109" s="67" t="str">
        <f t="shared" ref="C109:L109" ca="1" si="52">IF(OR(C$25="",$A109=""),"",OFFSET(C$57,8*(ROW(B109)-ROW(B$106)),0))</f>
        <v/>
      </c>
      <c r="D109" s="67" t="str">
        <f t="shared" ca="1" si="52"/>
        <v/>
      </c>
      <c r="E109" s="67" t="str">
        <f t="shared" ca="1" si="52"/>
        <v/>
      </c>
      <c r="F109" s="67" t="str">
        <f t="shared" ca="1" si="52"/>
        <v/>
      </c>
      <c r="G109" s="67" t="str">
        <f t="shared" ca="1" si="52"/>
        <v/>
      </c>
      <c r="H109" s="67" t="str">
        <f t="shared" ca="1" si="52"/>
        <v/>
      </c>
      <c r="I109" s="67" t="str">
        <f t="shared" ca="1" si="52"/>
        <v/>
      </c>
      <c r="J109" s="67" t="str">
        <f t="shared" ca="1" si="52"/>
        <v/>
      </c>
      <c r="K109" s="67" t="str">
        <f t="shared" ca="1" si="52"/>
        <v/>
      </c>
      <c r="L109" s="67" t="str">
        <f t="shared" ca="1" si="52"/>
        <v/>
      </c>
      <c r="M109" s="67">
        <f t="shared" ca="1" si="50"/>
        <v>0</v>
      </c>
      <c r="N109" s="179">
        <f>IF(OR($A109=""),"",M82)</f>
        <v>0</v>
      </c>
    </row>
    <row r="110" spans="1:14" x14ac:dyDescent="0.35">
      <c r="A110" t="str">
        <f t="shared" si="47"/>
        <v/>
      </c>
      <c r="B110" s="1"/>
      <c r="C110" s="67" t="str">
        <f t="shared" ref="C110:L110" ca="1" si="53">IF(OR(C$25="",$A110=""),"",OFFSET(C$57,8*(ROW(B110)-ROW(B$106)),0))</f>
        <v/>
      </c>
      <c r="D110" s="67" t="str">
        <f t="shared" ca="1" si="53"/>
        <v/>
      </c>
      <c r="E110" s="67" t="str">
        <f t="shared" ca="1" si="53"/>
        <v/>
      </c>
      <c r="F110" s="67" t="str">
        <f t="shared" ca="1" si="53"/>
        <v/>
      </c>
      <c r="G110" s="67" t="str">
        <f t="shared" ca="1" si="53"/>
        <v/>
      </c>
      <c r="H110" s="67" t="str">
        <f t="shared" ca="1" si="53"/>
        <v/>
      </c>
      <c r="I110" s="67" t="str">
        <f t="shared" ca="1" si="53"/>
        <v/>
      </c>
      <c r="J110" s="67" t="str">
        <f t="shared" ca="1" si="53"/>
        <v/>
      </c>
      <c r="K110" s="67" t="str">
        <f t="shared" ca="1" si="53"/>
        <v/>
      </c>
      <c r="L110" s="67" t="str">
        <f t="shared" ca="1" si="53"/>
        <v/>
      </c>
      <c r="M110" s="67" t="str">
        <f t="shared" si="50"/>
        <v/>
      </c>
      <c r="N110" s="179" t="str">
        <f>IF(OR($A110=""),"",M90)</f>
        <v/>
      </c>
    </row>
    <row r="111" spans="1:14" x14ac:dyDescent="0.35">
      <c r="A111" t="str">
        <f t="shared" si="47"/>
        <v xml:space="preserve">    Shared, Reserve</v>
      </c>
      <c r="B111" s="1"/>
      <c r="C111" s="67" t="str">
        <f t="shared" ref="C111:L111" ca="1" si="54">IF(OR(C$25="",$A111=""),"",OFFSET(C$57,8*(ROW(B111)-ROW(B$106)),0))</f>
        <v/>
      </c>
      <c r="D111" s="67" t="str">
        <f t="shared" ca="1" si="54"/>
        <v/>
      </c>
      <c r="E111" s="67" t="str">
        <f t="shared" ca="1" si="54"/>
        <v/>
      </c>
      <c r="F111" s="67" t="str">
        <f t="shared" ca="1" si="54"/>
        <v/>
      </c>
      <c r="G111" s="67" t="str">
        <f t="shared" ca="1" si="54"/>
        <v/>
      </c>
      <c r="H111" s="67" t="str">
        <f t="shared" ca="1" si="54"/>
        <v/>
      </c>
      <c r="I111" s="67" t="str">
        <f t="shared" ca="1" si="54"/>
        <v/>
      </c>
      <c r="J111" s="67" t="str">
        <f t="shared" ca="1" si="54"/>
        <v/>
      </c>
      <c r="K111" s="67" t="str">
        <f t="shared" ca="1" si="54"/>
        <v/>
      </c>
      <c r="L111" s="67" t="str">
        <f t="shared" ca="1" si="54"/>
        <v/>
      </c>
      <c r="M111" s="67">
        <f t="shared" ca="1" si="50"/>
        <v>0</v>
      </c>
      <c r="N111" s="179">
        <f>IF(OR($A111=""),"",M98)</f>
        <v>0</v>
      </c>
    </row>
    <row r="112" spans="1:14" x14ac:dyDescent="0.35">
      <c r="A112" t="s">
        <v>145</v>
      </c>
      <c r="B112" s="1"/>
      <c r="C112" s="51" t="str">
        <f>IF(C$25&lt;&gt;"",SUM(C106:C111),"")</f>
        <v/>
      </c>
      <c r="D112" s="51" t="str">
        <f t="shared" ref="D112:L112" si="55">IF(D$25&lt;&gt;"",SUM(D106:D111),"")</f>
        <v/>
      </c>
      <c r="E112" s="115" t="str">
        <f t="shared" si="55"/>
        <v/>
      </c>
      <c r="F112" s="51" t="str">
        <f t="shared" si="55"/>
        <v/>
      </c>
      <c r="G112" s="51" t="str">
        <f t="shared" si="55"/>
        <v/>
      </c>
      <c r="H112" s="51" t="str">
        <f t="shared" si="55"/>
        <v/>
      </c>
      <c r="I112" s="51" t="str">
        <f t="shared" si="55"/>
        <v/>
      </c>
      <c r="J112" s="51" t="str">
        <f t="shared" si="55"/>
        <v/>
      </c>
      <c r="K112" s="51" t="str">
        <f t="shared" si="55"/>
        <v/>
      </c>
      <c r="L112" s="51" t="str">
        <f t="shared" si="55"/>
        <v/>
      </c>
      <c r="M112" s="34"/>
    </row>
    <row r="113" spans="1:12" x14ac:dyDescent="0.35">
      <c r="A113" s="1" t="s">
        <v>371</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56">IF(OR(C$25="",$A114=""),"",OFFSET(C$61,8*(ROW(B114)-ROW(B$114)),0))</f>
        <v/>
      </c>
      <c r="D114" s="67" t="str">
        <f t="shared" ca="1" si="56"/>
        <v/>
      </c>
      <c r="E114" s="67" t="str">
        <f t="shared" ca="1" si="56"/>
        <v/>
      </c>
      <c r="F114" s="67" t="str">
        <f t="shared" ca="1" si="56"/>
        <v/>
      </c>
      <c r="G114" s="67" t="str">
        <f t="shared" ca="1" si="56"/>
        <v/>
      </c>
      <c r="H114" s="67" t="str">
        <f t="shared" ca="1" si="56"/>
        <v/>
      </c>
      <c r="I114" s="67" t="str">
        <f t="shared" ca="1" si="56"/>
        <v/>
      </c>
      <c r="J114" s="67" t="str">
        <f t="shared" ca="1" si="56"/>
        <v/>
      </c>
      <c r="K114" s="67" t="str">
        <f t="shared" ca="1" si="56"/>
        <v/>
      </c>
      <c r="L114" s="67" t="str">
        <f t="shared" ca="1" si="56"/>
        <v/>
      </c>
    </row>
    <row r="115" spans="1:12" x14ac:dyDescent="0.35">
      <c r="A115" t="str">
        <f>IF(A6="","","    "&amp;A6&amp;" - Release from Mead")</f>
        <v xml:space="preserve">    Lower Basin - Release from Mead</v>
      </c>
      <c r="C115" s="67" t="str">
        <f t="shared" ref="C115:L115" ca="1" si="57">IF(OR(C$25="",$A115=""),"",OFFSET(C$61,8*(ROW(B115)-ROW(B$114)),0))</f>
        <v/>
      </c>
      <c r="D115" s="67" t="str">
        <f t="shared" ca="1" si="57"/>
        <v/>
      </c>
      <c r="E115" s="67" t="str">
        <f t="shared" ca="1" si="57"/>
        <v/>
      </c>
      <c r="F115" s="67" t="str">
        <f t="shared" ca="1" si="57"/>
        <v/>
      </c>
      <c r="G115" s="67" t="str">
        <f t="shared" ca="1" si="57"/>
        <v/>
      </c>
      <c r="H115" s="67" t="str">
        <f t="shared" ca="1" si="57"/>
        <v/>
      </c>
      <c r="I115" s="67" t="str">
        <f t="shared" ca="1" si="57"/>
        <v/>
      </c>
      <c r="J115" s="67" t="str">
        <f t="shared" ca="1" si="57"/>
        <v/>
      </c>
      <c r="K115" s="67" t="str">
        <f t="shared" ca="1" si="57"/>
        <v/>
      </c>
      <c r="L115" s="67" t="str">
        <f t="shared" ca="1" si="57"/>
        <v/>
      </c>
    </row>
    <row r="116" spans="1:12" x14ac:dyDescent="0.35">
      <c r="A116" t="str">
        <f>IF(A7="","","    "&amp;A7&amp;" - Release from Mead")</f>
        <v xml:space="preserve">    Mexico - Release from Mead</v>
      </c>
      <c r="C116" s="67" t="str">
        <f t="shared" ref="C116:L116" ca="1" si="58">IF(OR(C$25="",$A116=""),"",OFFSET(C$61,8*(ROW(B116)-ROW(B$114)),0))</f>
        <v/>
      </c>
      <c r="D116" s="67" t="str">
        <f t="shared" ca="1" si="58"/>
        <v/>
      </c>
      <c r="E116" s="67" t="str">
        <f t="shared" ca="1" si="58"/>
        <v/>
      </c>
      <c r="F116" s="67" t="str">
        <f t="shared" ca="1" si="58"/>
        <v/>
      </c>
      <c r="G116" s="67" t="str">
        <f t="shared" ca="1" si="58"/>
        <v/>
      </c>
      <c r="H116" s="67" t="str">
        <f t="shared" ca="1" si="58"/>
        <v/>
      </c>
      <c r="I116" s="67" t="str">
        <f t="shared" ca="1" si="58"/>
        <v/>
      </c>
      <c r="J116" s="67" t="str">
        <f t="shared" ca="1" si="58"/>
        <v/>
      </c>
      <c r="K116" s="67" t="str">
        <f t="shared" ca="1" si="58"/>
        <v/>
      </c>
      <c r="L116" s="67" t="str">
        <f t="shared" ca="1" si="58"/>
        <v/>
      </c>
    </row>
    <row r="117" spans="1:12" x14ac:dyDescent="0.35">
      <c r="A117" t="str">
        <f>IF(A8="","","    "&amp;A8&amp;" - Release from Mead")</f>
        <v xml:space="preserve">    Colorado River Delta - Release from Mead</v>
      </c>
      <c r="C117" s="67" t="str">
        <f t="shared" ref="C117:L117" ca="1" si="59">IF(OR(C$25="",$A117=""),"",OFFSET(C$61,8*(ROW(B117)-ROW(B$114)),0))</f>
        <v/>
      </c>
      <c r="D117" s="67" t="str">
        <f t="shared" ca="1" si="59"/>
        <v/>
      </c>
      <c r="E117" s="67" t="str">
        <f t="shared" ca="1" si="59"/>
        <v/>
      </c>
      <c r="F117" s="67" t="str">
        <f t="shared" ca="1" si="59"/>
        <v/>
      </c>
      <c r="G117" s="67" t="str">
        <f t="shared" ca="1" si="59"/>
        <v/>
      </c>
      <c r="H117" s="67" t="str">
        <f t="shared" ca="1" si="59"/>
        <v/>
      </c>
      <c r="I117" s="67" t="str">
        <f t="shared" ca="1" si="59"/>
        <v/>
      </c>
      <c r="J117" s="67" t="str">
        <f t="shared" ca="1" si="59"/>
        <v/>
      </c>
      <c r="K117" s="67" t="str">
        <f t="shared" ca="1" si="59"/>
        <v/>
      </c>
      <c r="L117" s="67" t="str">
        <f t="shared" ca="1" si="59"/>
        <v/>
      </c>
    </row>
    <row r="118" spans="1:12" x14ac:dyDescent="0.35">
      <c r="A118" t="str">
        <f>IF(A9="","","    "&amp;A9&amp;" - Release from Mead")</f>
        <v/>
      </c>
      <c r="C118" s="67" t="str">
        <f t="shared" ref="C118:L118" ca="1" si="60">IF(OR(C$25="",$A118=""),"",OFFSET(C$61,8*(ROW(B118)-ROW(B$114)),0))</f>
        <v/>
      </c>
      <c r="D118" s="67" t="str">
        <f t="shared" ca="1" si="60"/>
        <v/>
      </c>
      <c r="E118" s="67" t="str">
        <f t="shared" ca="1" si="60"/>
        <v/>
      </c>
      <c r="F118" s="67" t="str">
        <f t="shared" ca="1" si="60"/>
        <v/>
      </c>
      <c r="G118" s="67" t="str">
        <f t="shared" ca="1" si="60"/>
        <v/>
      </c>
      <c r="H118" s="67" t="str">
        <f t="shared" ca="1" si="60"/>
        <v/>
      </c>
      <c r="I118" s="67" t="str">
        <f t="shared" ca="1" si="60"/>
        <v/>
      </c>
      <c r="J118" s="67" t="str">
        <f t="shared" ca="1" si="60"/>
        <v/>
      </c>
      <c r="K118" s="67" t="str">
        <f t="shared" ca="1" si="60"/>
        <v/>
      </c>
      <c r="L118" s="67" t="str">
        <f t="shared" ca="1" si="60"/>
        <v/>
      </c>
    </row>
    <row r="119" spans="1:12" x14ac:dyDescent="0.35">
      <c r="A119" t="str">
        <f>IF(A10="","","    "&amp;A10&amp;" - Release from Mead")</f>
        <v xml:space="preserve">    Shared, Reserve - Release from Mead</v>
      </c>
      <c r="C119" s="67" t="str">
        <f t="shared" ref="C119:L119" ca="1" si="61">IF(OR(C$25="",$A119=""),"",OFFSET(C$61,8*(ROW(B119)-ROW(B$114)),0))</f>
        <v/>
      </c>
      <c r="D119" s="67" t="str">
        <f t="shared" ca="1" si="61"/>
        <v/>
      </c>
      <c r="E119" s="67" t="str">
        <f t="shared" ca="1" si="61"/>
        <v/>
      </c>
      <c r="F119" s="67" t="str">
        <f t="shared" ca="1" si="61"/>
        <v/>
      </c>
      <c r="G119" s="67" t="str">
        <f t="shared" ca="1" si="61"/>
        <v/>
      </c>
      <c r="H119" s="67" t="str">
        <f t="shared" ca="1" si="61"/>
        <v/>
      </c>
      <c r="I119" s="67" t="str">
        <f t="shared" ca="1" si="61"/>
        <v/>
      </c>
      <c r="J119" s="67" t="str">
        <f t="shared" ca="1" si="61"/>
        <v/>
      </c>
      <c r="K119" s="67" t="str">
        <f t="shared" ca="1" si="61"/>
        <v/>
      </c>
      <c r="L119" s="67" t="str">
        <f t="shared" ca="1" si="61"/>
        <v/>
      </c>
    </row>
    <row r="120" spans="1:12" x14ac:dyDescent="0.35">
      <c r="A120" s="1" t="s">
        <v>138</v>
      </c>
      <c r="B120" s="1"/>
      <c r="D120" s="2"/>
      <c r="E120" s="2"/>
      <c r="F120" s="2"/>
      <c r="G120" s="2"/>
      <c r="H120" s="2"/>
      <c r="I120" s="2"/>
      <c r="J120" s="2"/>
      <c r="K120" s="2"/>
      <c r="L120" s="2"/>
    </row>
    <row r="121" spans="1:12" x14ac:dyDescent="0.35">
      <c r="A121" t="str">
        <f t="shared" ref="A121:A126" si="62">IF(A5="","","    "&amp;A5)</f>
        <v xml:space="preserve">    Upper Basin</v>
      </c>
      <c r="C121" s="67" t="str">
        <f t="shared" ref="C121:L121" ca="1" si="63">IF(OR(C$25="",$A121=""),"",OFFSET(C$62,8*(ROW(B121)-ROW(B$121)),0))</f>
        <v/>
      </c>
      <c r="D121" s="67" t="str">
        <f t="shared" ca="1" si="63"/>
        <v/>
      </c>
      <c r="E121" s="67" t="str">
        <f t="shared" ca="1" si="63"/>
        <v/>
      </c>
      <c r="F121" s="67" t="str">
        <f t="shared" ca="1" si="63"/>
        <v/>
      </c>
      <c r="G121" s="67" t="str">
        <f t="shared" ca="1" si="63"/>
        <v/>
      </c>
      <c r="H121" s="67" t="str">
        <f t="shared" ca="1" si="63"/>
        <v/>
      </c>
      <c r="I121" s="67" t="str">
        <f t="shared" ca="1" si="63"/>
        <v/>
      </c>
      <c r="J121" s="67" t="str">
        <f t="shared" ca="1" si="63"/>
        <v/>
      </c>
      <c r="K121" s="67" t="str">
        <f t="shared" ca="1" si="63"/>
        <v/>
      </c>
      <c r="L121" s="67" t="str">
        <f t="shared" ca="1" si="63"/>
        <v/>
      </c>
    </row>
    <row r="122" spans="1:12" x14ac:dyDescent="0.35">
      <c r="A122" t="str">
        <f t="shared" si="62"/>
        <v xml:space="preserve">    Lower Basin</v>
      </c>
      <c r="C122" s="67" t="str">
        <f t="shared" ref="C122:L122" ca="1" si="64">IF(OR(C$25="",$A122=""),"",OFFSET(C$62,8*(ROW(B122)-ROW(B$121)),0))</f>
        <v/>
      </c>
      <c r="D122" s="67" t="str">
        <f t="shared" ca="1" si="64"/>
        <v/>
      </c>
      <c r="E122" s="67" t="str">
        <f t="shared" ca="1" si="64"/>
        <v/>
      </c>
      <c r="F122" s="67" t="str">
        <f t="shared" ca="1" si="64"/>
        <v/>
      </c>
      <c r="G122" s="67" t="str">
        <f t="shared" ca="1" si="64"/>
        <v/>
      </c>
      <c r="H122" s="67" t="str">
        <f t="shared" ca="1" si="64"/>
        <v/>
      </c>
      <c r="I122" s="67" t="str">
        <f t="shared" ca="1" si="64"/>
        <v/>
      </c>
      <c r="J122" s="67" t="str">
        <f t="shared" ca="1" si="64"/>
        <v/>
      </c>
      <c r="K122" s="67" t="str">
        <f t="shared" ca="1" si="64"/>
        <v/>
      </c>
      <c r="L122" s="67" t="str">
        <f t="shared" ca="1" si="64"/>
        <v/>
      </c>
    </row>
    <row r="123" spans="1:12" x14ac:dyDescent="0.35">
      <c r="A123" t="str">
        <f t="shared" si="62"/>
        <v xml:space="preserve">    Mexico</v>
      </c>
      <c r="C123" s="67" t="str">
        <f t="shared" ref="C123:L123" ca="1" si="65">IF(OR(C$25="",$A123=""),"",OFFSET(C$62,8*(ROW(B123)-ROW(B$121)),0))</f>
        <v/>
      </c>
      <c r="D123" s="67" t="str">
        <f t="shared" ca="1" si="65"/>
        <v/>
      </c>
      <c r="E123" s="67" t="str">
        <f t="shared" ca="1" si="65"/>
        <v/>
      </c>
      <c r="F123" s="67" t="str">
        <f t="shared" ca="1" si="65"/>
        <v/>
      </c>
      <c r="G123" s="67" t="str">
        <f t="shared" ca="1" si="65"/>
        <v/>
      </c>
      <c r="H123" s="67" t="str">
        <f t="shared" ca="1" si="65"/>
        <v/>
      </c>
      <c r="I123" s="67" t="str">
        <f t="shared" ca="1" si="65"/>
        <v/>
      </c>
      <c r="J123" s="67" t="str">
        <f t="shared" ca="1" si="65"/>
        <v/>
      </c>
      <c r="K123" s="67" t="str">
        <f t="shared" ca="1" si="65"/>
        <v/>
      </c>
      <c r="L123" s="67" t="str">
        <f t="shared" ca="1" si="65"/>
        <v/>
      </c>
    </row>
    <row r="124" spans="1:12" x14ac:dyDescent="0.35">
      <c r="A124" t="str">
        <f t="shared" si="62"/>
        <v xml:space="preserve">    Colorado River Delta</v>
      </c>
      <c r="C124" s="67" t="str">
        <f t="shared" ref="C124:L124" ca="1" si="66">IF(OR(C$25="",$A124=""),"",OFFSET(C$62,8*(ROW(B124)-ROW(B$121)),0))</f>
        <v/>
      </c>
      <c r="D124" s="67" t="str">
        <f t="shared" ca="1" si="66"/>
        <v/>
      </c>
      <c r="E124" s="67" t="str">
        <f t="shared" ca="1" si="66"/>
        <v/>
      </c>
      <c r="F124" s="67" t="str">
        <f t="shared" ca="1" si="66"/>
        <v/>
      </c>
      <c r="G124" s="67" t="str">
        <f t="shared" ca="1" si="66"/>
        <v/>
      </c>
      <c r="H124" s="67" t="str">
        <f t="shared" ca="1" si="66"/>
        <v/>
      </c>
      <c r="I124" s="67" t="str">
        <f t="shared" ca="1" si="66"/>
        <v/>
      </c>
      <c r="J124" s="67" t="str">
        <f t="shared" ca="1" si="66"/>
        <v/>
      </c>
      <c r="K124" s="67" t="str">
        <f t="shared" ca="1" si="66"/>
        <v/>
      </c>
      <c r="L124" s="67" t="str">
        <f t="shared" ca="1" si="66"/>
        <v/>
      </c>
    </row>
    <row r="125" spans="1:12" x14ac:dyDescent="0.35">
      <c r="A125" t="str">
        <f t="shared" si="62"/>
        <v/>
      </c>
      <c r="C125" s="67" t="str">
        <f t="shared" ref="C125:L125" ca="1" si="67">IF(OR(C$25="",$A125=""),"",OFFSET(C$62,8*(ROW(B125)-ROW(B$121)),0))</f>
        <v/>
      </c>
      <c r="D125" s="67" t="str">
        <f t="shared" ca="1" si="67"/>
        <v/>
      </c>
      <c r="E125" s="67" t="str">
        <f t="shared" ca="1" si="67"/>
        <v/>
      </c>
      <c r="F125" s="67" t="str">
        <f t="shared" ca="1" si="67"/>
        <v/>
      </c>
      <c r="G125" s="67" t="str">
        <f t="shared" ca="1" si="67"/>
        <v/>
      </c>
      <c r="H125" s="67" t="str">
        <f t="shared" ca="1" si="67"/>
        <v/>
      </c>
      <c r="I125" s="67" t="str">
        <f t="shared" ca="1" si="67"/>
        <v/>
      </c>
      <c r="J125" s="67" t="str">
        <f t="shared" ca="1" si="67"/>
        <v/>
      </c>
      <c r="K125" s="67" t="str">
        <f t="shared" ca="1" si="67"/>
        <v/>
      </c>
      <c r="L125" s="67" t="str">
        <f t="shared" ca="1" si="67"/>
        <v/>
      </c>
    </row>
    <row r="126" spans="1:12" x14ac:dyDescent="0.35">
      <c r="A126" t="str">
        <f t="shared" si="62"/>
        <v xml:space="preserve">    Shared, Reserve</v>
      </c>
      <c r="C126" s="67" t="str">
        <f t="shared" ref="C126:L126" ca="1" si="68">IF(OR(C$25="",$A126=""),"",OFFSET(C$62,8*(ROW(B126)-ROW(B$121)),0))</f>
        <v/>
      </c>
      <c r="D126" s="67" t="str">
        <f t="shared" ca="1" si="68"/>
        <v/>
      </c>
      <c r="E126" s="67" t="str">
        <f t="shared" ca="1" si="68"/>
        <v/>
      </c>
      <c r="F126" s="67" t="str">
        <f t="shared" ca="1" si="68"/>
        <v/>
      </c>
      <c r="G126" s="67" t="str">
        <f t="shared" ca="1" si="68"/>
        <v/>
      </c>
      <c r="H126" s="67" t="str">
        <f t="shared" ca="1" si="68"/>
        <v/>
      </c>
      <c r="I126" s="67" t="str">
        <f t="shared" ca="1" si="68"/>
        <v/>
      </c>
      <c r="J126" s="67" t="str">
        <f t="shared" ca="1" si="68"/>
        <v/>
      </c>
      <c r="K126" s="67" t="str">
        <f t="shared" ca="1" si="68"/>
        <v/>
      </c>
      <c r="L126" s="67" t="str">
        <f t="shared" ca="1" si="68"/>
        <v/>
      </c>
    </row>
    <row r="127" spans="1:12" x14ac:dyDescent="0.35">
      <c r="A127" s="1" t="s">
        <v>372</v>
      </c>
      <c r="B127" s="1"/>
      <c r="C127" s="14" t="str">
        <f>IF(C$25&lt;&gt;"",SUM(C121:C126),"")</f>
        <v/>
      </c>
      <c r="D127" s="14" t="str">
        <f t="shared" ref="D127:L127" si="69">IF(D$25&lt;&gt;"",SUM(D121:D126),"")</f>
        <v/>
      </c>
      <c r="E127" s="14" t="str">
        <f t="shared" si="69"/>
        <v/>
      </c>
      <c r="F127" s="14" t="str">
        <f t="shared" si="69"/>
        <v/>
      </c>
      <c r="G127" s="14" t="str">
        <f t="shared" si="69"/>
        <v/>
      </c>
      <c r="H127" s="14" t="str">
        <f t="shared" si="69"/>
        <v/>
      </c>
      <c r="I127" s="14" t="str">
        <f t="shared" si="69"/>
        <v/>
      </c>
      <c r="J127" s="14" t="str">
        <f t="shared" si="69"/>
        <v/>
      </c>
      <c r="K127" s="14" t="str">
        <f t="shared" si="69"/>
        <v/>
      </c>
      <c r="L127" s="14" t="str">
        <f t="shared" si="69"/>
        <v/>
      </c>
    </row>
    <row r="128" spans="1:12" ht="29.5" customHeight="1" x14ac:dyDescent="0.35">
      <c r="A128" s="204" t="s">
        <v>384</v>
      </c>
      <c r="B128" s="205"/>
      <c r="C128" s="172"/>
      <c r="D128" s="172"/>
      <c r="E128" s="172"/>
      <c r="F128" s="172"/>
      <c r="G128" s="172"/>
      <c r="H128" s="172"/>
      <c r="I128" s="172"/>
      <c r="J128" s="172"/>
      <c r="K128" s="172"/>
      <c r="L128" s="172"/>
    </row>
    <row r="129" spans="1:14" x14ac:dyDescent="0.35">
      <c r="A129" s="1" t="s">
        <v>385</v>
      </c>
      <c r="B129" s="1"/>
      <c r="C129" s="14" t="str">
        <f>IF(C25="","",C$128*C$127)</f>
        <v/>
      </c>
      <c r="D129" s="14" t="str">
        <f t="shared" ref="D129:L129" si="70">IF(D25="","",D$128*D$127)</f>
        <v/>
      </c>
      <c r="E129" s="14" t="str">
        <f t="shared" si="70"/>
        <v/>
      </c>
      <c r="F129" s="14" t="str">
        <f t="shared" si="70"/>
        <v/>
      </c>
      <c r="G129" s="14" t="str">
        <f t="shared" si="70"/>
        <v/>
      </c>
      <c r="H129" s="14" t="str">
        <f t="shared" si="70"/>
        <v/>
      </c>
      <c r="I129" s="14" t="str">
        <f t="shared" si="70"/>
        <v/>
      </c>
      <c r="J129" s="14" t="str">
        <f t="shared" si="70"/>
        <v/>
      </c>
      <c r="K129" s="14" t="str">
        <f t="shared" si="70"/>
        <v/>
      </c>
      <c r="L129" s="14" t="str">
        <f t="shared" si="70"/>
        <v/>
      </c>
    </row>
    <row r="130" spans="1:14" x14ac:dyDescent="0.35">
      <c r="A130" s="1" t="s">
        <v>386</v>
      </c>
      <c r="B130" s="1"/>
      <c r="C130" s="14" t="str">
        <f>IF(C26="","",(1-C$128)*C$127)</f>
        <v/>
      </c>
      <c r="D130" s="14" t="str">
        <f t="shared" ref="D130:L130" si="71">IF(D26="","",(1-D$128)*D$127)</f>
        <v/>
      </c>
      <c r="E130" s="14" t="str">
        <f t="shared" si="71"/>
        <v/>
      </c>
      <c r="F130" s="14" t="str">
        <f t="shared" si="71"/>
        <v/>
      </c>
      <c r="G130" s="14" t="str">
        <f t="shared" si="71"/>
        <v/>
      </c>
      <c r="H130" s="14" t="str">
        <f t="shared" si="71"/>
        <v/>
      </c>
      <c r="I130" s="14" t="str">
        <f t="shared" si="71"/>
        <v/>
      </c>
      <c r="J130" s="14" t="str">
        <f t="shared" si="71"/>
        <v/>
      </c>
      <c r="K130" s="14" t="str">
        <f t="shared" si="71"/>
        <v/>
      </c>
      <c r="L130" s="14" t="str">
        <f t="shared" si="71"/>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387</v>
      </c>
      <c r="B133" s="1"/>
    </row>
    <row r="134" spans="1:14" x14ac:dyDescent="0.35">
      <c r="A134" s="32" t="s">
        <v>388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s="174" t="s">
        <v>194</v>
      </c>
    </row>
    <row r="135" spans="1:14" x14ac:dyDescent="0.35">
      <c r="A135" s="32" t="s">
        <v>373</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s="174" t="s">
        <v>283</v>
      </c>
    </row>
    <row r="136" spans="1:14" s="85" customFormat="1" ht="62.5" customHeight="1" x14ac:dyDescent="0.35">
      <c r="A136" s="117" t="s">
        <v>374</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c r="N136" s="180"/>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c r="N137" s="180"/>
    </row>
    <row r="138" spans="1:14" x14ac:dyDescent="0.35">
      <c r="C138" s="29"/>
    </row>
    <row r="140" spans="1:14" x14ac:dyDescent="0.35">
      <c r="D140" s="18"/>
    </row>
  </sheetData>
  <mergeCells count="13">
    <mergeCell ref="B14:D14"/>
    <mergeCell ref="B15:D15"/>
    <mergeCell ref="A128:B128"/>
    <mergeCell ref="C8:G8"/>
    <mergeCell ref="A3:G3"/>
    <mergeCell ref="C4:G4"/>
    <mergeCell ref="C5:G5"/>
    <mergeCell ref="C6:G6"/>
    <mergeCell ref="C7:G7"/>
    <mergeCell ref="C9:G9"/>
    <mergeCell ref="C10:G10"/>
    <mergeCell ref="B12:D12"/>
    <mergeCell ref="B13:D13"/>
  </mergeCells>
  <conditionalFormatting sqref="H61">
    <cfRule type="cellIs" dxfId="326" priority="85" operator="greaterThan">
      <formula>$H$60</formula>
    </cfRule>
  </conditionalFormatting>
  <conditionalFormatting sqref="I61">
    <cfRule type="cellIs" dxfId="325" priority="84" operator="greaterThan">
      <formula>$I$60</formula>
    </cfRule>
  </conditionalFormatting>
  <conditionalFormatting sqref="J61">
    <cfRule type="cellIs" dxfId="324" priority="83" operator="greaterThan">
      <formula>$J$60</formula>
    </cfRule>
  </conditionalFormatting>
  <conditionalFormatting sqref="K61">
    <cfRule type="cellIs" dxfId="323" priority="82" operator="greaterThan">
      <formula>$K$60</formula>
    </cfRule>
  </conditionalFormatting>
  <conditionalFormatting sqref="L61">
    <cfRule type="cellIs" dxfId="322" priority="81" operator="greaterThan">
      <formula>$L$60</formula>
    </cfRule>
  </conditionalFormatting>
  <conditionalFormatting sqref="H69">
    <cfRule type="cellIs" dxfId="321" priority="68" operator="greaterThan">
      <formula>$H$68</formula>
    </cfRule>
  </conditionalFormatting>
  <conditionalFormatting sqref="I69">
    <cfRule type="cellIs" dxfId="320" priority="67" operator="greaterThan">
      <formula>$I$68</formula>
    </cfRule>
  </conditionalFormatting>
  <conditionalFormatting sqref="J69">
    <cfRule type="cellIs" dxfId="319" priority="66" operator="greaterThan">
      <formula>$J$68</formula>
    </cfRule>
  </conditionalFormatting>
  <conditionalFormatting sqref="K69">
    <cfRule type="cellIs" dxfId="318" priority="65" operator="greaterThan">
      <formula>$K$68</formula>
    </cfRule>
  </conditionalFormatting>
  <conditionalFormatting sqref="L69">
    <cfRule type="cellIs" dxfId="317" priority="64" operator="greaterThan">
      <formula>$L$68</formula>
    </cfRule>
  </conditionalFormatting>
  <conditionalFormatting sqref="H77">
    <cfRule type="cellIs" dxfId="316" priority="58" operator="greaterThan">
      <formula>$H$76</formula>
    </cfRule>
  </conditionalFormatting>
  <conditionalFormatting sqref="I77">
    <cfRule type="cellIs" dxfId="315" priority="57" operator="greaterThan">
      <formula>$I$76</formula>
    </cfRule>
  </conditionalFormatting>
  <conditionalFormatting sqref="J77">
    <cfRule type="cellIs" dxfId="314" priority="56" operator="greaterThan">
      <formula>$J$76</formula>
    </cfRule>
  </conditionalFormatting>
  <conditionalFormatting sqref="K77">
    <cfRule type="cellIs" dxfId="313" priority="55" operator="greaterThan">
      <formula>$K$76</formula>
    </cfRule>
  </conditionalFormatting>
  <conditionalFormatting sqref="L77">
    <cfRule type="cellIs" dxfId="312" priority="54" operator="greaterThan">
      <formula>$L$76</formula>
    </cfRule>
  </conditionalFormatting>
  <conditionalFormatting sqref="C85:L85">
    <cfRule type="cellIs" dxfId="311" priority="53" operator="greaterThan">
      <formula>$C$84</formula>
    </cfRule>
  </conditionalFormatting>
  <conditionalFormatting sqref="C93">
    <cfRule type="cellIs" dxfId="310" priority="52" operator="greaterThan">
      <formula>$C$92</formula>
    </cfRule>
  </conditionalFormatting>
  <conditionalFormatting sqref="D93">
    <cfRule type="cellIs" dxfId="309" priority="51" operator="greaterThan">
      <formula>$D$92</formula>
    </cfRule>
  </conditionalFormatting>
  <conditionalFormatting sqref="E93">
    <cfRule type="cellIs" dxfId="308" priority="50" operator="greaterThan">
      <formula>$E$92</formula>
    </cfRule>
  </conditionalFormatting>
  <conditionalFormatting sqref="F93">
    <cfRule type="cellIs" dxfId="307" priority="49" operator="greaterThan">
      <formula>$F$92</formula>
    </cfRule>
  </conditionalFormatting>
  <conditionalFormatting sqref="G93">
    <cfRule type="cellIs" dxfId="306" priority="48" operator="greaterThan">
      <formula>$G$92</formula>
    </cfRule>
  </conditionalFormatting>
  <conditionalFormatting sqref="H93">
    <cfRule type="cellIs" dxfId="305" priority="47" operator="greaterThan">
      <formula>$H$92</formula>
    </cfRule>
  </conditionalFormatting>
  <conditionalFormatting sqref="I93">
    <cfRule type="cellIs" dxfId="304" priority="46" operator="greaterThan">
      <formula>$I$92</formula>
    </cfRule>
  </conditionalFormatting>
  <conditionalFormatting sqref="J93">
    <cfRule type="cellIs" dxfId="303" priority="45" operator="greaterThan">
      <formula>$J$92</formula>
    </cfRule>
  </conditionalFormatting>
  <conditionalFormatting sqref="K93">
    <cfRule type="cellIs" dxfId="302" priority="44" operator="greaterThan">
      <formula>$K$92</formula>
    </cfRule>
  </conditionalFormatting>
  <conditionalFormatting sqref="L93">
    <cfRule type="cellIs" dxfId="301" priority="43" operator="greaterThan">
      <formula>$L$92</formula>
    </cfRule>
  </conditionalFormatting>
  <conditionalFormatting sqref="C101">
    <cfRule type="cellIs" dxfId="300" priority="42" operator="greaterThan">
      <formula>$C$100</formula>
    </cfRule>
  </conditionalFormatting>
  <conditionalFormatting sqref="D101">
    <cfRule type="cellIs" dxfId="299" priority="41" operator="greaterThan">
      <formula>$D$100</formula>
    </cfRule>
  </conditionalFormatting>
  <conditionalFormatting sqref="E101">
    <cfRule type="cellIs" dxfId="298" priority="40" operator="greaterThan">
      <formula>$E$100</formula>
    </cfRule>
  </conditionalFormatting>
  <conditionalFormatting sqref="F101">
    <cfRule type="cellIs" dxfId="297" priority="39" operator="greaterThan">
      <formula>$F$100</formula>
    </cfRule>
  </conditionalFormatting>
  <conditionalFormatting sqref="G101">
    <cfRule type="cellIs" dxfId="296" priority="38" operator="greaterThan">
      <formula>$G$100</formula>
    </cfRule>
  </conditionalFormatting>
  <conditionalFormatting sqref="H101">
    <cfRule type="cellIs" dxfId="295" priority="37" operator="greaterThan">
      <formula>$H$100</formula>
    </cfRule>
  </conditionalFormatting>
  <conditionalFormatting sqref="I101">
    <cfRule type="cellIs" dxfId="294" priority="36" operator="greaterThan">
      <formula>$I$100</formula>
    </cfRule>
  </conditionalFormatting>
  <conditionalFormatting sqref="J101">
    <cfRule type="cellIs" dxfId="293" priority="35" operator="greaterThan">
      <formula>$J$100</formula>
    </cfRule>
  </conditionalFormatting>
  <conditionalFormatting sqref="K101">
    <cfRule type="cellIs" dxfId="292" priority="34" operator="greaterThan">
      <formula>$K$100</formula>
    </cfRule>
  </conditionalFormatting>
  <conditionalFormatting sqref="L101">
    <cfRule type="cellIs" dxfId="291" priority="33" operator="greaterThan">
      <formula>$L$100</formula>
    </cfRule>
  </conditionalFormatting>
  <conditionalFormatting sqref="D61">
    <cfRule type="cellIs" dxfId="290" priority="20" operator="greaterThan">
      <formula>$D$60</formula>
    </cfRule>
  </conditionalFormatting>
  <conditionalFormatting sqref="C61">
    <cfRule type="cellIs" dxfId="289" priority="18" operator="greaterThan">
      <formula>$C$60</formula>
    </cfRule>
  </conditionalFormatting>
  <conditionalFormatting sqref="E61">
    <cfRule type="cellIs" dxfId="288" priority="16" operator="greaterThan">
      <formula>$E$60</formula>
    </cfRule>
  </conditionalFormatting>
  <conditionalFormatting sqref="F61">
    <cfRule type="cellIs" dxfId="287" priority="15" operator="greaterThan">
      <formula>$F$60</formula>
    </cfRule>
  </conditionalFormatting>
  <conditionalFormatting sqref="G61">
    <cfRule type="cellIs" dxfId="286" priority="14" operator="greaterThan">
      <formula>$G$60</formula>
    </cfRule>
  </conditionalFormatting>
  <conditionalFormatting sqref="C69">
    <cfRule type="cellIs" dxfId="285" priority="10" operator="greaterThan">
      <formula>$C$68</formula>
    </cfRule>
  </conditionalFormatting>
  <conditionalFormatting sqref="D69">
    <cfRule type="cellIs" dxfId="284" priority="9" operator="greaterThan">
      <formula>$D$68</formula>
    </cfRule>
  </conditionalFormatting>
  <conditionalFormatting sqref="E69">
    <cfRule type="cellIs" dxfId="283" priority="8" operator="greaterThan">
      <formula>$E$68</formula>
    </cfRule>
  </conditionalFormatting>
  <conditionalFormatting sqref="F69">
    <cfRule type="cellIs" dxfId="282" priority="7" operator="greaterThan">
      <formula>$F$68</formula>
    </cfRule>
  </conditionalFormatting>
  <conditionalFormatting sqref="G69">
    <cfRule type="cellIs" dxfId="281" priority="6" operator="greaterThan">
      <formula>$G$68</formula>
    </cfRule>
  </conditionalFormatting>
  <conditionalFormatting sqref="C77">
    <cfRule type="cellIs" dxfId="280" priority="5" operator="greaterThan">
      <formula>$C$76</formula>
    </cfRule>
  </conditionalFormatting>
  <conditionalFormatting sqref="D77">
    <cfRule type="cellIs" dxfId="279" priority="4" operator="greaterThan">
      <formula>$D$76</formula>
    </cfRule>
  </conditionalFormatting>
  <conditionalFormatting sqref="E77">
    <cfRule type="cellIs" dxfId="278" priority="3" operator="greaterThan">
      <formula>$E$76</formula>
    </cfRule>
  </conditionalFormatting>
  <conditionalFormatting sqref="F77">
    <cfRule type="cellIs" dxfId="277" priority="2" operator="greaterThan">
      <formula>$F$76</formula>
    </cfRule>
  </conditionalFormatting>
  <conditionalFormatting sqref="G77">
    <cfRule type="cellIs" dxfId="276" priority="1" operator="greaterThan">
      <formula>$G$76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7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7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3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19" id="{D023A550-7298-4CB9-9C70-17174189482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17" id="{A49F793D-89F9-4751-816D-E6C8A7C4D226}">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13" id="{91D34829-7FBE-4C9A-B9B4-360BA60B5E71}">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12" id="{1F49413C-E272-489B-81FE-B258D7135BA3}">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11" id="{25EBF820-63FF-42B7-94A2-28CA1F543417}">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45"/>
      <c r="I3" s="145"/>
      <c r="J3" s="145"/>
      <c r="K3" s="145"/>
    </row>
    <row r="4" spans="1:13" x14ac:dyDescent="0.35">
      <c r="A4" s="53" t="s">
        <v>38</v>
      </c>
      <c r="B4" s="53" t="s">
        <v>42</v>
      </c>
      <c r="C4" s="221" t="s">
        <v>43</v>
      </c>
      <c r="D4" s="222"/>
      <c r="E4" s="222"/>
      <c r="F4" s="222"/>
      <c r="G4" s="223"/>
      <c r="M4" s="1" t="s">
        <v>303</v>
      </c>
    </row>
    <row r="5" spans="1:13" x14ac:dyDescent="0.35">
      <c r="A5" s="144" t="s">
        <v>39</v>
      </c>
      <c r="B5" s="144" t="str">
        <f>IF(Master!B5="","",Master!B5)</f>
        <v/>
      </c>
      <c r="C5" s="211" t="s">
        <v>313</v>
      </c>
      <c r="D5" s="206"/>
      <c r="E5" s="206"/>
      <c r="F5" s="206"/>
      <c r="G5" s="206"/>
      <c r="M5" t="s">
        <v>304</v>
      </c>
    </row>
    <row r="6" spans="1:13" x14ac:dyDescent="0.35">
      <c r="A6" s="144" t="s">
        <v>40</v>
      </c>
      <c r="B6" s="144" t="str">
        <f>IF(Master!B6="","",Master!B6)</f>
        <v/>
      </c>
      <c r="C6" s="211" t="s">
        <v>313</v>
      </c>
      <c r="D6" s="206"/>
      <c r="E6" s="206"/>
      <c r="F6" s="206"/>
      <c r="G6" s="206"/>
      <c r="M6" t="s">
        <v>309</v>
      </c>
    </row>
    <row r="7" spans="1:13" x14ac:dyDescent="0.35">
      <c r="A7" s="144" t="s">
        <v>41</v>
      </c>
      <c r="B7" s="144" t="str">
        <f>IF(Master!B7="","",Master!B7)</f>
        <v/>
      </c>
      <c r="C7" s="211" t="s">
        <v>313</v>
      </c>
      <c r="D7" s="206"/>
      <c r="E7" s="206"/>
      <c r="F7" s="206"/>
      <c r="G7" s="206"/>
      <c r="M7" t="s">
        <v>310</v>
      </c>
    </row>
    <row r="8" spans="1:13" x14ac:dyDescent="0.35">
      <c r="A8" s="156" t="s">
        <v>147</v>
      </c>
      <c r="B8" s="155" t="str">
        <f>IF(Master!B8="","",Master!B8)</f>
        <v/>
      </c>
      <c r="C8" s="211" t="s">
        <v>215</v>
      </c>
      <c r="D8" s="206"/>
      <c r="E8" s="206"/>
      <c r="F8" s="206"/>
      <c r="G8" s="206"/>
    </row>
    <row r="9" spans="1:13" x14ac:dyDescent="0.35">
      <c r="A9" s="144" t="str">
        <f>IF(Master!A9="","",Master!A9)</f>
        <v/>
      </c>
      <c r="B9" s="144" t="str">
        <f>IF(Master!B9="","",Master!B9)</f>
        <v/>
      </c>
      <c r="C9" s="212"/>
      <c r="D9" s="212"/>
      <c r="E9" s="212"/>
      <c r="F9" s="212"/>
      <c r="G9" s="212"/>
    </row>
    <row r="10" spans="1:13" x14ac:dyDescent="0.35">
      <c r="A10" s="157" t="s">
        <v>156</v>
      </c>
      <c r="B10" s="157" t="str">
        <f>IF(Master!B10="","",Master!B10)</f>
        <v/>
      </c>
      <c r="C10" s="213" t="s">
        <v>354</v>
      </c>
      <c r="D10" s="213"/>
      <c r="E10" s="213"/>
      <c r="F10" s="213"/>
      <c r="G10" s="213"/>
    </row>
    <row r="11" spans="1:13" x14ac:dyDescent="0.35">
      <c r="A11" s="16"/>
      <c r="B11" s="2"/>
      <c r="C11"/>
    </row>
    <row r="12" spans="1:13" x14ac:dyDescent="0.35">
      <c r="A12" s="19" t="s">
        <v>398</v>
      </c>
      <c r="B12" s="214" t="s">
        <v>400</v>
      </c>
      <c r="C12" s="215"/>
      <c r="D12" s="216"/>
    </row>
    <row r="13" spans="1:13" x14ac:dyDescent="0.35">
      <c r="B13" s="217" t="s">
        <v>401</v>
      </c>
      <c r="C13" s="218"/>
      <c r="D13" s="219"/>
    </row>
    <row r="14" spans="1:13" x14ac:dyDescent="0.35">
      <c r="B14" s="198" t="s">
        <v>402</v>
      </c>
      <c r="C14" s="199"/>
      <c r="D14" s="200"/>
    </row>
    <row r="15" spans="1:13" x14ac:dyDescent="0.35">
      <c r="B15" s="201" t="s">
        <v>46</v>
      </c>
      <c r="C15" s="202"/>
      <c r="D15" s="203"/>
    </row>
    <row r="17" spans="1:14" x14ac:dyDescent="0.35">
      <c r="A17" s="1" t="s">
        <v>410</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IF(Master!C25="","",Master!C25)</f>
        <v/>
      </c>
      <c r="D25" s="132" t="str">
        <f>IF(Master!D25="","",Master!D25)</f>
        <v/>
      </c>
      <c r="E25" s="132" t="str">
        <f>IF(Master!E25="","",Master!E25)</f>
        <v/>
      </c>
      <c r="F25" s="132" t="str">
        <f>IF(Master!F25="","",Master!F25)</f>
        <v/>
      </c>
      <c r="G25" s="132" t="str">
        <f>IF(Master!G25="","",Master!G25)</f>
        <v/>
      </c>
      <c r="H25" s="132" t="str">
        <f>IF(Master!H25="","",Master!H25)</f>
        <v/>
      </c>
      <c r="I25" s="132" t="str">
        <f>IF(Master!I25="","",Master!I25)</f>
        <v/>
      </c>
      <c r="J25" s="132" t="str">
        <f>IF(Master!J25="","",Master!J25)</f>
        <v/>
      </c>
      <c r="K25" s="132" t="str">
        <f>IF(Master!K25="","",Master!K25)</f>
        <v/>
      </c>
      <c r="L25" s="132" t="str">
        <f>IF(Master!L25="","",Master!L25)</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64"/>
      <c r="I3" s="64"/>
      <c r="J3" s="64"/>
      <c r="K3" s="64"/>
    </row>
    <row r="4" spans="1:13" x14ac:dyDescent="0.35">
      <c r="A4" s="53" t="s">
        <v>38</v>
      </c>
      <c r="B4" s="53" t="s">
        <v>42</v>
      </c>
      <c r="C4" s="221" t="s">
        <v>43</v>
      </c>
      <c r="D4" s="222"/>
      <c r="E4" s="222"/>
      <c r="F4" s="222"/>
      <c r="G4" s="223"/>
      <c r="M4" s="1" t="s">
        <v>303</v>
      </c>
    </row>
    <row r="5" spans="1:13" x14ac:dyDescent="0.35">
      <c r="A5" s="124" t="s">
        <v>39</v>
      </c>
      <c r="B5" s="124" t="s">
        <v>152</v>
      </c>
      <c r="C5" s="211" t="s">
        <v>306</v>
      </c>
      <c r="D5" s="206"/>
      <c r="E5" s="206"/>
      <c r="F5" s="206"/>
      <c r="G5" s="206"/>
      <c r="M5" t="s">
        <v>304</v>
      </c>
    </row>
    <row r="6" spans="1:13" x14ac:dyDescent="0.35">
      <c r="A6" s="124" t="s">
        <v>40</v>
      </c>
      <c r="B6" s="124" t="s">
        <v>152</v>
      </c>
      <c r="C6" s="211" t="s">
        <v>307</v>
      </c>
      <c r="D6" s="206"/>
      <c r="E6" s="206"/>
      <c r="F6" s="206"/>
      <c r="G6" s="206"/>
      <c r="M6" t="s">
        <v>309</v>
      </c>
    </row>
    <row r="7" spans="1:13" x14ac:dyDescent="0.35">
      <c r="A7" s="124" t="s">
        <v>41</v>
      </c>
      <c r="B7" s="124" t="s">
        <v>152</v>
      </c>
      <c r="C7" s="211" t="s">
        <v>308</v>
      </c>
      <c r="D7" s="206"/>
      <c r="E7" s="206"/>
      <c r="F7" s="206"/>
      <c r="G7" s="206"/>
      <c r="M7" t="s">
        <v>310</v>
      </c>
    </row>
    <row r="8" spans="1:13" x14ac:dyDescent="0.35">
      <c r="A8" s="107" t="s">
        <v>156</v>
      </c>
      <c r="B8" s="107" t="s">
        <v>152</v>
      </c>
      <c r="C8" s="213" t="s">
        <v>305</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t="s">
        <v>152</v>
      </c>
      <c r="C5" s="211" t="s">
        <v>313</v>
      </c>
      <c r="D5" s="206"/>
      <c r="E5" s="206"/>
      <c r="F5" s="206"/>
      <c r="G5" s="206"/>
      <c r="M5" t="s">
        <v>304</v>
      </c>
    </row>
    <row r="6" spans="1:13" x14ac:dyDescent="0.35">
      <c r="A6" s="124" t="s">
        <v>40</v>
      </c>
      <c r="B6" s="124" t="s">
        <v>152</v>
      </c>
      <c r="C6" s="211" t="s">
        <v>313</v>
      </c>
      <c r="D6" s="206"/>
      <c r="E6" s="206"/>
      <c r="F6" s="206"/>
      <c r="G6" s="206"/>
      <c r="M6" t="s">
        <v>309</v>
      </c>
    </row>
    <row r="7" spans="1:13" x14ac:dyDescent="0.35">
      <c r="A7" s="124" t="s">
        <v>41</v>
      </c>
      <c r="B7" s="124" t="s">
        <v>152</v>
      </c>
      <c r="C7" s="211" t="s">
        <v>313</v>
      </c>
      <c r="D7" s="206"/>
      <c r="E7" s="206"/>
      <c r="F7" s="206"/>
      <c r="G7" s="206"/>
      <c r="M7" t="s">
        <v>310</v>
      </c>
    </row>
    <row r="8" spans="1:13" x14ac:dyDescent="0.35">
      <c r="A8" s="113" t="s">
        <v>156</v>
      </c>
      <c r="B8" s="113" t="s">
        <v>152</v>
      </c>
      <c r="C8" s="213" t="s">
        <v>305</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151</v>
      </c>
      <c r="D5" s="206"/>
      <c r="E5" s="206"/>
      <c r="F5" s="206"/>
      <c r="G5" s="206"/>
      <c r="M5" t="s">
        <v>304</v>
      </c>
    </row>
    <row r="6" spans="1:13" x14ac:dyDescent="0.35">
      <c r="A6" s="124" t="s">
        <v>40</v>
      </c>
      <c r="B6" s="124"/>
      <c r="C6" s="211" t="s">
        <v>151</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2021-10-06T02:46:27Z</dcterms:modified>
</cp:coreProperties>
</file>