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A570FC7B-6F9C-4F04-AF8A-42A88D9F3E46}" xr6:coauthVersionLast="36" xr6:coauthVersionMax="36" xr10:uidLastSave="{00000000-0000-0000-0000-000000000000}"/>
  <bookViews>
    <workbookView xWindow="0" yWindow="0" windowWidth="19200" windowHeight="6650" xr2:uid="{5373AB19-D84C-490D-97DC-C516D358024A}"/>
  </bookViews>
  <sheets>
    <sheet name="ReadMe-Directions" sheetId="6" r:id="rId1"/>
    <sheet name="Versions" sheetId="31" r:id="rId2"/>
    <sheet name="Master" sheetId="47" r:id="rId3"/>
    <sheet name="Master-LawOfRiver" sheetId="57" r:id="rId4"/>
    <sheet name="Master-Plots" sheetId="55" r:id="rId5"/>
    <sheet name="SplitInflowPlot" sheetId="59" r:id="rId6"/>
    <sheet name="SplitInflow" sheetId="60" r:id="rId7"/>
    <sheet name="MandatoryConservation" sheetId="41" r:id="rId8"/>
    <sheet name="HydrologicScenarios" sheetId="7" r:id="rId9"/>
    <sheet name="PowellReleaseTemperature" sheetId="43" r:id="rId10"/>
    <sheet name="Powell-Elevation-Area" sheetId="2" r:id="rId11"/>
    <sheet name="Mead-Elevation-Area" sheetId="10" r:id="rId12"/>
    <sheet name="CellType" sheetId="54" r:id="rId1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9" i="57" l="1"/>
  <c r="N27" i="57"/>
  <c r="A1" i="60" l="1"/>
  <c r="C33" i="60"/>
  <c r="C36" i="60" s="1"/>
  <c r="C21" i="60"/>
  <c r="B21" i="60"/>
  <c r="D38" i="60"/>
  <c r="E38" i="60"/>
  <c r="F38" i="60"/>
  <c r="G38" i="60"/>
  <c r="H38" i="60"/>
  <c r="I38" i="60"/>
  <c r="J38" i="60"/>
  <c r="K38" i="60"/>
  <c r="L38" i="60"/>
  <c r="C38" i="60"/>
  <c r="E101" i="57" l="1"/>
  <c r="F101" i="57"/>
  <c r="G101" i="57"/>
  <c r="H101" i="57"/>
  <c r="I101" i="57"/>
  <c r="J101" i="57"/>
  <c r="K101" i="57"/>
  <c r="L101" i="57"/>
  <c r="E73" i="57"/>
  <c r="F73" i="57"/>
  <c r="G73" i="57"/>
  <c r="H73" i="57"/>
  <c r="I73" i="57"/>
  <c r="J73" i="57"/>
  <c r="K73" i="57"/>
  <c r="L73" i="57"/>
  <c r="E69" i="57"/>
  <c r="F69" i="57"/>
  <c r="G69" i="57"/>
  <c r="H69" i="57"/>
  <c r="I69" i="57"/>
  <c r="J69" i="57"/>
  <c r="K69" i="57"/>
  <c r="L69" i="57"/>
  <c r="E65" i="57"/>
  <c r="F65" i="57"/>
  <c r="G65" i="57"/>
  <c r="H65" i="57"/>
  <c r="I65" i="57"/>
  <c r="J65" i="57"/>
  <c r="K65" i="57"/>
  <c r="L65" i="57"/>
  <c r="E61" i="57"/>
  <c r="F61" i="57"/>
  <c r="G61" i="57"/>
  <c r="H61" i="57"/>
  <c r="I61" i="57"/>
  <c r="J61" i="57"/>
  <c r="K61" i="57"/>
  <c r="L61" i="57"/>
  <c r="C28" i="57"/>
  <c r="E116" i="47"/>
  <c r="F116" i="47"/>
  <c r="G116" i="47"/>
  <c r="F46" i="47" l="1"/>
  <c r="E49" i="57"/>
  <c r="F49" i="57"/>
  <c r="G49" i="57"/>
  <c r="H49" i="57"/>
  <c r="I49" i="57"/>
  <c r="J49" i="57"/>
  <c r="K49" i="57"/>
  <c r="L49" i="57"/>
  <c r="E49" i="47"/>
  <c r="F49" i="47"/>
  <c r="G49" i="47"/>
  <c r="H49" i="47"/>
  <c r="I49" i="47"/>
  <c r="J49" i="47"/>
  <c r="K49" i="47"/>
  <c r="L49" i="47"/>
  <c r="H51" i="57"/>
  <c r="I51" i="57"/>
  <c r="J51" i="57"/>
  <c r="K51" i="57"/>
  <c r="L51" i="57"/>
  <c r="H52" i="57"/>
  <c r="I52" i="57"/>
  <c r="J52" i="57"/>
  <c r="K52" i="57"/>
  <c r="L52" i="57"/>
  <c r="H53" i="57"/>
  <c r="I53" i="57"/>
  <c r="J53" i="57"/>
  <c r="K53" i="57"/>
  <c r="L53" i="57"/>
  <c r="H54" i="57"/>
  <c r="I54" i="57"/>
  <c r="J54" i="57"/>
  <c r="K54" i="57"/>
  <c r="L54" i="57"/>
  <c r="H56" i="57"/>
  <c r="I56" i="57"/>
  <c r="J56" i="57"/>
  <c r="K56" i="57"/>
  <c r="L56" i="57"/>
  <c r="H57" i="57"/>
  <c r="I57" i="57"/>
  <c r="J57" i="57"/>
  <c r="K57" i="57"/>
  <c r="L57" i="57"/>
  <c r="E51" i="57"/>
  <c r="F51" i="57"/>
  <c r="G51" i="57"/>
  <c r="E52" i="57"/>
  <c r="F52" i="57"/>
  <c r="G52" i="57"/>
  <c r="E53" i="57"/>
  <c r="F53" i="57"/>
  <c r="G53" i="57"/>
  <c r="E54" i="57"/>
  <c r="F54" i="57"/>
  <c r="G54" i="57"/>
  <c r="E56" i="57"/>
  <c r="F56" i="57"/>
  <c r="G56" i="57"/>
  <c r="E57" i="57"/>
  <c r="F57" i="57"/>
  <c r="G57" i="57"/>
  <c r="B54" i="57"/>
  <c r="H51" i="47"/>
  <c r="I51" i="47"/>
  <c r="J51" i="47"/>
  <c r="K51" i="47"/>
  <c r="L51" i="47"/>
  <c r="H52" i="47"/>
  <c r="I52" i="47"/>
  <c r="J52" i="47"/>
  <c r="K52" i="47"/>
  <c r="L52" i="47"/>
  <c r="H53" i="47"/>
  <c r="I53" i="47"/>
  <c r="J53" i="47"/>
  <c r="K53" i="47"/>
  <c r="L53" i="47"/>
  <c r="H54" i="47"/>
  <c r="I54" i="47"/>
  <c r="J54" i="47"/>
  <c r="K54" i="47"/>
  <c r="L54" i="47"/>
  <c r="H55" i="47"/>
  <c r="I55" i="47"/>
  <c r="J55" i="47"/>
  <c r="K55" i="47"/>
  <c r="L55" i="47"/>
  <c r="H56" i="47"/>
  <c r="I56" i="47"/>
  <c r="J56" i="47"/>
  <c r="K56" i="47"/>
  <c r="L56" i="47"/>
  <c r="H57" i="47"/>
  <c r="I57" i="47"/>
  <c r="J57" i="47"/>
  <c r="K57" i="47"/>
  <c r="L57" i="47"/>
  <c r="E51" i="47"/>
  <c r="F51" i="47"/>
  <c r="G51" i="47"/>
  <c r="E52" i="47"/>
  <c r="F52" i="47"/>
  <c r="G52" i="47"/>
  <c r="E53" i="47"/>
  <c r="F53" i="47"/>
  <c r="G53" i="47"/>
  <c r="E54" i="47"/>
  <c r="F54" i="47"/>
  <c r="G54" i="47"/>
  <c r="E55" i="47"/>
  <c r="F55" i="47"/>
  <c r="G55" i="47"/>
  <c r="E56" i="47"/>
  <c r="F56" i="47"/>
  <c r="G56" i="47"/>
  <c r="E57" i="47"/>
  <c r="F57" i="47"/>
  <c r="G57" i="47"/>
  <c r="B25" i="47"/>
  <c r="B56" i="60"/>
  <c r="B57" i="60" s="1"/>
  <c r="A46" i="60"/>
  <c r="A45" i="60"/>
  <c r="B44" i="60"/>
  <c r="A44" i="60"/>
  <c r="B43" i="60"/>
  <c r="B41" i="60" s="1"/>
  <c r="A43" i="60"/>
  <c r="A42" i="60"/>
  <c r="A41" i="60"/>
  <c r="A40" i="60"/>
  <c r="H39" i="60"/>
  <c r="E39" i="60"/>
  <c r="D39" i="60"/>
  <c r="C39" i="60"/>
  <c r="A37" i="60"/>
  <c r="C34" i="60"/>
  <c r="D33" i="60"/>
  <c r="D36" i="60" s="1"/>
  <c r="L31" i="60"/>
  <c r="K31" i="60"/>
  <c r="J31" i="60"/>
  <c r="I31" i="60"/>
  <c r="H31" i="60"/>
  <c r="G31" i="60"/>
  <c r="F31" i="60"/>
  <c r="E31" i="60"/>
  <c r="D31" i="60"/>
  <c r="C31" i="60"/>
  <c r="L30" i="60"/>
  <c r="K30" i="60"/>
  <c r="J30" i="60"/>
  <c r="I30" i="60"/>
  <c r="H30" i="60"/>
  <c r="G30" i="60"/>
  <c r="F30" i="60"/>
  <c r="E30" i="60"/>
  <c r="L29" i="60"/>
  <c r="L39" i="60" s="1"/>
  <c r="K29" i="60"/>
  <c r="K39" i="60" s="1"/>
  <c r="J29" i="60"/>
  <c r="J39" i="60" s="1"/>
  <c r="I29" i="60"/>
  <c r="I39" i="60" s="1"/>
  <c r="H29" i="60"/>
  <c r="G29" i="60"/>
  <c r="G39" i="60" s="1"/>
  <c r="F29" i="60"/>
  <c r="F39" i="60" s="1"/>
  <c r="E29" i="60"/>
  <c r="N27" i="60"/>
  <c r="B25" i="60"/>
  <c r="B22" i="60"/>
  <c r="B24" i="60" s="1"/>
  <c r="C35" i="60" l="1"/>
  <c r="D35" i="60" s="1"/>
  <c r="E35" i="60" s="1"/>
  <c r="F35" i="60" s="1"/>
  <c r="G35" i="60" s="1"/>
  <c r="H35" i="60" s="1"/>
  <c r="I35" i="60" s="1"/>
  <c r="J35" i="60" s="1"/>
  <c r="K35" i="60" s="1"/>
  <c r="L35" i="60" s="1"/>
  <c r="D37" i="60"/>
  <c r="D45" i="60" s="1"/>
  <c r="D46" i="60" s="1"/>
  <c r="E33" i="60"/>
  <c r="E36" i="60" s="1"/>
  <c r="D34" i="60"/>
  <c r="C37" i="60"/>
  <c r="C45" i="60" s="1"/>
  <c r="C46" i="60" l="1"/>
  <c r="C44" i="60" s="1"/>
  <c r="C43" i="60" s="1"/>
  <c r="C42" i="60" s="1"/>
  <c r="C41" i="60" s="1"/>
  <c r="C40" i="60" s="1"/>
  <c r="C48" i="60" s="1"/>
  <c r="D44" i="60"/>
  <c r="D43" i="60" s="1"/>
  <c r="E34" i="60"/>
  <c r="F33" i="60"/>
  <c r="F36" i="60" s="1"/>
  <c r="E37" i="60"/>
  <c r="E45" i="60" s="1"/>
  <c r="D42" i="60" l="1"/>
  <c r="D41" i="60" s="1"/>
  <c r="D40" i="60" s="1"/>
  <c r="D48" i="60" s="1"/>
  <c r="F37" i="60"/>
  <c r="F45" i="60" s="1"/>
  <c r="G33" i="60"/>
  <c r="G36" i="60" s="1"/>
  <c r="E46" i="60"/>
  <c r="E44" i="60" s="1"/>
  <c r="E43" i="60" s="1"/>
  <c r="F34" i="60"/>
  <c r="E42" i="60" l="1"/>
  <c r="E41" i="60" s="1"/>
  <c r="E40" i="60" s="1"/>
  <c r="E48" i="60" s="1"/>
  <c r="F46" i="60"/>
  <c r="F44" i="60" s="1"/>
  <c r="F43" i="60" s="1"/>
  <c r="G34" i="60"/>
  <c r="G37" i="60"/>
  <c r="G45" i="60" s="1"/>
  <c r="H33" i="60"/>
  <c r="H36" i="60" s="1"/>
  <c r="F42" i="60" l="1"/>
  <c r="F41" i="60" s="1"/>
  <c r="F40" i="60" s="1"/>
  <c r="F48" i="60" s="1"/>
  <c r="H37" i="60"/>
  <c r="H45" i="60" s="1"/>
  <c r="I33" i="60"/>
  <c r="I36" i="60" s="1"/>
  <c r="G46" i="60"/>
  <c r="G44" i="60" s="1"/>
  <c r="G43" i="60" s="1"/>
  <c r="H34" i="60"/>
  <c r="G42" i="60" l="1"/>
  <c r="G41" i="60" s="1"/>
  <c r="G40" i="60" s="1"/>
  <c r="G48" i="60" s="1"/>
  <c r="H46" i="60"/>
  <c r="H44" i="60" s="1"/>
  <c r="H43" i="60" s="1"/>
  <c r="I34" i="60"/>
  <c r="I37" i="60"/>
  <c r="I45" i="60" s="1"/>
  <c r="J33" i="60"/>
  <c r="J36" i="60" s="1"/>
  <c r="H42" i="60" l="1"/>
  <c r="H41" i="60" s="1"/>
  <c r="H40" i="60" s="1"/>
  <c r="H48" i="60" s="1"/>
  <c r="I46" i="60"/>
  <c r="I44" i="60" s="1"/>
  <c r="I43" i="60" s="1"/>
  <c r="J34" i="60"/>
  <c r="K33" i="60"/>
  <c r="K36" i="60" s="1"/>
  <c r="J37" i="60"/>
  <c r="J45" i="60" s="1"/>
  <c r="I42" i="60" l="1"/>
  <c r="I41" i="60" s="1"/>
  <c r="I40" i="60" s="1"/>
  <c r="I48" i="60" s="1"/>
  <c r="J46" i="60"/>
  <c r="J44" i="60" s="1"/>
  <c r="J43" i="60" s="1"/>
  <c r="L33" i="60"/>
  <c r="L36" i="60" s="1"/>
  <c r="K37" i="60"/>
  <c r="K45" i="60" s="1"/>
  <c r="K34" i="60"/>
  <c r="H50" i="60" l="1"/>
  <c r="J42" i="60"/>
  <c r="J41" i="60" s="1"/>
  <c r="J40" i="60" s="1"/>
  <c r="J48" i="60" s="1"/>
  <c r="L34" i="60"/>
  <c r="K46" i="60"/>
  <c r="K44" i="60" s="1"/>
  <c r="K43" i="60" s="1"/>
  <c r="K42" i="60" l="1"/>
  <c r="K41" i="60" s="1"/>
  <c r="K40" i="60" s="1"/>
  <c r="K48" i="60" s="1"/>
  <c r="L37" i="60"/>
  <c r="L45" i="60" s="1"/>
  <c r="L46" i="60" l="1"/>
  <c r="L44" i="60" s="1"/>
  <c r="L43" i="60" s="1"/>
  <c r="L42" i="60" s="1"/>
  <c r="L41" i="60" s="1"/>
  <c r="L40" i="60" s="1"/>
  <c r="L48" i="60" s="1"/>
  <c r="A63" i="57" l="1"/>
  <c r="A63" i="47" l="1"/>
  <c r="E81" i="57" l="1"/>
  <c r="F81" i="57"/>
  <c r="G81" i="57"/>
  <c r="A6" i="57" l="1"/>
  <c r="A68" i="57" s="1"/>
  <c r="A7" i="57"/>
  <c r="A112" i="57" s="1"/>
  <c r="L112" i="57" s="1"/>
  <c r="A8" i="57"/>
  <c r="A36" i="57" s="1"/>
  <c r="B9" i="57"/>
  <c r="A5" i="57"/>
  <c r="A43" i="57" s="1"/>
  <c r="J43" i="57" s="1"/>
  <c r="D28" i="57"/>
  <c r="E28" i="57"/>
  <c r="F28" i="57"/>
  <c r="F30" i="57" s="1"/>
  <c r="G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A100" i="57"/>
  <c r="M94" i="57"/>
  <c r="M93" i="57"/>
  <c r="M86" i="57"/>
  <c r="M85" i="57"/>
  <c r="M78" i="57"/>
  <c r="M77" i="57"/>
  <c r="M70" i="57"/>
  <c r="M62" i="57"/>
  <c r="A57" i="57"/>
  <c r="A56" i="57"/>
  <c r="L50" i="57"/>
  <c r="K50" i="57"/>
  <c r="J50" i="57"/>
  <c r="I50" i="57"/>
  <c r="H50"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C21" i="57"/>
  <c r="B21" i="57"/>
  <c r="A1" i="57"/>
  <c r="E31" i="57" l="1"/>
  <c r="I123" i="57"/>
  <c r="H130" i="57"/>
  <c r="F29" i="57"/>
  <c r="F134" i="57" s="1"/>
  <c r="A129" i="57"/>
  <c r="J129" i="57" s="1"/>
  <c r="A54" i="57"/>
  <c r="E30" i="57"/>
  <c r="A33" i="57"/>
  <c r="K33" i="57" s="1"/>
  <c r="A60" i="57"/>
  <c r="A61" i="57" s="1"/>
  <c r="A62" i="57" s="1"/>
  <c r="F115" i="57"/>
  <c r="A122" i="57"/>
  <c r="K122" i="57" s="1"/>
  <c r="A37" i="57"/>
  <c r="H37" i="57" s="1"/>
  <c r="A55" i="57"/>
  <c r="A92" i="57"/>
  <c r="G115" i="57"/>
  <c r="H115" i="57"/>
  <c r="A47" i="57"/>
  <c r="L47" i="57" s="1"/>
  <c r="H48" i="57"/>
  <c r="I48" i="57"/>
  <c r="L48" i="57"/>
  <c r="A34" i="57"/>
  <c r="I34" i="57" s="1"/>
  <c r="G30" i="57"/>
  <c r="A110" i="57"/>
  <c r="L110" i="57" s="1"/>
  <c r="G31" i="57"/>
  <c r="B34" i="57"/>
  <c r="C34" i="57" s="1"/>
  <c r="F31" i="57"/>
  <c r="A52" i="57"/>
  <c r="C40" i="57"/>
  <c r="C32" i="57"/>
  <c r="A114" i="57"/>
  <c r="L114" i="57" s="1"/>
  <c r="K36" i="57"/>
  <c r="L36" i="57"/>
  <c r="A76" i="57"/>
  <c r="A119" i="57"/>
  <c r="H119" i="57" s="1"/>
  <c r="A113" i="57"/>
  <c r="F113" i="57" s="1"/>
  <c r="K34" i="57"/>
  <c r="A45" i="57"/>
  <c r="J45" i="57" s="1"/>
  <c r="A126" i="57"/>
  <c r="J126" i="57" s="1"/>
  <c r="A53" i="57"/>
  <c r="L34" i="57"/>
  <c r="A111" i="57"/>
  <c r="H111" i="57" s="1"/>
  <c r="A35" i="57"/>
  <c r="L35" i="57" s="1"/>
  <c r="A84" i="57"/>
  <c r="A85" i="57" s="1"/>
  <c r="F122" i="57"/>
  <c r="A51" i="57"/>
  <c r="P51" i="57" s="1"/>
  <c r="A118" i="57"/>
  <c r="G118" i="57" s="1"/>
  <c r="A125" i="57"/>
  <c r="J125" i="57" s="1"/>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F50" i="57"/>
  <c r="G29" i="57"/>
  <c r="C41" i="57"/>
  <c r="C73" i="57" s="1"/>
  <c r="F118" i="57"/>
  <c r="G110" i="57"/>
  <c r="F110" i="57"/>
  <c r="J123" i="57"/>
  <c r="B38" i="57"/>
  <c r="B33" i="57"/>
  <c r="C33" i="57" s="1"/>
  <c r="H33" i="57"/>
  <c r="J118" i="57"/>
  <c r="I33" i="57"/>
  <c r="J110" i="57"/>
  <c r="K38" i="57"/>
  <c r="C38" i="57"/>
  <c r="J38" i="57"/>
  <c r="H38" i="57"/>
  <c r="L38" i="57"/>
  <c r="I112" i="57"/>
  <c r="H112" i="57"/>
  <c r="G112" i="57"/>
  <c r="F112" i="57"/>
  <c r="E112" i="57"/>
  <c r="J33" i="57"/>
  <c r="H123" i="57"/>
  <c r="G123" i="57"/>
  <c r="F123" i="57"/>
  <c r="E123" i="57"/>
  <c r="L123" i="57"/>
  <c r="I113" i="57"/>
  <c r="I115" i="57"/>
  <c r="J130" i="57"/>
  <c r="J111" i="57"/>
  <c r="J113" i="57"/>
  <c r="J115" i="57"/>
  <c r="K130" i="57"/>
  <c r="J119" i="57"/>
  <c r="L130" i="57"/>
  <c r="J36" i="57"/>
  <c r="J48" i="57"/>
  <c r="L113" i="57"/>
  <c r="L115" i="57"/>
  <c r="J122" i="57"/>
  <c r="L125" i="57"/>
  <c r="C36" i="57"/>
  <c r="E115" i="57"/>
  <c r="B25" i="57"/>
  <c r="I129" i="57" l="1"/>
  <c r="E55" i="57"/>
  <c r="L55" i="57"/>
  <c r="G55" i="57"/>
  <c r="H55" i="57"/>
  <c r="F55" i="57"/>
  <c r="I55" i="57"/>
  <c r="J55" i="57"/>
  <c r="K55" i="57"/>
  <c r="C42" i="57"/>
  <c r="C44" i="57" s="1"/>
  <c r="A69" i="57"/>
  <c r="A70" i="57" s="1"/>
  <c r="A72" i="57" s="1"/>
  <c r="K128" i="57"/>
  <c r="E110" i="57"/>
  <c r="K119" i="57"/>
  <c r="K111" i="57"/>
  <c r="G111" i="57"/>
  <c r="I119" i="57"/>
  <c r="L33" i="57"/>
  <c r="J34" i="57"/>
  <c r="E111" i="57"/>
  <c r="H34" i="57"/>
  <c r="K47" i="57"/>
  <c r="I122" i="57"/>
  <c r="F129" i="57"/>
  <c r="G129" i="57"/>
  <c r="J47" i="57"/>
  <c r="H129" i="57"/>
  <c r="E122" i="57"/>
  <c r="H47" i="57"/>
  <c r="K129" i="57"/>
  <c r="L129" i="57"/>
  <c r="H122" i="57"/>
  <c r="F47" i="57"/>
  <c r="I47" i="57"/>
  <c r="G47" i="57"/>
  <c r="G122" i="57"/>
  <c r="H110" i="57"/>
  <c r="B37" i="57"/>
  <c r="C37" i="57" s="1"/>
  <c r="I110" i="57"/>
  <c r="K110" i="57"/>
  <c r="H118" i="57"/>
  <c r="L122" i="57"/>
  <c r="F37" i="57"/>
  <c r="A93" i="57"/>
  <c r="A94" i="57" s="1"/>
  <c r="A96" i="57" s="1"/>
  <c r="L96" i="57" s="1"/>
  <c r="I111" i="57"/>
  <c r="J37" i="57"/>
  <c r="L37" i="57"/>
  <c r="H45" i="57"/>
  <c r="L126" i="57"/>
  <c r="K37" i="57"/>
  <c r="G37" i="57"/>
  <c r="A77" i="57"/>
  <c r="A78" i="57" s="1"/>
  <c r="A80" i="57" s="1"/>
  <c r="P52" i="57"/>
  <c r="I37" i="57"/>
  <c r="A101" i="57"/>
  <c r="A102" i="57" s="1"/>
  <c r="A104" i="57" s="1"/>
  <c r="G119" i="57"/>
  <c r="F111" i="57"/>
  <c r="L111" i="57"/>
  <c r="K114" i="57"/>
  <c r="H44" i="57"/>
  <c r="I125" i="57"/>
  <c r="K127" i="57"/>
  <c r="I120" i="57"/>
  <c r="I35" i="57"/>
  <c r="C113" i="57"/>
  <c r="K113" i="57"/>
  <c r="E113" i="57"/>
  <c r="J44" i="57"/>
  <c r="G113" i="57"/>
  <c r="A86" i="57"/>
  <c r="A88" i="57" s="1"/>
  <c r="G114" i="57"/>
  <c r="H114" i="57"/>
  <c r="I114" i="57"/>
  <c r="C114" i="57"/>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F116" i="57"/>
  <c r="G116" i="57"/>
  <c r="G50" i="57"/>
  <c r="G134" i="57"/>
  <c r="G136" i="57" s="1"/>
  <c r="G41" i="57"/>
  <c r="F136" i="57"/>
  <c r="M112" i="57"/>
  <c r="A64" i="57"/>
  <c r="F50" i="47"/>
  <c r="G50" i="47"/>
  <c r="H50" i="47"/>
  <c r="I50" i="47"/>
  <c r="J50" i="47"/>
  <c r="K50" i="47"/>
  <c r="L50" i="47"/>
  <c r="C43" i="57" l="1"/>
  <c r="C46" i="57"/>
  <c r="C48" i="57"/>
  <c r="C45" i="57"/>
  <c r="C47" i="57"/>
  <c r="A95" i="57"/>
  <c r="F95" i="57" s="1"/>
  <c r="G96" i="57"/>
  <c r="M114" i="57"/>
  <c r="F96" i="57"/>
  <c r="J96" i="57"/>
  <c r="I96" i="57"/>
  <c r="M113" i="57"/>
  <c r="H96" i="57"/>
  <c r="K96"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A65" i="57"/>
  <c r="L64" i="57"/>
  <c r="I64" i="57"/>
  <c r="J64" i="57"/>
  <c r="K64" i="57"/>
  <c r="A57" i="47"/>
  <c r="L95" i="57" l="1"/>
  <c r="K95" i="57"/>
  <c r="J95" i="57"/>
  <c r="H95" i="57"/>
  <c r="I95" i="57"/>
  <c r="E95" i="57"/>
  <c r="C95" i="57"/>
  <c r="G95" i="57"/>
  <c r="M95" i="57"/>
  <c r="D95" i="57"/>
  <c r="A66" i="57"/>
  <c r="J66" i="57" s="1"/>
  <c r="A97" i="57"/>
  <c r="A89" i="57"/>
  <c r="A90" i="57" s="1"/>
  <c r="I90" i="57" s="1"/>
  <c r="A73" i="57"/>
  <c r="A74" i="57" s="1"/>
  <c r="I74" i="57" s="1"/>
  <c r="A81" i="57"/>
  <c r="A82" i="57" s="1"/>
  <c r="L82" i="57" s="1"/>
  <c r="L87" i="57"/>
  <c r="K87" i="57"/>
  <c r="I87" i="57"/>
  <c r="H87" i="57"/>
  <c r="F87" i="57"/>
  <c r="E87" i="57"/>
  <c r="G87" i="57"/>
  <c r="J87" i="57"/>
  <c r="M87" i="57"/>
  <c r="L79" i="57"/>
  <c r="K79" i="57"/>
  <c r="I79" i="57"/>
  <c r="H79" i="57"/>
  <c r="M79" i="57"/>
  <c r="J79" i="57"/>
  <c r="E79" i="57"/>
  <c r="G79" i="57"/>
  <c r="F79" i="57"/>
  <c r="I66" i="57"/>
  <c r="H66" i="57"/>
  <c r="L103" i="57"/>
  <c r="K103" i="57"/>
  <c r="J103" i="57"/>
  <c r="I103" i="57"/>
  <c r="H103" i="57"/>
  <c r="F103" i="57"/>
  <c r="E103" i="57"/>
  <c r="G103" i="57"/>
  <c r="M103" i="57"/>
  <c r="A105" i="57"/>
  <c r="A106" i="57" s="1"/>
  <c r="L71" i="57"/>
  <c r="K71" i="57"/>
  <c r="I71" i="57"/>
  <c r="H71" i="57"/>
  <c r="J71" i="57"/>
  <c r="G71" i="57"/>
  <c r="F71" i="57"/>
  <c r="E71" i="57"/>
  <c r="M71" i="57"/>
  <c r="B24" i="47"/>
  <c r="F97" i="57" l="1"/>
  <c r="E97" i="57"/>
  <c r="G97" i="57"/>
  <c r="A98" i="57"/>
  <c r="J98" i="57" s="1"/>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F40" i="47" l="1"/>
  <c r="G40" i="47"/>
  <c r="H40" i="47"/>
  <c r="I40" i="47"/>
  <c r="J40" i="47"/>
  <c r="K40" i="47"/>
  <c r="L40" i="47"/>
  <c r="F41" i="47"/>
  <c r="G41" i="47"/>
  <c r="H41" i="47"/>
  <c r="I41" i="47"/>
  <c r="J41" i="47"/>
  <c r="K41" i="47"/>
  <c r="L41" i="47"/>
  <c r="C41" i="47"/>
  <c r="C40" i="47"/>
  <c r="G7" i="43" l="1"/>
  <c r="G8" i="43"/>
  <c r="G9" i="43"/>
  <c r="G10" i="43"/>
  <c r="G11" i="43"/>
  <c r="G6" i="43"/>
  <c r="G5" i="43"/>
  <c r="B54" i="47" l="1"/>
  <c r="H30" i="47" l="1"/>
  <c r="I30" i="47"/>
  <c r="J30" i="47"/>
  <c r="K30" i="47"/>
  <c r="L30" i="47"/>
  <c r="D30" i="47"/>
  <c r="D30" i="57" s="1"/>
  <c r="E30" i="47"/>
  <c r="F30" i="47"/>
  <c r="G30" i="47"/>
  <c r="C30" i="47"/>
  <c r="C30" i="57" s="1"/>
  <c r="L141" i="47" l="1"/>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56" i="47"/>
  <c r="A54" i="47"/>
  <c r="A53" i="47"/>
  <c r="A52" i="47"/>
  <c r="A51" i="47"/>
  <c r="A48" i="47"/>
  <c r="K48" i="47" s="1"/>
  <c r="A47" i="47"/>
  <c r="F47" i="47" s="1"/>
  <c r="A46" i="47"/>
  <c r="K46" i="47" s="1"/>
  <c r="A45" i="47"/>
  <c r="I45" i="47" s="1"/>
  <c r="A44" i="47"/>
  <c r="I44" i="47" s="1"/>
  <c r="A43" i="47"/>
  <c r="J43" i="47" s="1"/>
  <c r="L42" i="47"/>
  <c r="K42" i="47"/>
  <c r="J42" i="47"/>
  <c r="I42" i="47"/>
  <c r="H42"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D31" i="57" s="1"/>
  <c r="C31" i="47"/>
  <c r="B55" i="47" s="1"/>
  <c r="L29" i="47"/>
  <c r="L134" i="47" s="1"/>
  <c r="K29" i="47"/>
  <c r="K134" i="47" s="1"/>
  <c r="J29" i="47"/>
  <c r="J134" i="47" s="1"/>
  <c r="I29" i="47"/>
  <c r="I134" i="47" s="1"/>
  <c r="H29" i="47"/>
  <c r="G29" i="47"/>
  <c r="F29" i="47"/>
  <c r="E29" i="47"/>
  <c r="E50" i="47" s="1"/>
  <c r="D29" i="47"/>
  <c r="C29" i="47"/>
  <c r="C21" i="47"/>
  <c r="B34" i="47" s="1"/>
  <c r="B21" i="47"/>
  <c r="A1" i="47"/>
  <c r="F9" i="43"/>
  <c r="E6" i="43"/>
  <c r="E7" i="43" s="1"/>
  <c r="E11" i="43"/>
  <c r="D50" i="47" l="1"/>
  <c r="D29" i="57"/>
  <c r="D50" i="57" s="1"/>
  <c r="C31" i="57"/>
  <c r="B55" i="57" s="1"/>
  <c r="B52" i="47"/>
  <c r="C50" i="47"/>
  <c r="C29" i="57"/>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M39" i="60" l="1"/>
  <c r="B52" i="57"/>
  <c r="C50" i="57"/>
  <c r="C47" i="47"/>
  <c r="M114" i="47"/>
  <c r="A88" i="47"/>
  <c r="A87" i="47"/>
  <c r="C48" i="47"/>
  <c r="C56" i="47" s="1"/>
  <c r="M115" i="47"/>
  <c r="C36" i="47"/>
  <c r="C46" i="47" s="1"/>
  <c r="M113" i="47"/>
  <c r="D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7" i="47" l="1"/>
  <c r="C49" i="47" s="1"/>
  <c r="C56" i="57"/>
  <c r="C57" i="57" s="1"/>
  <c r="M45" i="60"/>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5" i="47" l="1"/>
  <c r="C54" i="47" s="1"/>
  <c r="C53" i="47" s="1"/>
  <c r="C52" i="47" s="1"/>
  <c r="C51" i="47" s="1"/>
  <c r="C55" i="57"/>
  <c r="C54" i="57" s="1"/>
  <c r="C49" i="57"/>
  <c r="M46" i="60"/>
  <c r="A105" i="47"/>
  <c r="A106" i="47" s="1"/>
  <c r="A73" i="47"/>
  <c r="A74" i="47" s="1"/>
  <c r="A81" i="47"/>
  <c r="A82" i="47" s="1"/>
  <c r="A66" i="47"/>
  <c r="A90" i="47"/>
  <c r="A98" i="47"/>
  <c r="M43" i="60" l="1"/>
  <c r="C53" i="57"/>
  <c r="C52" i="57" s="1"/>
  <c r="C96" i="47"/>
  <c r="C98" i="47" s="1"/>
  <c r="C129" i="47" s="1"/>
  <c r="D37" i="47" s="1"/>
  <c r="M44" i="60"/>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51" i="57" l="1"/>
  <c r="C61" i="57" s="1"/>
  <c r="C69" i="57"/>
  <c r="M42" i="60"/>
  <c r="M41" i="60"/>
  <c r="M40" i="60"/>
  <c r="C96" i="57"/>
  <c r="C97" i="5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01" i="57" l="1"/>
  <c r="C64" i="47"/>
  <c r="C66" i="47" s="1"/>
  <c r="C125" i="47" s="1"/>
  <c r="D33" i="47" s="1"/>
  <c r="C88" i="57"/>
  <c r="C90" i="57" s="1"/>
  <c r="C128" i="57" s="1"/>
  <c r="D36" i="57" s="1"/>
  <c r="C122" i="57"/>
  <c r="E33" i="57"/>
  <c r="C72" i="47"/>
  <c r="C74" i="47" s="1"/>
  <c r="C126" i="47" s="1"/>
  <c r="D34" i="47" s="1"/>
  <c r="P5" i="41"/>
  <c r="C115" i="57" l="1"/>
  <c r="C104" i="57"/>
  <c r="C98" i="57"/>
  <c r="C129" i="57" s="1"/>
  <c r="D37" i="57" s="1"/>
  <c r="C80" i="57"/>
  <c r="E32" i="57"/>
  <c r="C131" i="47"/>
  <c r="C134" i="47" s="1"/>
  <c r="D41" i="47" s="1"/>
  <c r="F35" i="31"/>
  <c r="C81" i="57" l="1"/>
  <c r="C120" i="57" s="1"/>
  <c r="E41" i="57"/>
  <c r="E40" i="57"/>
  <c r="E42" i="57" s="1"/>
  <c r="D32" i="47"/>
  <c r="C133" i="47"/>
  <c r="C138" i="47" s="1"/>
  <c r="C136" i="47"/>
  <c r="C119" i="57" l="1"/>
  <c r="C82" i="57"/>
  <c r="C127" i="57" s="1"/>
  <c r="D35" i="57" s="1"/>
  <c r="E48" i="57"/>
  <c r="E47" i="57"/>
  <c r="E46" i="57"/>
  <c r="E43" i="57"/>
  <c r="E44" i="57"/>
  <c r="E45" i="57"/>
  <c r="F32" i="57"/>
  <c r="D40" i="47"/>
  <c r="D42" i="47" s="1"/>
  <c r="D47" i="47" s="1"/>
  <c r="C135" i="47"/>
  <c r="C141" i="47" s="1"/>
  <c r="E104" i="57" l="1"/>
  <c r="E106" i="57" s="1"/>
  <c r="E130" i="57" s="1"/>
  <c r="F38" i="57" s="1"/>
  <c r="F33" i="57"/>
  <c r="F41" i="57"/>
  <c r="D45" i="47"/>
  <c r="D48" i="47"/>
  <c r="D56" i="47" s="1"/>
  <c r="D46" i="47"/>
  <c r="D44" i="47"/>
  <c r="D43" i="47"/>
  <c r="C140" i="47"/>
  <c r="C139" i="47"/>
  <c r="D57" i="47" l="1"/>
  <c r="D49" i="47" s="1"/>
  <c r="E96" i="57"/>
  <c r="E98" i="57" s="1"/>
  <c r="E129" i="57" s="1"/>
  <c r="F42" i="57"/>
  <c r="F44" i="57" s="1"/>
  <c r="D104" i="47"/>
  <c r="D106" i="47" s="1"/>
  <c r="D130" i="47" s="1"/>
  <c r="E38" i="47" s="1"/>
  <c r="D55" i="47" l="1"/>
  <c r="D54" i="47" s="1"/>
  <c r="D53" i="47" s="1"/>
  <c r="D52" i="47" s="1"/>
  <c r="D51" i="47" s="1"/>
  <c r="E88" i="57"/>
  <c r="E90" i="57" s="1"/>
  <c r="E128" i="57" s="1"/>
  <c r="F36" i="57" s="1"/>
  <c r="F40" i="57"/>
  <c r="F43" i="57"/>
  <c r="F48" i="57"/>
  <c r="F45" i="57"/>
  <c r="F46" i="57"/>
  <c r="F104" i="57"/>
  <c r="F106" i="57" s="1"/>
  <c r="F130" i="57" s="1"/>
  <c r="G38" i="57" s="1"/>
  <c r="E80" i="57" l="1"/>
  <c r="F88" i="57"/>
  <c r="F90" i="57" s="1"/>
  <c r="F128" i="57" s="1"/>
  <c r="G36" i="57" s="1"/>
  <c r="D96" i="47"/>
  <c r="D98" i="47" s="1"/>
  <c r="D129" i="47" s="1"/>
  <c r="E37" i="47" s="1"/>
  <c r="D88" i="47"/>
  <c r="D90" i="47" s="1"/>
  <c r="D128" i="47" s="1"/>
  <c r="E36" i="47" s="1"/>
  <c r="D80" i="47"/>
  <c r="D82" i="47" s="1"/>
  <c r="D127" i="47" s="1"/>
  <c r="E35" i="47" s="1"/>
  <c r="E120" i="57" l="1"/>
  <c r="E82" i="57"/>
  <c r="E127" i="57" s="1"/>
  <c r="F35" i="57" s="1"/>
  <c r="E64" i="57"/>
  <c r="E72" i="57"/>
  <c r="F80" i="57"/>
  <c r="F82" i="57" s="1"/>
  <c r="F127" i="57" s="1"/>
  <c r="G35" i="57" s="1"/>
  <c r="D64" i="47"/>
  <c r="D66" i="47" s="1"/>
  <c r="D125" i="47" s="1"/>
  <c r="E33" i="47" s="1"/>
  <c r="D72" i="47"/>
  <c r="D74" i="47" s="1"/>
  <c r="D126" i="47" s="1"/>
  <c r="E34" i="47" s="1"/>
  <c r="D47" i="57" l="1"/>
  <c r="E118" i="57"/>
  <c r="E66" i="57"/>
  <c r="E125" i="57" s="1"/>
  <c r="E119" i="57"/>
  <c r="F64" i="57"/>
  <c r="F66" i="57" s="1"/>
  <c r="F125" i="57" s="1"/>
  <c r="F72" i="57"/>
  <c r="F74" i="57" s="1"/>
  <c r="F126" i="57" s="1"/>
  <c r="G34" i="57" s="1"/>
  <c r="D131" i="47"/>
  <c r="E32" i="47" s="1"/>
  <c r="D55" i="57" l="1"/>
  <c r="E74" i="57"/>
  <c r="E126" i="57" s="1"/>
  <c r="F34" i="57" s="1"/>
  <c r="F131" i="57"/>
  <c r="G33" i="57"/>
  <c r="D133" i="47"/>
  <c r="E40" i="47" s="1"/>
  <c r="D134" i="47"/>
  <c r="D136" i="47" s="1"/>
  <c r="D96" i="57" l="1"/>
  <c r="D97" i="57" s="1"/>
  <c r="D122" i="57" s="1"/>
  <c r="E131" i="57"/>
  <c r="G32" i="57"/>
  <c r="F133" i="57"/>
  <c r="E41" i="47"/>
  <c r="D138" i="47"/>
  <c r="D135" i="47"/>
  <c r="D140" i="47" s="1"/>
  <c r="D98" i="57" l="1"/>
  <c r="D129" i="57" s="1"/>
  <c r="E37" i="57" s="1"/>
  <c r="E133" i="57"/>
  <c r="E134" i="57"/>
  <c r="E136" i="57" s="1"/>
  <c r="F135" i="57"/>
  <c r="F138" i="57"/>
  <c r="G40" i="57"/>
  <c r="G42" i="57" s="1"/>
  <c r="E42" i="47"/>
  <c r="D141" i="47"/>
  <c r="D139" i="47"/>
  <c r="E135" i="57" l="1"/>
  <c r="E138" i="57"/>
  <c r="E48" i="47"/>
  <c r="E104" i="47" s="1"/>
  <c r="E106" i="47" s="1"/>
  <c r="E130" i="47" s="1"/>
  <c r="F38" i="47" s="1"/>
  <c r="E47" i="47"/>
  <c r="G46" i="57"/>
  <c r="G43" i="57"/>
  <c r="G44" i="57"/>
  <c r="G48" i="57"/>
  <c r="G45" i="57"/>
  <c r="F140" i="57"/>
  <c r="F141" i="57"/>
  <c r="F139" i="57"/>
  <c r="E45" i="47"/>
  <c r="E46" i="47"/>
  <c r="E43" i="47"/>
  <c r="E44" i="47"/>
  <c r="E140" i="57" l="1"/>
  <c r="E139" i="57"/>
  <c r="E141" i="57"/>
  <c r="E96" i="47"/>
  <c r="E98" i="47" s="1"/>
  <c r="E129" i="47" s="1"/>
  <c r="G104" i="57"/>
  <c r="G106" i="57" s="1"/>
  <c r="G130" i="57" s="1"/>
  <c r="G88" i="57" l="1"/>
  <c r="G90" i="57" s="1"/>
  <c r="G128" i="57" s="1"/>
  <c r="E88" i="47" l="1"/>
  <c r="E90" i="47" s="1"/>
  <c r="E128" i="47" s="1"/>
  <c r="F36" i="47" s="1"/>
  <c r="G80" i="57"/>
  <c r="G82" i="57" s="1"/>
  <c r="G127" i="57" s="1"/>
  <c r="E80" i="47" l="1"/>
  <c r="E82" i="47" s="1"/>
  <c r="E127" i="47" s="1"/>
  <c r="F35" i="47" s="1"/>
  <c r="G64" i="57"/>
  <c r="G66" i="57" s="1"/>
  <c r="G125" i="57" s="1"/>
  <c r="G131" i="57" s="1"/>
  <c r="G133" i="57" s="1"/>
  <c r="G72" i="57"/>
  <c r="G74" i="57" s="1"/>
  <c r="G126" i="57" s="1"/>
  <c r="F42" i="47"/>
  <c r="E38" i="57" l="1"/>
  <c r="E64" i="47"/>
  <c r="E66" i="47" s="1"/>
  <c r="E125" i="47" s="1"/>
  <c r="E72" i="47"/>
  <c r="E74" i="47" s="1"/>
  <c r="E126" i="47" s="1"/>
  <c r="F34" i="47" s="1"/>
  <c r="G135" i="57"/>
  <c r="G138" i="5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 r="E34" i="57" l="1"/>
  <c r="E35" i="57"/>
  <c r="E36" i="57"/>
  <c r="C110" i="57"/>
  <c r="C64" i="57"/>
  <c r="C65" i="57" l="1"/>
  <c r="C118" i="57" s="1"/>
  <c r="C66" i="57" l="1"/>
  <c r="C125" i="57" l="1"/>
  <c r="C106" i="57" l="1"/>
  <c r="C130" i="57" s="1"/>
  <c r="D38" i="57" s="1"/>
  <c r="C123" i="57"/>
  <c r="D33" i="57"/>
  <c r="D123" i="57" l="1"/>
  <c r="C111" i="57"/>
  <c r="C72" i="57"/>
  <c r="C74" i="57" s="1"/>
  <c r="C126" i="57" s="1"/>
  <c r="C131" i="57" l="1"/>
  <c r="D34" i="57"/>
  <c r="C116" i="57"/>
  <c r="C79" i="57" l="1"/>
  <c r="C103" i="57"/>
  <c r="C63" i="57"/>
  <c r="C71" i="57"/>
  <c r="C87" i="57"/>
  <c r="C133" i="57"/>
  <c r="D32" i="57"/>
  <c r="C134" i="57"/>
  <c r="D40" i="57" l="1"/>
  <c r="C135" i="57"/>
  <c r="C138" i="57"/>
  <c r="D41" i="57"/>
  <c r="C136" i="57"/>
  <c r="D73" i="57" l="1"/>
  <c r="D119" i="57" s="1"/>
  <c r="C141" i="57"/>
  <c r="C139" i="57"/>
  <c r="C140" i="57"/>
  <c r="D42" i="57"/>
  <c r="D45" i="57" l="1"/>
  <c r="D44" i="57"/>
  <c r="D46" i="57"/>
  <c r="D48" i="57"/>
  <c r="D56" i="57" s="1"/>
  <c r="D43" i="57"/>
  <c r="D57" i="57" l="1"/>
  <c r="D49" i="57" s="1"/>
  <c r="D54" i="57" l="1"/>
  <c r="D88" i="57" s="1"/>
  <c r="D90" i="57" s="1"/>
  <c r="D128" i="57" s="1"/>
  <c r="D53" i="57" l="1"/>
  <c r="D52" i="57" s="1"/>
  <c r="D69" i="57" s="1"/>
  <c r="D80" i="57" l="1"/>
  <c r="D81" i="57" s="1"/>
  <c r="D120" i="57" s="1"/>
  <c r="D111" i="57"/>
  <c r="M111" i="57" s="1"/>
  <c r="M69" i="57"/>
  <c r="D51" i="57"/>
  <c r="D72" i="57"/>
  <c r="D74" i="57" s="1"/>
  <c r="D126" i="57" s="1"/>
  <c r="D82" i="57" l="1"/>
  <c r="D127" i="57" s="1"/>
  <c r="D61" i="57"/>
  <c r="D101" i="57" s="1"/>
  <c r="M101" i="57" l="1"/>
  <c r="D115" i="57"/>
  <c r="M115" i="57" s="1"/>
  <c r="D104" i="57"/>
  <c r="D106" i="57" s="1"/>
  <c r="D130" i="57" s="1"/>
  <c r="D110" i="57"/>
  <c r="M61" i="57"/>
  <c r="D64" i="57"/>
  <c r="D65" i="57" l="1"/>
  <c r="D118" i="57" s="1"/>
  <c r="D116" i="57"/>
  <c r="M110" i="57"/>
  <c r="D79" i="57" l="1"/>
  <c r="D103" i="57"/>
  <c r="D63" i="57"/>
  <c r="D71" i="57"/>
  <c r="D87" i="57"/>
  <c r="D66" i="57"/>
  <c r="D125" i="57" s="1"/>
  <c r="D131" i="57" s="1"/>
  <c r="D133" i="57" l="1"/>
  <c r="D134" i="57"/>
  <c r="D136" i="57" s="1"/>
  <c r="D135" i="57" l="1"/>
  <c r="D138" i="57"/>
  <c r="D139" i="57" l="1"/>
  <c r="D141" i="57"/>
  <c r="D140" i="57"/>
</calcChain>
</file>

<file path=xl/sharedStrings.xml><?xml version="1.0" encoding="utf-8"?>
<sst xmlns="http://schemas.openxmlformats.org/spreadsheetml/2006/main" count="812" uniqueCount="412">
  <si>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</si>
  <si>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</si>
  <si>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</si>
  <si>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</si>
  <si>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</si>
  <si>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</si>
  <si>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</si>
  <si>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</si>
  <si>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</si>
  <si>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</si>
  <si>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</si>
  <si>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</si>
  <si>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</si>
  <si>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</si>
  <si>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</si>
  <si>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</si>
  <si>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</si>
  <si>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</si>
  <si>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</si>
  <si>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</si>
  <si>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</si>
  <si>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</si>
  <si>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</si>
  <si>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</si>
  <si>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</si>
  <si>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</si>
  <si>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</si>
  <si>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</si>
  <si>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</si>
  <si>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</si>
  <si>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</si>
  <si>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</si>
  <si>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</si>
  <si>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</si>
  <si>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</si>
  <si>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</si>
  <si>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</si>
  <si>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</si>
  <si>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</si>
  <si>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</si>
  <si>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</si>
  <si>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</si>
  <si>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</si>
  <si>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</si>
  <si>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</si>
  <si>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</si>
  <si>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</si>
  <si>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</si>
  <si>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</si>
  <si>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</si>
  <si>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</si>
  <si>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</si>
  <si>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</si>
  <si>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</si>
  <si>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</si>
  <si>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</si>
  <si>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</si>
  <si>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</si>
  <si>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</si>
  <si>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</si>
  <si>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</si>
  <si>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</si>
  <si>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</si>
  <si>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</si>
  <si>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</si>
  <si>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</si>
  <si>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</si>
  <si>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</si>
  <si>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</si>
  <si>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</si>
  <si>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</si>
  <si>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</si>
  <si>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</si>
  <si>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</si>
  <si>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</si>
  <si>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</si>
  <si>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</si>
  <si>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</si>
  <si>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</si>
  <si>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</si>
  <si>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</si>
  <si>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</si>
  <si>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</si>
  <si>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</si>
  <si>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</si>
  <si>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</si>
  <si>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</si>
  <si>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</si>
  <si>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</si>
  <si>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</si>
  <si>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</si>
  <si>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</si>
  <si>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</si>
  <si>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</si>
  <si>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</si>
  <si>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</si>
  <si>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</si>
  <si>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</si>
  <si>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</si>
  <si>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</si>
  <si>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</si>
  <si>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</si>
  <si>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</si>
  <si>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</si>
  <si>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</si>
  <si>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</si>
  <si>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</si>
  <si>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</si>
  <si>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</si>
  <si>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</si>
  <si>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</si>
  <si>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</si>
  <si>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</si>
  <si>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</si>
  <si>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</si>
  <si>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</si>
  <si>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</si>
  <si>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</si>
  <si>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</si>
  <si>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</si>
  <si>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</si>
  <si>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</si>
  <si>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</si>
  <si>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</si>
  <si>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</si>
  <si>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</si>
  <si>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</si>
  <si>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</si>
  <si>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</si>
  <si>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</si>
  <si>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</si>
  <si>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</si>
  <si>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</si>
  <si>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</si>
  <si>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</si>
  <si>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</si>
  <si>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</si>
  <si>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</si>
  <si>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</si>
  <si>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</si>
  <si>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</si>
  <si>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</si>
  <si>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</si>
  <si>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</si>
  <si>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</si>
  <si>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</si>
  <si>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</si>
  <si>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</si>
  <si>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</si>
  <si>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</si>
  <si>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</si>
  <si>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</si>
  <si>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</si>
  <si>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</si>
  <si>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</si>
  <si>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</si>
  <si>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</si>
  <si>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</si>
  <si>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</si>
  <si>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</si>
  <si>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</si>
  <si>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</si>
  <si>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</si>
  <si>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</si>
  <si>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</si>
  <si>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</si>
  <si>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</si>
  <si>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</si>
  <si>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</si>
  <si>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</si>
  <si>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</si>
  <si>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</si>
  <si>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</si>
  <si>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</si>
  <si>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</si>
  <si>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</si>
  <si>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</si>
  <si>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</si>
  <si>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</si>
  <si>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</si>
  <si>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</si>
  <si>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</si>
  <si>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</si>
  <si>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</si>
  <si>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</si>
  <si>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</si>
  <si>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</si>
  <si>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</si>
  <si>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</si>
  <si>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</si>
  <si>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</si>
  <si>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</si>
  <si>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</si>
  <si>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</si>
  <si>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</si>
  <si>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</si>
  <si>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</si>
  <si>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</si>
  <si>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</si>
  <si>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</si>
  <si>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</si>
  <si>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</si>
  <si>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</si>
  <si>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</si>
  <si>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</si>
  <si>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</si>
  <si>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</si>
  <si>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</si>
  <si>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</si>
  <si>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</si>
  <si>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</si>
  <si>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</si>
  <si>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</si>
  <si>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</si>
  <si>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</si>
  <si>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</si>
  <si>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</si>
  <si>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</si>
  <si>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</si>
  <si>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</si>
  <si>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</si>
  <si>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</si>
  <si>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</si>
  <si>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</si>
  <si>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</si>
  <si>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</si>
  <si>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</si>
  <si>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</si>
  <si>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</si>
  <si>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</si>
  <si>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</si>
  <si>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</si>
  <si>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</si>
  <si>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</si>
  <si>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</si>
  <si>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</si>
  <si>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</si>
  <si>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</si>
  <si>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</si>
  <si>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</si>
  <si>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</si>
  <si>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</si>
  <si>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</si>
  <si>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</si>
  <si>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</si>
  <si>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</si>
  <si>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</si>
  <si>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</si>
  <si>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</si>
  <si>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</si>
  <si>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</si>
  <si>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</si>
  <si>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</si>
  <si>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</si>
  <si>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WORKSHEET DESCRIPTIONS</t>
  </si>
  <si>
    <t>Multiple people</t>
  </si>
  <si>
    <t>Multiple dates</t>
  </si>
  <si>
    <t xml:space="preserve">   Start storage (million acre feet)</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</si>
  <si>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</si>
  <si>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</si>
  <si>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</si>
  <si>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</si>
  <si>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</si>
  <si>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</si>
  <si>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</si>
  <si>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</si>
  <si>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</si>
  <si>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</si>
  <si>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</si>
  <si>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</si>
  <si>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</si>
  <si>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</si>
  <si>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</si>
  <si>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</si>
  <si>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</si>
  <si>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</si>
  <si>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</si>
  <si>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</si>
  <si>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</si>
  <si>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</si>
  <si>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</si>
  <si>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</si>
  <si>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</si>
  <si>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</si>
  <si>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</si>
  <si>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</si>
  <si>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</si>
  <si>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</si>
  <si>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</si>
  <si>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</si>
  <si>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</si>
  <si>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</si>
  <si>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</si>
  <si>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</si>
  <si>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</si>
  <si>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</si>
  <si>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</si>
  <si>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</si>
  <si>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</si>
  <si>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</si>
  <si>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</si>
  <si>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</si>
  <si>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</si>
  <si>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</si>
  <si>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</si>
  <si>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</si>
  <si>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</si>
  <si>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</si>
  <si>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</si>
  <si>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</si>
  <si>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</si>
  <si>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</si>
  <si>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</si>
  <si>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</si>
  <si>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</si>
  <si>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</si>
  <si>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</si>
  <si>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</si>
  <si>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</si>
  <si>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</si>
  <si>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</si>
  <si>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</si>
  <si>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https://github.com/dzeke/ColoradoRiverFutures/tree/master/ModelMusings</t>
  </si>
  <si>
    <t>Model Repository</t>
  </si>
  <si>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</si>
  <si>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</si>
  <si>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</si>
  <si>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</si>
  <si>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</si>
  <si>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</si>
  <si>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</si>
  <si>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</si>
  <si>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</si>
  <si>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</si>
  <si>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</si>
  <si>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</si>
  <si>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</si>
  <si>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</si>
  <si>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</si>
  <si>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</si>
  <si>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</si>
  <si>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</si>
  <si>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</si>
  <si>
    <t>5.0.2</t>
  </si>
  <si>
    <t>On Law of River withdraws, withdraw 0.001 maf less than available water to keep constraints satisfied.</t>
  </si>
  <si>
    <t>OVERVIEW</t>
  </si>
  <si>
    <t>REQUIREMENTS</t>
  </si>
  <si>
    <r>
      <rPr>
        <b/>
        <sz val="11"/>
        <color theme="1"/>
        <rFont val="Calibri"/>
        <family val="2"/>
        <scheme val="minor"/>
      </rPr>
      <t>Number of People:</t>
    </r>
    <r>
      <rPr>
        <sz val="11"/>
        <color theme="1"/>
        <rFont val="Calibri"/>
        <family val="2"/>
        <scheme val="minor"/>
      </rPr>
      <t xml:space="preserve"> 2 or more (facilitator may also participate).</t>
    </r>
  </si>
  <si>
    <r>
      <rPr>
        <b/>
        <sz val="11"/>
        <color theme="1"/>
        <rFont val="Calibri"/>
        <family val="2"/>
        <scheme val="minor"/>
      </rPr>
      <t>Time:</t>
    </r>
    <r>
      <rPr>
        <sz val="11"/>
        <color theme="1"/>
        <rFont val="Calibri"/>
        <family val="2"/>
        <scheme val="minor"/>
      </rPr>
      <t xml:space="preserve"> 1 to 3 hours.</t>
    </r>
  </si>
  <si>
    <r>
      <rPr>
        <b/>
        <sz val="11"/>
        <color theme="1"/>
        <rFont val="Calibri"/>
        <family val="2"/>
        <scheme val="minor"/>
      </rPr>
      <t>Software:</t>
    </r>
    <r>
      <rPr>
        <sz val="11"/>
        <color theme="1"/>
        <rFont val="Calibri"/>
        <family val="2"/>
        <scheme val="minor"/>
      </rPr>
      <t xml:space="preserve"> Facilitator has a Google Account.</t>
    </r>
  </si>
  <si>
    <t>FACILITATION DIRECTIONS</t>
  </si>
  <si>
    <r>
      <t xml:space="preserve">Open the </t>
    </r>
    <r>
      <rPr>
        <b/>
        <sz val="11"/>
        <color theme="1"/>
        <rFont val="Calibri"/>
        <family val="2"/>
        <scheme val="minor"/>
      </rPr>
      <t>Versions</t>
    </r>
    <r>
      <rPr>
        <sz val="11"/>
        <color theme="1"/>
        <rFont val="Calibri"/>
        <family val="2"/>
        <scheme val="minor"/>
      </rPr>
      <t xml:space="preserve"> Worksheet to see updates.</t>
    </r>
  </si>
  <si>
    <r>
      <t xml:space="preserve">Duplicate the </t>
    </r>
    <r>
      <rPr>
        <b/>
        <sz val="11"/>
        <color theme="1"/>
        <rFont val="Calibri"/>
        <family val="2"/>
        <scheme val="minor"/>
      </rPr>
      <t>Master</t>
    </r>
    <r>
      <rPr>
        <sz val="11"/>
        <color theme="1"/>
        <rFont val="Calibri"/>
        <family val="2"/>
        <scheme val="minor"/>
      </rPr>
      <t xml:space="preserve"> Worksheet to save a blank version for later use.</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</si>
  <si>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</si>
  <si>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</si>
  <si>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</si>
  <si>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t>Move this Excel file to your Google Drive. Open as a Google Sheet.</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</si>
  <si>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</si>
  <si>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a. For example, in Rows 4-10, particants select a </t>
    </r>
    <r>
      <rPr>
        <b/>
        <sz val="11"/>
        <color theme="1"/>
        <rFont val="Calibri"/>
        <family val="2"/>
        <scheme val="minor"/>
      </rPr>
      <t>Party</t>
    </r>
    <r>
      <rPr>
        <sz val="11"/>
        <color theme="1"/>
        <rFont val="Calibri"/>
        <family val="2"/>
        <scheme val="minor"/>
      </rPr>
      <t xml:space="preserve"> and enter a </t>
    </r>
    <r>
      <rPr>
        <b/>
        <sz val="11"/>
        <color theme="1"/>
        <rFont val="Calibri"/>
        <family val="2"/>
        <scheme val="minor"/>
      </rPr>
      <t>Strategy</t>
    </r>
    <r>
      <rPr>
        <sz val="11"/>
        <color theme="1"/>
        <rFont val="Calibri"/>
        <family val="2"/>
        <scheme val="minor"/>
      </rPr>
      <t>. If fewer than 6 participants, participants select multiple parties.</t>
    </r>
  </si>
  <si>
    <r>
      <t xml:space="preserve">c. Participants continue to enter values in Year 1 (Column C) down to Row 142 in row blocks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</si>
  <si>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</si>
  <si>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</si>
  <si>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</si>
  <si>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</si>
  <si>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</si>
  <si>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</si>
  <si>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</si>
  <si>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</si>
  <si>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</si>
  <si>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t>
    </r>
  </si>
  <si>
    <t>6.0</t>
  </si>
  <si>
    <t xml:space="preserve">Rename filename and title to Colorado River basin accounts. Carry throughout. </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</si>
  <si>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</si>
  <si>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5.1</t>
  </si>
  <si>
    <t>Add SplitInflow and SplitInflowPlot worksheets to visualize splits as a function of Lake Powell natural inflow.</t>
  </si>
  <si>
    <t>This tool gives users the opportunity to experiment with Colorado River basin accounts as a more flexible option to reservoir equalization operations that expire in 2026. The purpose is provoke thought and discussion about new Colorado River operations.</t>
  </si>
  <si>
    <r>
      <t xml:space="preserve">Facilitator: </t>
    </r>
    <r>
      <rPr>
        <sz val="11"/>
        <color theme="1"/>
        <rFont val="Calibri"/>
        <family val="2"/>
        <scheme val="minor"/>
      </rPr>
      <t>1 person to setup in Google Sheets (see Setup below), invite participants, and organize play.</t>
    </r>
  </si>
  <si>
    <t>Colorado River Basin Accounts: Provoke Thought and Discussion about New Operations</t>
  </si>
  <si>
    <t>David E. Rosenberg (2022). "Colorado River Basin Accounts: Provoke Thought and Discussion about New Operations." Utah State University, Logan, UT. https://github.com/dzeke/ColoradoRiverFutures/tree/master/ModelMusings. https://github.com/dzeke/ColoradoRiverFutures/tree/master/ModelMusings.</t>
  </si>
  <si>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</si>
  <si>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</si>
  <si>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</si>
  <si>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</si>
  <si>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</si>
  <si>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</si>
  <si>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</si>
  <si>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</si>
  <si>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Joint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</si>
  <si>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</si>
  <si>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</si>
  <si>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</si>
  <si>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</si>
  <si>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</si>
  <si>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</si>
  <si>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</si>
  <si>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</si>
  <si>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Row 49</t>
  </si>
  <si>
    <t>6.1</t>
  </si>
  <si>
    <t>Update split of inflow formulas to match SplitInflow worksheet</t>
  </si>
  <si>
    <t>SplitInflowPlot</t>
  </si>
  <si>
    <t>Plot that shows inflow assignment to each account based on basin natural flow. Data on SplitInflow worksheet. See more accurate plot in R.</t>
  </si>
  <si>
    <t>Inflow assignments to each acount based on basin natural flow.</t>
  </si>
  <si>
    <t>May 17, 2022 values</t>
  </si>
  <si>
    <t>6.2</t>
  </si>
  <si>
    <t>Allow Shared Reserve to sell water to Lower Basin and Upper Basin on Master-LawOfRiver when those account balances go negative. The sale amount is the difference between Withdraw and Available water. This allows accounts to continue to draw down reservoirs below protection elevations.</t>
  </si>
  <si>
    <t>LETS START (visual directions as pdf)</t>
  </si>
  <si>
    <t>A participant's individual choices such as strategy, conservation, consumption, and purchaces from the account.</t>
  </si>
  <si>
    <t>6.3</t>
  </si>
  <si>
    <t>Fix links to online help.</t>
  </si>
  <si>
    <t>Account</t>
  </si>
  <si>
    <r>
      <t xml:space="preserve">b. Enter the Lake Powell natural flow for Year 1 in </t>
    </r>
    <r>
      <rPr>
        <b/>
        <sz val="11"/>
        <color rgb="FF00B050"/>
        <rFont val="Calibri"/>
        <family val="2"/>
        <scheme val="minor"/>
      </rPr>
      <t>Cell C28</t>
    </r>
    <r>
      <rPr>
        <sz val="11"/>
        <color theme="1"/>
        <rFont val="Calibri"/>
        <family val="2"/>
        <scheme val="minor"/>
      </rPr>
      <t>. Cells below will populate.</t>
    </r>
  </si>
  <si>
    <r>
      <t xml:space="preserve">d. Move to Year 2 (Column D). Enter Lake Powell natural flow in </t>
    </r>
    <r>
      <rPr>
        <b/>
        <sz val="11"/>
        <color rgb="FF00B050"/>
        <rFont val="Calibri"/>
        <family val="2"/>
        <scheme val="minor"/>
      </rPr>
      <t>Cell D28</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</si>
</sst>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s>
  <fonts count="19"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s>
  <fills count="26">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86">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171" fontId="0" fillId="5" borderId="5" xfId="0" applyNumberFormat="1" applyFont="1" applyFill="1" applyBorder="1" applyAlignment="1">
      <alignment vertical="top" wrapText="1"/>
    </xf>
    <xf numFmtId="171" fontId="0" fillId="5" borderId="5" xfId="0" applyNumberFormat="1" applyFont="1" applyFill="1" applyBorder="1" applyAlignment="1">
      <alignment vertical="top"/>
    </xf>
    <xf numFmtId="171" fontId="0" fillId="5" borderId="17" xfId="0" applyNumberFormat="1" applyFont="1" applyFill="1" applyBorder="1" applyAlignment="1">
      <alignment vertical="top"/>
    </xf>
    <xf numFmtId="171" fontId="0" fillId="0" borderId="0" xfId="0" applyNumberFormat="1" applyFont="1" applyFill="1" applyBorder="1" applyAlignment="1">
      <alignment vertical="top"/>
    </xf>
    <xf numFmtId="0" fontId="0" fillId="0" borderId="0" xfId="0" applyFont="1" applyFill="1" applyBorder="1" applyAlignment="1">
      <alignment horizontal="left" vertical="top" wrapText="1"/>
    </xf>
    <xf numFmtId="0" fontId="0" fillId="0" borderId="0" xfId="0" applyFont="1" applyFill="1" applyAlignment="1">
      <alignment vertical="top"/>
    </xf>
    <xf numFmtId="0" fontId="15" fillId="21" borderId="17" xfId="6" applyFont="1" applyFill="1" applyBorder="1"/>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Border="1" applyAlignment="1">
      <alignment horizontal="center" vertical="top"/>
    </xf>
    <xf numFmtId="0" fontId="0" fillId="7" borderId="0" xfId="0" applyFill="1" applyBorder="1" applyAlignment="1">
      <alignment horizontal="left" vertical="top"/>
    </xf>
    <xf numFmtId="0" fontId="0" fillId="7" borderId="6" xfId="0" applyFill="1" applyBorder="1" applyAlignment="1">
      <alignment horizontal="left" vertical="top"/>
    </xf>
    <xf numFmtId="0" fontId="0" fillId="7" borderId="17"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2" fillId="13" borderId="9" xfId="9" applyBorder="1" applyAlignment="1">
      <alignment horizontal="center"/>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9"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6" fillId="19" borderId="0" xfId="6" applyNumberFormat="1" applyFill="1" applyAlignment="1">
      <alignment horizontal="center" vertical="top"/>
    </xf>
    <xf numFmtId="164" fontId="6" fillId="19" borderId="0" xfId="6" applyNumberFormat="1" applyFill="1" applyBorder="1" applyAlignment="1">
      <alignment horizontal="center" vertical="top"/>
    </xf>
    <xf numFmtId="0" fontId="0" fillId="0" borderId="0" xfId="0" applyAlignment="1">
      <alignment horizontal="left" vertical="top" wrapText="1"/>
    </xf>
    <xf numFmtId="0" fontId="0" fillId="19" borderId="17" xfId="0" applyFont="1"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0" fillId="0" borderId="0" xfId="0" applyAlignment="1">
      <alignment horizontal="left" wrapText="1"/>
    </xf>
    <xf numFmtId="0" fontId="15" fillId="21" borderId="2" xfId="6" applyFont="1" applyFill="1" applyBorder="1" applyAlignment="1">
      <alignment horizontal="left"/>
    </xf>
    <xf numFmtId="0" fontId="15" fillId="21" borderId="3" xfId="6" applyFont="1" applyFill="1" applyBorder="1" applyAlignment="1">
      <alignment horizontal="left"/>
    </xf>
    <xf numFmtId="0" fontId="15" fillId="21" borderId="4" xfId="6" applyFont="1" applyFill="1" applyBorder="1" applyAlignment="1">
      <alignment horizontal="left"/>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0" fillId="5" borderId="7" xfId="0" applyFont="1" applyFill="1" applyBorder="1" applyAlignment="1">
      <alignment horizontal="left" vertical="top" wrapText="1"/>
    </xf>
    <xf numFmtId="0" fontId="0" fillId="5" borderId="8"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Border="1" applyAlignment="1">
      <alignment horizontal="left" vertical="top" wrapText="1"/>
    </xf>
    <xf numFmtId="0" fontId="1" fillId="7" borderId="6" xfId="0" applyFont="1" applyFill="1" applyBorder="1" applyAlignment="1">
      <alignment horizontal="left" vertical="top" wrapText="1"/>
    </xf>
    <xf numFmtId="0" fontId="1" fillId="5" borderId="5"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6"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0" fillId="7" borderId="5" xfId="0" applyFont="1" applyFill="1" applyBorder="1" applyAlignment="1">
      <alignment horizontal="left" vertical="top" wrapText="1"/>
    </xf>
    <xf numFmtId="0" fontId="0" fillId="7" borderId="0" xfId="0" applyFont="1" applyFill="1" applyBorder="1" applyAlignment="1">
      <alignment horizontal="left" vertical="top" wrapText="1"/>
    </xf>
    <xf numFmtId="0" fontId="0" fillId="7" borderId="6" xfId="0" applyFont="1" applyFill="1" applyBorder="1" applyAlignment="1">
      <alignment horizontal="left" vertical="top" wrapText="1"/>
    </xf>
    <xf numFmtId="0" fontId="0" fillId="7" borderId="17" xfId="0" applyFont="1" applyFill="1" applyBorder="1" applyAlignment="1">
      <alignment horizontal="left" vertical="top" wrapText="1"/>
    </xf>
    <xf numFmtId="0" fontId="0" fillId="7" borderId="7" xfId="0" applyFont="1" applyFill="1" applyBorder="1" applyAlignment="1">
      <alignment horizontal="left" vertical="top" wrapText="1"/>
    </xf>
    <xf numFmtId="0" fontId="0" fillId="7" borderId="8" xfId="0" applyFont="1" applyFill="1" applyBorder="1" applyAlignment="1">
      <alignment horizontal="left" vertical="top" wrapText="1"/>
    </xf>
    <xf numFmtId="0" fontId="0" fillId="7" borderId="0" xfId="0" applyFill="1" applyBorder="1" applyAlignment="1">
      <alignment horizontal="left" vertical="top" wrapText="1"/>
    </xf>
    <xf numFmtId="0" fontId="0" fillId="7" borderId="6" xfId="0" applyFill="1" applyBorder="1" applyAlignment="1">
      <alignment horizontal="left" vertical="top" wrapText="1"/>
    </xf>
    <xf numFmtId="0" fontId="0" fillId="5" borderId="0" xfId="0" applyFont="1" applyFill="1" applyBorder="1" applyAlignment="1">
      <alignment vertical="top" wrapText="1"/>
    </xf>
    <xf numFmtId="0" fontId="0" fillId="5" borderId="6" xfId="0" applyFont="1" applyFill="1" applyBorder="1" applyAlignment="1">
      <alignment vertical="top" wrapText="1"/>
    </xf>
    <xf numFmtId="171" fontId="1" fillId="5" borderId="5" xfId="0" applyNumberFormat="1" applyFont="1" applyFill="1" applyBorder="1" applyAlignment="1">
      <alignment horizontal="left" vertical="top" wrapText="1"/>
    </xf>
    <xf numFmtId="171" fontId="1" fillId="5" borderId="0" xfId="0" applyNumberFormat="1" applyFont="1" applyFill="1" applyBorder="1" applyAlignment="1">
      <alignment horizontal="left" vertical="top" wrapText="1"/>
    </xf>
    <xf numFmtId="171" fontId="1" fillId="5" borderId="6" xfId="0" applyNumberFormat="1" applyFont="1" applyFill="1" applyBorder="1" applyAlignment="1">
      <alignment horizontal="left" vertical="top" wrapText="1"/>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SplitInflow!$C$45:$L$45</c15:sqref>
                  </c15:fullRef>
                </c:ext>
              </c:extLst>
              <c:f>(SplitInflow!$C$45:$D$45,SplitInflow!$F$45:$L$45)</c:f>
              <c:numCache>
                <c:formatCode>0.0</c:formatCode>
                <c:ptCount val="9"/>
                <c:pt idx="0" formatCode="0.000">
                  <c:v>0</c:v>
                </c:pt>
                <c:pt idx="1">
                  <c:v>0.6</c:v>
                </c:pt>
                <c:pt idx="2">
                  <c:v>0.62005566107743937</c:v>
                </c:pt>
                <c:pt idx="3">
                  <c:v>0.62005566107743937</c:v>
                </c:pt>
                <c:pt idx="4">
                  <c:v>0.62005566107743937</c:v>
                </c:pt>
                <c:pt idx="5">
                  <c:v>0.62005566107743937</c:v>
                </c:pt>
                <c:pt idx="6">
                  <c:v>0.62005566107743937</c:v>
                </c:pt>
                <c:pt idx="7">
                  <c:v>0.62005566107743937</c:v>
                </c:pt>
                <c:pt idx="8">
                  <c:v>0.62005566107743937</c:v>
                </c:pt>
              </c:numCache>
            </c:numRef>
          </c:val>
          <c:extLst>
            <c:ext xmlns:c16="http://schemas.microsoft.com/office/drawing/2014/chart" uri="{C3380CC4-5D6E-409C-BE32-E72D297353CC}">
              <c16:uniqueId val="{00000005-55F8-479A-9BB1-FC2B5DB3EE23}"/>
            </c:ext>
          </c:extLst>
        </c:ser>
        <c:ser>
          <c:idx val="6"/>
          <c:order val="1"/>
          <c:tx>
            <c:strRef>
              <c:f>SplitInflow!$A$46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SplitInflow!$C$46:$L$46</c15:sqref>
                  </c15:fullRef>
                </c:ext>
              </c:extLst>
              <c:f>(SplitInflow!$C$46:$D$46,SplitInflow!$F$46:$L$46)</c:f>
              <c:numCache>
                <c:formatCode>0.0</c:formatCode>
                <c:ptCount val="9"/>
                <c:pt idx="0" formatCode="0.000">
                  <c:v>0</c:v>
                </c:pt>
                <c:pt idx="1">
                  <c:v>0</c:v>
                </c:pt>
                <c:pt idx="2">
                  <c:v>0.6</c:v>
                </c:pt>
                <c:pt idx="3">
                  <c:v>0.6</c:v>
                </c:pt>
                <c:pt idx="4">
                  <c:v>0.6</c:v>
                </c:pt>
                <c:pt idx="5">
                  <c:v>0.6</c:v>
                </c:pt>
                <c:pt idx="6">
                  <c:v>0.6</c:v>
                </c:pt>
                <c:pt idx="7">
                  <c:v>0.6</c:v>
                </c:pt>
                <c:pt idx="8">
                  <c:v>0.6</c:v>
                </c:pt>
              </c:numCache>
            </c:numRef>
          </c:val>
          <c:extLst>
            <c:ext xmlns:c16="http://schemas.microsoft.com/office/drawing/2014/chart" uri="{C3380CC4-5D6E-409C-BE32-E72D297353CC}">
              <c16:uniqueId val="{00000000-20E1-4D64-A6CF-38348431E39C}"/>
            </c:ext>
          </c:extLst>
        </c:ser>
        <c:ser>
          <c:idx val="4"/>
          <c:order val="2"/>
          <c:tx>
            <c:strRef>
              <c:f>SplitInflow!$A$44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SplitInflow!$C$44:$L$44</c15:sqref>
                  </c15:fullRef>
                </c:ext>
              </c:extLst>
              <c:f>(SplitInflow!$C$44:$D$44,SplitInflow!$F$44:$L$44)</c:f>
              <c:numCache>
                <c:formatCode>0.0</c:formatCode>
                <c:ptCount val="9"/>
                <c:pt idx="0">
                  <c:v>0</c:v>
                </c:pt>
                <c:pt idx="1">
                  <c:v>0</c:v>
                </c:pt>
                <c:pt idx="2">
                  <c:v>1.8799443389225612</c:v>
                </c:pt>
                <c:pt idx="3">
                  <c:v>1.9444827586206894</c:v>
                </c:pt>
                <c:pt idx="4">
                  <c:v>1.9444827586206894</c:v>
                </c:pt>
                <c:pt idx="5">
                  <c:v>1.9444827586206894</c:v>
                </c:pt>
                <c:pt idx="6">
                  <c:v>1.9444827586206894</c:v>
                </c:pt>
                <c:pt idx="7">
                  <c:v>1.9444827586206894</c:v>
                </c:pt>
                <c:pt idx="8">
                  <c:v>1.9444827586206894</c:v>
                </c:pt>
              </c:numCache>
            </c:numRef>
          </c:val>
          <c:extLst>
            <c:ext xmlns:c16="http://schemas.microsoft.com/office/drawing/2014/chart" uri="{C3380CC4-5D6E-409C-BE32-E72D297353CC}">
              <c16:uniqueId val="{00000004-55F8-479A-9BB1-FC2B5DB3EE23}"/>
            </c:ext>
          </c:extLst>
        </c:ser>
        <c:ser>
          <c:idx val="3"/>
          <c:order val="3"/>
          <c:tx>
            <c:strRef>
              <c:f>SplitInflow!$A$43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SplitInflow!$C$43:$L$43</c15:sqref>
                  </c15:fullRef>
                </c:ext>
              </c:extLst>
              <c:f>(SplitInflow!$C$43:$D$43,SplitInflow!$F$43:$L$43)</c:f>
              <c:numCache>
                <c:formatCode>0.000</c:formatCode>
                <c:ptCount val="9"/>
                <c:pt idx="0">
                  <c:v>0</c:v>
                </c:pt>
                <c:pt idx="1">
                  <c:v>0</c:v>
                </c:pt>
                <c:pt idx="2">
                  <c:v>0</c:v>
                </c:pt>
                <c:pt idx="3">
                  <c:v>1.5555555555555553E-2</c:v>
                </c:pt>
                <c:pt idx="4">
                  <c:v>1.5555555555555553E-2</c:v>
                </c:pt>
                <c:pt idx="5">
                  <c:v>1.5555555555555553E-2</c:v>
                </c:pt>
                <c:pt idx="6">
                  <c:v>1.5555555555555553E-2</c:v>
                </c:pt>
                <c:pt idx="7">
                  <c:v>1.5555555555555553E-2</c:v>
                </c:pt>
                <c:pt idx="8">
                  <c:v>1.5555555555555553E-2</c:v>
                </c:pt>
              </c:numCache>
            </c:numRef>
          </c:val>
          <c:extLst>
            <c:ext xmlns:c16="http://schemas.microsoft.com/office/drawing/2014/chart" uri="{C3380CC4-5D6E-409C-BE32-E72D297353CC}">
              <c16:uniqueId val="{00000003-55F8-479A-9BB1-FC2B5DB3EE23}"/>
            </c:ext>
          </c:extLst>
        </c:ser>
        <c:ser>
          <c:idx val="2"/>
          <c:order val="4"/>
          <c:tx>
            <c:strRef>
              <c:f>SplitInflow!$A$42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SplitInflow!$C$42:$L$42</c15:sqref>
                  </c15:fullRef>
                </c:ext>
              </c:extLst>
              <c:f>(SplitInflow!$C$42:$D$42,SplitInflow!$F$42:$L$42)</c:f>
              <c:numCache>
                <c:formatCode>0.00</c:formatCode>
                <c:ptCount val="9"/>
                <c:pt idx="0">
                  <c:v>0</c:v>
                </c:pt>
                <c:pt idx="1">
                  <c:v>0</c:v>
                </c:pt>
                <c:pt idx="2">
                  <c:v>0</c:v>
                </c:pt>
                <c:pt idx="3">
                  <c:v>1.3048850574712643</c:v>
                </c:pt>
                <c:pt idx="4">
                  <c:v>1.3048850574712643</c:v>
                </c:pt>
                <c:pt idx="5" formatCode="0.0">
                  <c:v>1.3048850574712643</c:v>
                </c:pt>
                <c:pt idx="6" formatCode="0.0">
                  <c:v>1.3048850574712643</c:v>
                </c:pt>
                <c:pt idx="7" formatCode="0.0">
                  <c:v>1.3048850574712643</c:v>
                </c:pt>
                <c:pt idx="8" formatCode="0.0">
                  <c:v>1.3048850574712643</c:v>
                </c:pt>
              </c:numCache>
            </c:numRef>
          </c:val>
          <c:extLst>
            <c:ext xmlns:c16="http://schemas.microsoft.com/office/drawing/2014/chart" uri="{C3380CC4-5D6E-409C-BE32-E72D297353CC}">
              <c16:uniqueId val="{00000002-55F8-479A-9BB1-FC2B5DB3EE23}"/>
            </c:ext>
          </c:extLst>
        </c:ser>
        <c:ser>
          <c:idx val="1"/>
          <c:order val="5"/>
          <c:tx>
            <c:strRef>
              <c:f>SplitInflow!$A$41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SplitInflow!$C$41:$L$41</c15:sqref>
                  </c15:fullRef>
                </c:ext>
              </c:extLst>
              <c:f>(SplitInflow!$C$41:$D$41,SplitInflow!$F$41:$L$41)</c:f>
              <c:numCache>
                <c:formatCode>0.0</c:formatCode>
                <c:ptCount val="9"/>
                <c:pt idx="0">
                  <c:v>0</c:v>
                </c:pt>
                <c:pt idx="1">
                  <c:v>0</c:v>
                </c:pt>
                <c:pt idx="2">
                  <c:v>0</c:v>
                </c:pt>
                <c:pt idx="3">
                  <c:v>7.5104836375259332E-3</c:v>
                </c:pt>
                <c:pt idx="4">
                  <c:v>1.2750209672750521</c:v>
                </c:pt>
                <c:pt idx="5">
                  <c:v>3.2750209672750521</c:v>
                </c:pt>
                <c:pt idx="6">
                  <c:v>6.1111877394636007</c:v>
                </c:pt>
                <c:pt idx="7">
                  <c:v>6.1111877394636007</c:v>
                </c:pt>
                <c:pt idx="8">
                  <c:v>6.1111877394636007</c:v>
                </c:pt>
              </c:numCache>
            </c:numRef>
          </c:val>
          <c:extLst>
            <c:ext xmlns:c16="http://schemas.microsoft.com/office/drawing/2014/chart" uri="{C3380CC4-5D6E-409C-BE32-E72D297353CC}">
              <c16:uniqueId val="{00000006-55F8-479A-9BB1-FC2B5DB3EE23}"/>
            </c:ext>
          </c:extLst>
        </c:ser>
        <c:ser>
          <c:idx val="0"/>
          <c:order val="6"/>
          <c:tx>
            <c:strRef>
              <c:f>SplitInflow!$A$40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SplitInflow!$C$39:$L$39</c15:sqref>
                  </c15:fullRef>
                </c:ext>
              </c:extLst>
              <c:f>(SplitInflow!$C$39:$D$39,SplitInflow!$F$39:$L$39)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SplitInflow!$C$40:$L$40</c15:sqref>
                  </c15:fullRef>
                </c:ext>
              </c:extLst>
              <c:f>(SplitInflow!$C$40:$D$40,SplitInflow!$F$40:$L$40)</c:f>
              <c:numCache>
                <c:formatCode>0.0</c:formatCode>
                <c:ptCount val="9"/>
                <c:pt idx="0">
                  <c:v>0</c:v>
                </c:pt>
                <c:pt idx="1">
                  <c:v>0</c:v>
                </c:pt>
                <c:pt idx="2">
                  <c:v>0</c:v>
                </c:pt>
                <c:pt idx="3">
                  <c:v>7.5104836375254891E-3</c:v>
                </c:pt>
                <c:pt idx="4">
                  <c:v>1.2399999999999993</c:v>
                </c:pt>
                <c:pt idx="5">
                  <c:v>1.2399999999999993</c:v>
                </c:pt>
                <c:pt idx="6">
                  <c:v>1.6638332278114518</c:v>
                </c:pt>
                <c:pt idx="7">
                  <c:v>2.903833227811452</c:v>
                </c:pt>
                <c:pt idx="8">
                  <c:v>6.403833227811452</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6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raw.githubusercontent.com/dzeke/ColoradoRiverCoding/main/ModelMusings/ColoradoRiverBasinAccounts-LetsStart.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3"/>
  <sheetViews>
    <sheetView tabSelected="1" zoomScale="150" zoomScaleNormal="150" workbookViewId="0">
      <selection sqref="A1:L1"/>
    </sheetView>
  </sheetViews>
  <sheetFormatPr defaultRowHeight="14.5" x14ac:dyDescent="0.35"/>
  <cols>
    <col min="1" max="1" width="3.54296875" customWidth="1"/>
    <col min="2" max="2" width="30"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9" t="s">
        <v>377</v>
      </c>
      <c r="B1" s="219"/>
      <c r="C1" s="219"/>
      <c r="D1" s="219"/>
      <c r="E1" s="219"/>
      <c r="F1" s="219"/>
      <c r="G1" s="219"/>
      <c r="H1" s="219"/>
      <c r="I1" s="219"/>
      <c r="J1" s="219"/>
      <c r="K1" s="219"/>
      <c r="L1" s="219"/>
    </row>
    <row r="2" spans="1:18" x14ac:dyDescent="0.35">
      <c r="A2" s="1"/>
      <c r="B2" s="1"/>
      <c r="C2" s="2"/>
      <c r="D2"/>
    </row>
    <row r="3" spans="1:18" x14ac:dyDescent="0.35">
      <c r="A3" s="172" t="s">
        <v>345</v>
      </c>
      <c r="B3" s="173"/>
      <c r="C3" s="174"/>
      <c r="D3" s="175"/>
      <c r="E3" s="175"/>
      <c r="F3" s="175"/>
      <c r="G3" s="175"/>
      <c r="H3" s="175"/>
      <c r="I3" s="175"/>
      <c r="J3" s="175"/>
      <c r="K3" s="175"/>
      <c r="L3" s="176"/>
      <c r="N3" s="1"/>
    </row>
    <row r="4" spans="1:18" s="59" customFormat="1" ht="30.75" customHeight="1" x14ac:dyDescent="0.35">
      <c r="A4" s="216" t="s">
        <v>375</v>
      </c>
      <c r="B4" s="217"/>
      <c r="C4" s="217"/>
      <c r="D4" s="217"/>
      <c r="E4" s="217"/>
      <c r="F4" s="217"/>
      <c r="G4" s="217"/>
      <c r="H4" s="217"/>
      <c r="I4" s="217"/>
      <c r="J4" s="217"/>
      <c r="K4" s="217"/>
      <c r="L4" s="218"/>
      <c r="N4" s="215"/>
      <c r="O4" s="215"/>
      <c r="P4" s="215"/>
      <c r="Q4" s="215"/>
      <c r="R4" s="215"/>
    </row>
    <row r="5" spans="1:18" s="94" customFormat="1" ht="14.5" customHeight="1" x14ac:dyDescent="0.35">
      <c r="A5" s="125"/>
      <c r="B5" s="125"/>
      <c r="C5" s="125"/>
      <c r="D5" s="125"/>
      <c r="E5" s="125"/>
      <c r="F5" s="125"/>
      <c r="G5" s="125"/>
      <c r="H5" s="125"/>
      <c r="I5" s="125"/>
      <c r="J5" s="125"/>
      <c r="K5" s="125"/>
      <c r="L5" s="125"/>
    </row>
    <row r="6" spans="1:18" s="94" customFormat="1" ht="14.5" customHeight="1" x14ac:dyDescent="0.35">
      <c r="A6" s="237" t="s">
        <v>346</v>
      </c>
      <c r="B6" s="238"/>
      <c r="C6" s="238"/>
      <c r="D6" s="238"/>
      <c r="E6" s="238"/>
      <c r="F6" s="238"/>
      <c r="G6" s="238"/>
      <c r="H6" s="238"/>
      <c r="I6" s="238"/>
      <c r="J6" s="238"/>
      <c r="K6" s="238"/>
      <c r="L6" s="239"/>
    </row>
    <row r="7" spans="1:18" s="94" customFormat="1" ht="14.5" customHeight="1" x14ac:dyDescent="0.35">
      <c r="A7" s="231" t="s">
        <v>376</v>
      </c>
      <c r="B7" s="232"/>
      <c r="C7" s="232"/>
      <c r="D7" s="232"/>
      <c r="E7" s="232"/>
      <c r="F7" s="232"/>
      <c r="G7" s="232"/>
      <c r="H7" s="232"/>
      <c r="I7" s="232"/>
      <c r="J7" s="232"/>
      <c r="K7" s="232"/>
      <c r="L7" s="233"/>
    </row>
    <row r="8" spans="1:18" s="94" customFormat="1" ht="14.5" customHeight="1" x14ac:dyDescent="0.35">
      <c r="A8" s="240" t="s">
        <v>347</v>
      </c>
      <c r="B8" s="241"/>
      <c r="C8" s="241"/>
      <c r="D8" s="241"/>
      <c r="E8" s="241"/>
      <c r="F8" s="241"/>
      <c r="G8" s="241"/>
      <c r="H8" s="241"/>
      <c r="I8" s="241"/>
      <c r="J8" s="241"/>
      <c r="K8" s="241"/>
      <c r="L8" s="242"/>
    </row>
    <row r="9" spans="1:18" s="94" customFormat="1" ht="14.5" customHeight="1" x14ac:dyDescent="0.35">
      <c r="A9" s="240" t="s">
        <v>348</v>
      </c>
      <c r="B9" s="241"/>
      <c r="C9" s="241"/>
      <c r="D9" s="241"/>
      <c r="E9" s="241"/>
      <c r="F9" s="241"/>
      <c r="G9" s="241"/>
      <c r="H9" s="241"/>
      <c r="I9" s="241"/>
      <c r="J9" s="241"/>
      <c r="K9" s="241"/>
      <c r="L9" s="242"/>
    </row>
    <row r="10" spans="1:18" s="94" customFormat="1" ht="14.5" customHeight="1" x14ac:dyDescent="0.35">
      <c r="A10" s="243" t="s">
        <v>349</v>
      </c>
      <c r="B10" s="244"/>
      <c r="C10" s="244"/>
      <c r="D10" s="244"/>
      <c r="E10" s="244"/>
      <c r="F10" s="244"/>
      <c r="G10" s="244"/>
      <c r="H10" s="244"/>
      <c r="I10" s="244"/>
      <c r="J10" s="244"/>
      <c r="K10" s="244"/>
      <c r="L10" s="245"/>
    </row>
    <row r="11" spans="1:18" s="94" customFormat="1" ht="14.5" customHeight="1" x14ac:dyDescent="0.35">
      <c r="A11" s="125"/>
      <c r="B11" s="125"/>
      <c r="C11" s="125"/>
      <c r="D11" s="125"/>
      <c r="E11" s="125"/>
      <c r="F11" s="125"/>
      <c r="G11" s="125"/>
      <c r="H11" s="125"/>
      <c r="I11" s="125"/>
      <c r="J11" s="125"/>
      <c r="K11" s="125"/>
      <c r="L11" s="125"/>
    </row>
    <row r="12" spans="1:18" s="94" customFormat="1" ht="16.5" customHeight="1" x14ac:dyDescent="0.35">
      <c r="A12" s="224" t="s">
        <v>350</v>
      </c>
      <c r="B12" s="225"/>
      <c r="C12" s="225"/>
      <c r="D12" s="225"/>
      <c r="E12" s="225"/>
      <c r="F12" s="225"/>
      <c r="G12" s="225"/>
      <c r="H12" s="225"/>
      <c r="I12" s="225"/>
      <c r="J12" s="225"/>
      <c r="K12" s="225"/>
      <c r="L12" s="226"/>
      <c r="N12" s="1"/>
    </row>
    <row r="13" spans="1:18" s="94" customFormat="1" ht="16.5" customHeight="1" x14ac:dyDescent="0.35">
      <c r="A13" s="234" t="s">
        <v>363</v>
      </c>
      <c r="B13" s="235"/>
      <c r="C13" s="235"/>
      <c r="D13" s="235"/>
      <c r="E13" s="235"/>
      <c r="F13" s="235"/>
      <c r="G13" s="235"/>
      <c r="H13" s="235"/>
      <c r="I13" s="235"/>
      <c r="J13" s="235"/>
      <c r="K13" s="235"/>
      <c r="L13" s="236"/>
      <c r="N13" s="1"/>
    </row>
    <row r="14" spans="1:18" s="94" customFormat="1" ht="15" customHeight="1" x14ac:dyDescent="0.35">
      <c r="A14" s="183">
        <v>1</v>
      </c>
      <c r="B14" s="227" t="s">
        <v>362</v>
      </c>
      <c r="C14" s="227"/>
      <c r="D14" s="227"/>
      <c r="E14" s="227"/>
      <c r="F14" s="227"/>
      <c r="G14" s="227"/>
      <c r="H14" s="227"/>
      <c r="I14" s="227"/>
      <c r="J14" s="227"/>
      <c r="K14" s="227"/>
      <c r="L14" s="228"/>
    </row>
    <row r="15" spans="1:18" s="94" customFormat="1" ht="15" customHeight="1" x14ac:dyDescent="0.35">
      <c r="A15" s="183">
        <v>2</v>
      </c>
      <c r="B15" s="227" t="s">
        <v>356</v>
      </c>
      <c r="C15" s="227"/>
      <c r="D15" s="227"/>
      <c r="E15" s="227"/>
      <c r="F15" s="227"/>
      <c r="G15" s="227"/>
      <c r="H15" s="227"/>
      <c r="I15" s="227"/>
      <c r="J15" s="227"/>
      <c r="K15" s="227"/>
      <c r="L15" s="228"/>
      <c r="N15" s="117"/>
    </row>
    <row r="16" spans="1:18" s="94" customFormat="1" ht="15" customHeight="1" x14ac:dyDescent="0.35">
      <c r="A16" s="183">
        <v>3</v>
      </c>
      <c r="B16" s="227" t="s">
        <v>351</v>
      </c>
      <c r="C16" s="227"/>
      <c r="D16" s="227"/>
      <c r="E16" s="227"/>
      <c r="F16" s="227"/>
      <c r="G16" s="227"/>
      <c r="H16" s="227"/>
      <c r="I16" s="227"/>
      <c r="J16" s="227"/>
      <c r="K16" s="227"/>
      <c r="L16" s="228"/>
      <c r="N16" s="117"/>
    </row>
    <row r="17" spans="1:14" s="94" customFormat="1" ht="15" customHeight="1" x14ac:dyDescent="0.35">
      <c r="A17" s="183">
        <v>4</v>
      </c>
      <c r="B17" s="227" t="s">
        <v>352</v>
      </c>
      <c r="C17" s="227"/>
      <c r="D17" s="227"/>
      <c r="E17" s="227"/>
      <c r="F17" s="227"/>
      <c r="G17" s="227"/>
      <c r="H17" s="227"/>
      <c r="I17" s="227"/>
      <c r="J17" s="227"/>
      <c r="K17" s="227"/>
      <c r="L17" s="228"/>
      <c r="N17" s="117"/>
    </row>
    <row r="18" spans="1:14" s="94" customFormat="1" ht="15" customHeight="1" x14ac:dyDescent="0.35">
      <c r="A18" s="183">
        <v>5</v>
      </c>
      <c r="B18" s="227" t="s">
        <v>353</v>
      </c>
      <c r="C18" s="227"/>
      <c r="D18" s="227"/>
      <c r="E18" s="227"/>
      <c r="F18" s="227"/>
      <c r="G18" s="227"/>
      <c r="H18" s="227"/>
      <c r="I18" s="227"/>
      <c r="J18" s="227"/>
      <c r="K18" s="227"/>
      <c r="L18" s="228"/>
      <c r="N18" s="117"/>
    </row>
    <row r="19" spans="1:14" s="94" customFormat="1" ht="15" customHeight="1" x14ac:dyDescent="0.35">
      <c r="A19" s="183"/>
      <c r="B19" s="227" t="s">
        <v>354</v>
      </c>
      <c r="C19" s="227"/>
      <c r="D19" s="227"/>
      <c r="E19" s="227"/>
      <c r="F19" s="227"/>
      <c r="G19" s="227"/>
      <c r="H19" s="227"/>
      <c r="I19" s="227"/>
      <c r="J19" s="227"/>
      <c r="K19" s="227"/>
      <c r="L19" s="228"/>
      <c r="N19" s="117"/>
    </row>
    <row r="20" spans="1:14" s="94" customFormat="1" ht="15" customHeight="1" x14ac:dyDescent="0.35">
      <c r="A20" s="183"/>
      <c r="B20" s="227" t="s">
        <v>355</v>
      </c>
      <c r="C20" s="227"/>
      <c r="D20" s="227"/>
      <c r="E20" s="227"/>
      <c r="F20" s="227"/>
      <c r="G20" s="227"/>
      <c r="H20" s="227"/>
      <c r="I20" s="227"/>
      <c r="J20" s="227"/>
      <c r="K20" s="227"/>
      <c r="L20" s="228"/>
      <c r="N20" s="117"/>
    </row>
    <row r="21" spans="1:14" s="94" customFormat="1" ht="15" customHeight="1" x14ac:dyDescent="0.35">
      <c r="A21" s="250" t="s">
        <v>364</v>
      </c>
      <c r="B21" s="251"/>
      <c r="C21" s="251"/>
      <c r="D21" s="251"/>
      <c r="E21" s="251"/>
      <c r="F21" s="251"/>
      <c r="G21" s="251"/>
      <c r="H21" s="251"/>
      <c r="I21" s="251"/>
      <c r="J21" s="251"/>
      <c r="K21" s="251"/>
      <c r="L21" s="252"/>
      <c r="N21" s="117"/>
    </row>
    <row r="22" spans="1:14" s="94" customFormat="1" ht="15" customHeight="1" x14ac:dyDescent="0.35">
      <c r="A22" s="183">
        <v>1</v>
      </c>
      <c r="B22" s="227" t="s">
        <v>357</v>
      </c>
      <c r="C22" s="227"/>
      <c r="D22" s="227"/>
      <c r="E22" s="227"/>
      <c r="F22" s="227"/>
      <c r="G22" s="227"/>
      <c r="H22" s="227"/>
      <c r="I22" s="227"/>
      <c r="J22" s="227"/>
      <c r="K22" s="227"/>
      <c r="L22" s="228"/>
      <c r="N22" s="117"/>
    </row>
    <row r="23" spans="1:14" s="94" customFormat="1" ht="30.75" customHeight="1" x14ac:dyDescent="0.35">
      <c r="A23" s="183"/>
      <c r="B23" s="248" t="s">
        <v>358</v>
      </c>
      <c r="C23" s="248"/>
      <c r="D23" s="248"/>
      <c r="E23" s="248"/>
      <c r="F23" s="248"/>
      <c r="G23" s="248"/>
      <c r="H23" s="248"/>
      <c r="I23" s="248"/>
      <c r="J23" s="248"/>
      <c r="K23" s="248"/>
      <c r="L23" s="249"/>
      <c r="N23" s="117"/>
    </row>
    <row r="24" spans="1:14" s="94" customFormat="1" ht="15" customHeight="1" x14ac:dyDescent="0.35">
      <c r="A24" s="183"/>
      <c r="B24" s="248" t="s">
        <v>410</v>
      </c>
      <c r="C24" s="248"/>
      <c r="D24" s="248"/>
      <c r="E24" s="248"/>
      <c r="F24" s="248"/>
      <c r="G24" s="248"/>
      <c r="H24" s="248"/>
      <c r="I24" s="248"/>
      <c r="J24" s="248"/>
      <c r="K24" s="248"/>
      <c r="L24" s="249"/>
      <c r="N24" s="117"/>
    </row>
    <row r="25" spans="1:14" s="94" customFormat="1" ht="15" customHeight="1" x14ac:dyDescent="0.35">
      <c r="A25" s="183"/>
      <c r="B25" s="248" t="s">
        <v>359</v>
      </c>
      <c r="C25" s="248"/>
      <c r="D25" s="248"/>
      <c r="E25" s="248"/>
      <c r="F25" s="248"/>
      <c r="G25" s="248"/>
      <c r="H25" s="248"/>
      <c r="I25" s="248"/>
      <c r="J25" s="248"/>
      <c r="K25" s="248"/>
      <c r="L25" s="249"/>
      <c r="N25" s="117"/>
    </row>
    <row r="26" spans="1:14" s="94" customFormat="1" ht="16.5" customHeight="1" x14ac:dyDescent="0.35">
      <c r="A26" s="183"/>
      <c r="B26" s="227" t="s">
        <v>411</v>
      </c>
      <c r="C26" s="227"/>
      <c r="D26" s="227"/>
      <c r="E26" s="227"/>
      <c r="F26" s="227"/>
      <c r="G26" s="227"/>
      <c r="H26" s="227"/>
      <c r="I26" s="227"/>
      <c r="J26" s="227"/>
      <c r="K26" s="227"/>
      <c r="L26" s="228"/>
    </row>
    <row r="27" spans="1:14" s="65" customFormat="1" ht="15" customHeight="1" x14ac:dyDescent="0.35">
      <c r="A27" s="184">
        <v>2</v>
      </c>
      <c r="B27" s="227" t="s">
        <v>360</v>
      </c>
      <c r="C27" s="227"/>
      <c r="D27" s="227"/>
      <c r="E27" s="227"/>
      <c r="F27" s="227"/>
      <c r="G27" s="227"/>
      <c r="H27" s="227"/>
      <c r="I27" s="227"/>
      <c r="J27" s="227"/>
      <c r="K27" s="227"/>
      <c r="L27" s="228"/>
    </row>
    <row r="28" spans="1:14" s="94" customFormat="1" ht="30.75" customHeight="1" x14ac:dyDescent="0.35">
      <c r="A28" s="185">
        <v>3</v>
      </c>
      <c r="B28" s="229" t="s">
        <v>369</v>
      </c>
      <c r="C28" s="229"/>
      <c r="D28" s="229"/>
      <c r="E28" s="229"/>
      <c r="F28" s="229"/>
      <c r="G28" s="229"/>
      <c r="H28" s="229"/>
      <c r="I28" s="229"/>
      <c r="J28" s="229"/>
      <c r="K28" s="229"/>
      <c r="L28" s="230"/>
    </row>
    <row r="29" spans="1:14" s="188" customFormat="1" ht="18" customHeight="1" x14ac:dyDescent="0.35">
      <c r="A29" s="186"/>
      <c r="B29" s="187"/>
      <c r="C29" s="187"/>
      <c r="D29" s="187"/>
      <c r="E29" s="187"/>
      <c r="F29" s="187"/>
      <c r="G29" s="187"/>
      <c r="H29" s="187"/>
      <c r="I29" s="187"/>
      <c r="J29" s="187"/>
      <c r="K29" s="187"/>
      <c r="L29" s="187"/>
    </row>
    <row r="30" spans="1:14" s="1" customFormat="1" ht="16.5" customHeight="1" x14ac:dyDescent="0.35">
      <c r="A30" s="221" t="s">
        <v>405</v>
      </c>
      <c r="B30" s="222"/>
      <c r="C30" s="222"/>
      <c r="D30" s="222"/>
      <c r="E30" s="222"/>
      <c r="F30" s="222"/>
      <c r="G30" s="222"/>
      <c r="H30" s="222"/>
      <c r="I30" s="222"/>
      <c r="J30" s="222"/>
      <c r="K30" s="222"/>
      <c r="L30" s="223"/>
    </row>
    <row r="31" spans="1:14" s="1" customFormat="1" ht="16.5" customHeight="1" x14ac:dyDescent="0.35">
      <c r="A31" s="189" t="s">
        <v>361</v>
      </c>
      <c r="B31" s="190"/>
      <c r="C31" s="190"/>
      <c r="D31" s="190"/>
      <c r="E31" s="190"/>
      <c r="F31" s="190"/>
      <c r="G31" s="190"/>
      <c r="H31" s="190"/>
      <c r="I31" s="190"/>
      <c r="J31" s="190"/>
      <c r="K31" s="190"/>
      <c r="L31" s="191"/>
    </row>
    <row r="32" spans="1:14" ht="14.25" customHeight="1" x14ac:dyDescent="0.35">
      <c r="B32" s="180"/>
      <c r="C32" s="180"/>
      <c r="D32" s="180"/>
      <c r="E32" s="180"/>
      <c r="F32" s="180"/>
      <c r="G32" s="180"/>
      <c r="H32" s="180"/>
      <c r="I32" s="180"/>
      <c r="J32" s="180"/>
      <c r="K32" s="180"/>
      <c r="L32" s="180"/>
    </row>
    <row r="33" spans="1:12" ht="16.5" customHeight="1" x14ac:dyDescent="0.35">
      <c r="A33" s="192" t="s">
        <v>254</v>
      </c>
      <c r="B33" s="193"/>
      <c r="C33" s="193"/>
      <c r="D33" s="194"/>
      <c r="E33" s="193"/>
      <c r="F33" s="193"/>
      <c r="G33" s="193"/>
      <c r="H33" s="193"/>
      <c r="I33" s="193"/>
      <c r="J33" s="193"/>
      <c r="K33" s="193"/>
      <c r="L33" s="195"/>
    </row>
    <row r="34" spans="1:12" ht="15" customHeight="1" x14ac:dyDescent="0.35">
      <c r="A34" s="196"/>
      <c r="B34" s="197" t="s">
        <v>74</v>
      </c>
      <c r="C34" s="198" t="s">
        <v>96</v>
      </c>
      <c r="D34" s="198"/>
      <c r="E34" s="198"/>
      <c r="F34" s="198"/>
      <c r="G34" s="198"/>
      <c r="H34" s="198"/>
      <c r="I34" s="198"/>
      <c r="J34" s="198"/>
      <c r="K34" s="198"/>
      <c r="L34" s="199"/>
    </row>
    <row r="35" spans="1:12" ht="14.25" customHeight="1" x14ac:dyDescent="0.35">
      <c r="A35" s="196"/>
      <c r="B35" s="197" t="s">
        <v>98</v>
      </c>
      <c r="C35" s="198" t="s">
        <v>123</v>
      </c>
      <c r="D35" s="198"/>
      <c r="E35" s="198"/>
      <c r="F35" s="198"/>
      <c r="G35" s="198"/>
      <c r="H35" s="198"/>
      <c r="I35" s="198"/>
      <c r="J35" s="198"/>
      <c r="K35" s="198"/>
      <c r="L35" s="199"/>
    </row>
    <row r="36" spans="1:12" s="64" customFormat="1" ht="33.75" customHeight="1" x14ac:dyDescent="0.35">
      <c r="A36" s="196"/>
      <c r="B36" s="197" t="s">
        <v>74</v>
      </c>
      <c r="C36" s="246" t="s">
        <v>209</v>
      </c>
      <c r="D36" s="246"/>
      <c r="E36" s="246"/>
      <c r="F36" s="246"/>
      <c r="G36" s="246"/>
      <c r="H36" s="246"/>
      <c r="I36" s="246"/>
      <c r="J36" s="246"/>
      <c r="K36" s="246"/>
      <c r="L36" s="247"/>
    </row>
    <row r="37" spans="1:12" s="65" customFormat="1" ht="30.75" customHeight="1" x14ac:dyDescent="0.35">
      <c r="A37" s="196"/>
      <c r="B37" s="197" t="s">
        <v>207</v>
      </c>
      <c r="C37" s="246" t="s">
        <v>210</v>
      </c>
      <c r="D37" s="246"/>
      <c r="E37" s="246"/>
      <c r="F37" s="246"/>
      <c r="G37" s="246"/>
      <c r="H37" s="246"/>
      <c r="I37" s="246"/>
      <c r="J37" s="246"/>
      <c r="K37" s="246"/>
      <c r="L37" s="247"/>
    </row>
    <row r="38" spans="1:12" ht="30.75" customHeight="1" x14ac:dyDescent="0.35">
      <c r="A38" s="196"/>
      <c r="B38" s="197" t="s">
        <v>208</v>
      </c>
      <c r="C38" s="246" t="s">
        <v>211</v>
      </c>
      <c r="D38" s="246"/>
      <c r="E38" s="246"/>
      <c r="F38" s="246"/>
      <c r="G38" s="246"/>
      <c r="H38" s="246"/>
      <c r="I38" s="246"/>
      <c r="J38" s="246"/>
      <c r="K38" s="246"/>
      <c r="L38" s="247"/>
    </row>
    <row r="39" spans="1:12" ht="30.75" customHeight="1" x14ac:dyDescent="0.35">
      <c r="A39" s="196"/>
      <c r="B39" s="197" t="s">
        <v>399</v>
      </c>
      <c r="C39" s="246" t="s">
        <v>400</v>
      </c>
      <c r="D39" s="246"/>
      <c r="E39" s="246"/>
      <c r="F39" s="246"/>
      <c r="G39" s="246"/>
      <c r="H39" s="246"/>
      <c r="I39" s="246"/>
      <c r="J39" s="246"/>
      <c r="K39" s="246"/>
      <c r="L39" s="247"/>
    </row>
    <row r="40" spans="1:12" ht="15.5" customHeight="1" x14ac:dyDescent="0.35">
      <c r="A40" s="196"/>
      <c r="B40" s="197" t="s">
        <v>399</v>
      </c>
      <c r="C40" s="246" t="s">
        <v>401</v>
      </c>
      <c r="D40" s="246"/>
      <c r="E40" s="246"/>
      <c r="F40" s="246"/>
      <c r="G40" s="246"/>
      <c r="H40" s="246"/>
      <c r="I40" s="246"/>
      <c r="J40" s="246"/>
      <c r="K40" s="246"/>
      <c r="L40" s="247"/>
    </row>
    <row r="41" spans="1:12" x14ac:dyDescent="0.35">
      <c r="A41" s="196"/>
      <c r="B41" s="197" t="s">
        <v>339</v>
      </c>
      <c r="C41" s="198" t="s">
        <v>154</v>
      </c>
      <c r="D41" s="198"/>
      <c r="E41" s="198"/>
      <c r="F41" s="198"/>
      <c r="G41" s="198"/>
      <c r="H41" s="198"/>
      <c r="I41" s="198"/>
      <c r="J41" s="198"/>
      <c r="K41" s="198"/>
      <c r="L41" s="199"/>
    </row>
    <row r="42" spans="1:12" ht="29.25" customHeight="1" x14ac:dyDescent="0.35">
      <c r="A42" s="196"/>
      <c r="B42" s="197" t="s">
        <v>75</v>
      </c>
      <c r="C42" s="246" t="s">
        <v>76</v>
      </c>
      <c r="D42" s="246"/>
      <c r="E42" s="246"/>
      <c r="F42" s="246"/>
      <c r="G42" s="246"/>
      <c r="H42" s="246"/>
      <c r="I42" s="246"/>
      <c r="J42" s="246"/>
      <c r="K42" s="246"/>
      <c r="L42" s="247"/>
    </row>
    <row r="43" spans="1:12" x14ac:dyDescent="0.35">
      <c r="A43" s="196"/>
      <c r="B43" s="197" t="s">
        <v>77</v>
      </c>
      <c r="C43" s="198" t="s">
        <v>78</v>
      </c>
      <c r="D43" s="198"/>
      <c r="E43" s="198"/>
      <c r="F43" s="198"/>
      <c r="G43" s="198"/>
      <c r="H43" s="198"/>
      <c r="I43" s="198"/>
      <c r="J43" s="198"/>
      <c r="K43" s="198"/>
      <c r="L43" s="199"/>
    </row>
    <row r="44" spans="1:12" x14ac:dyDescent="0.35">
      <c r="A44" s="196"/>
      <c r="B44" s="197" t="s">
        <v>91</v>
      </c>
      <c r="C44" s="198" t="s">
        <v>92</v>
      </c>
      <c r="D44" s="198"/>
      <c r="E44" s="198"/>
      <c r="F44" s="198"/>
      <c r="G44" s="198"/>
      <c r="H44" s="198"/>
      <c r="I44" s="198"/>
      <c r="J44" s="198"/>
      <c r="K44" s="198"/>
      <c r="L44" s="199"/>
    </row>
    <row r="45" spans="1:12" x14ac:dyDescent="0.35">
      <c r="A45" s="200"/>
      <c r="B45" s="201" t="s">
        <v>245</v>
      </c>
      <c r="C45" s="202" t="s">
        <v>246</v>
      </c>
      <c r="D45" s="202"/>
      <c r="E45" s="202"/>
      <c r="F45" s="202"/>
      <c r="G45" s="202"/>
      <c r="H45" s="202"/>
      <c r="I45" s="202"/>
      <c r="J45" s="202"/>
      <c r="K45" s="202"/>
      <c r="L45" s="203"/>
    </row>
    <row r="47" spans="1:12" x14ac:dyDescent="0.35">
      <c r="A47" s="1" t="s">
        <v>126</v>
      </c>
    </row>
    <row r="48" spans="1:12" x14ac:dyDescent="0.35">
      <c r="A48" t="s">
        <v>127</v>
      </c>
    </row>
    <row r="49" spans="1:12" x14ac:dyDescent="0.35">
      <c r="A49" t="s">
        <v>128</v>
      </c>
    </row>
    <row r="50" spans="1:12" x14ac:dyDescent="0.35">
      <c r="A50" s="49" t="s">
        <v>129</v>
      </c>
    </row>
    <row r="51" spans="1:12" x14ac:dyDescent="0.35">
      <c r="A51" s="49" t="s">
        <v>130</v>
      </c>
    </row>
    <row r="52" spans="1:12" x14ac:dyDescent="0.35">
      <c r="A52" s="49"/>
    </row>
    <row r="53" spans="1:12" x14ac:dyDescent="0.35">
      <c r="A53" s="1" t="s">
        <v>323</v>
      </c>
    </row>
    <row r="54" spans="1:12" x14ac:dyDescent="0.35">
      <c r="A54" s="49" t="s">
        <v>322</v>
      </c>
    </row>
    <row r="56" spans="1:12" x14ac:dyDescent="0.35">
      <c r="A56" s="1" t="s">
        <v>35</v>
      </c>
    </row>
    <row r="57" spans="1:12" ht="29.15" customHeight="1" x14ac:dyDescent="0.35">
      <c r="A57" s="220" t="s">
        <v>378</v>
      </c>
      <c r="B57" s="220"/>
      <c r="C57" s="220"/>
      <c r="D57" s="220"/>
      <c r="E57" s="220"/>
      <c r="F57" s="220"/>
      <c r="G57" s="220"/>
      <c r="H57" s="220"/>
      <c r="I57" s="220"/>
      <c r="J57" s="220"/>
      <c r="K57" s="220"/>
      <c r="L57" s="220"/>
    </row>
    <row r="62" spans="1:12" ht="16" customHeight="1" x14ac:dyDescent="0.35"/>
    <row r="63" spans="1:12" ht="29.25" customHeight="1" x14ac:dyDescent="0.35"/>
  </sheetData>
  <mergeCells count="33">
    <mergeCell ref="B14:L14"/>
    <mergeCell ref="C36:L36"/>
    <mergeCell ref="C37:L37"/>
    <mergeCell ref="C38:L38"/>
    <mergeCell ref="C42:L42"/>
    <mergeCell ref="B22:L22"/>
    <mergeCell ref="B23:L23"/>
    <mergeCell ref="B24:L24"/>
    <mergeCell ref="B25:L25"/>
    <mergeCell ref="A21:L21"/>
    <mergeCell ref="C39:L39"/>
    <mergeCell ref="C40:L40"/>
    <mergeCell ref="A13:L13"/>
    <mergeCell ref="A6:L6"/>
    <mergeCell ref="A8:L8"/>
    <mergeCell ref="A9:L9"/>
    <mergeCell ref="A10:L10"/>
    <mergeCell ref="N4:R4"/>
    <mergeCell ref="A4:L4"/>
    <mergeCell ref="A1:L1"/>
    <mergeCell ref="A57:L57"/>
    <mergeCell ref="A30:L30"/>
    <mergeCell ref="A12:L12"/>
    <mergeCell ref="B15:L15"/>
    <mergeCell ref="B16:L16"/>
    <mergeCell ref="B17:L17"/>
    <mergeCell ref="B18:L18"/>
    <mergeCell ref="B19:L19"/>
    <mergeCell ref="B20:L20"/>
    <mergeCell ref="B26:L26"/>
    <mergeCell ref="B27:L27"/>
    <mergeCell ref="B28:L28"/>
    <mergeCell ref="A7:L7"/>
  </mergeCells>
  <hyperlinks>
    <hyperlink ref="A50" r:id="rId1" xr:uid="{6B934EC2-E381-41EE-938C-08FAF5E51BBE}"/>
    <hyperlink ref="A51" r:id="rId2" xr:uid="{785DB934-D308-4A7B-B51A-B3D1C1CB613D}"/>
    <hyperlink ref="A54" r:id="rId3" xr:uid="{628F21D8-1E97-4CD2-A7F4-B694F56F2A98}"/>
    <hyperlink ref="A30:L30" r:id="rId4" display="VISUALS of KEY IDEAS" xr:uid="{859BFD9E-D08B-44CA-9DE3-FFEC8C0810A4}"/>
    <hyperlink ref="A31" r:id="rId5" display="Model Guide (Help)" xr:uid="{8F30E346-4589-4A82-8FC7-799AFE6BC59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RowHeight="14.5" x14ac:dyDescent="0.35"/>
  <cols>
    <col min="1" max="2" width="8.7265625" style="65"/>
    <col min="3" max="3" width="3.7265625" style="65" customWidth="1"/>
    <col min="4" max="4" width="46.54296875" style="65" customWidth="1"/>
  </cols>
  <sheetData>
    <row r="1" spans="1:4" x14ac:dyDescent="0.35">
      <c r="A1" s="65" t="s">
        <v>244</v>
      </c>
    </row>
    <row r="3" spans="1:4" s="1" customFormat="1" x14ac:dyDescent="0.35">
      <c r="A3" s="280" t="s">
        <v>242</v>
      </c>
      <c r="B3" s="280"/>
      <c r="C3" s="280"/>
      <c r="D3" s="142" t="s">
        <v>241</v>
      </c>
    </row>
    <row r="4" spans="1:4" ht="30" customHeight="1" x14ac:dyDescent="0.35">
      <c r="A4" s="281" t="s">
        <v>238</v>
      </c>
      <c r="B4" s="281"/>
      <c r="C4" s="281"/>
      <c r="D4" s="205" t="s">
        <v>379</v>
      </c>
    </row>
    <row r="5" spans="1:4" ht="43.5" x14ac:dyDescent="0.35">
      <c r="A5" s="285" t="s">
        <v>380</v>
      </c>
      <c r="B5" s="282"/>
      <c r="C5" s="282"/>
      <c r="D5" s="206" t="s">
        <v>406</v>
      </c>
    </row>
    <row r="6" spans="1:4" ht="57.5" customHeight="1" x14ac:dyDescent="0.35">
      <c r="A6" s="283" t="s">
        <v>381</v>
      </c>
      <c r="B6" s="283"/>
      <c r="C6" s="283"/>
      <c r="D6" s="207" t="s">
        <v>382</v>
      </c>
    </row>
    <row r="7" spans="1:4" ht="29" x14ac:dyDescent="0.35">
      <c r="A7" s="284" t="s">
        <v>33</v>
      </c>
      <c r="B7" s="284"/>
      <c r="C7" s="284"/>
      <c r="D7" s="208" t="s">
        <v>383</v>
      </c>
    </row>
    <row r="11" spans="1:4" x14ac:dyDescent="0.35">
      <c r="A11" s="281" t="s">
        <v>238</v>
      </c>
      <c r="B11" s="281"/>
      <c r="C11" s="281"/>
    </row>
    <row r="12" spans="1:4" x14ac:dyDescent="0.35">
      <c r="A12" s="282" t="s">
        <v>239</v>
      </c>
      <c r="B12" s="282"/>
      <c r="C12" s="282"/>
    </row>
    <row r="13" spans="1:4" x14ac:dyDescent="0.35">
      <c r="A13" s="283" t="s">
        <v>240</v>
      </c>
      <c r="B13" s="283"/>
      <c r="C13" s="283"/>
    </row>
    <row r="14" spans="1:4" x14ac:dyDescent="0.35">
      <c r="A14" s="284" t="s">
        <v>33</v>
      </c>
      <c r="B14" s="284"/>
      <c r="C14" s="284"/>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8"/>
  <sheetViews>
    <sheetView topLeftCell="A2" zoomScale="150" zoomScaleNormal="150" workbookViewId="0">
      <selection activeCell="E4" sqref="E4"/>
    </sheetView>
  </sheetViews>
  <sheetFormatPr defaultRowHeight="14.5" x14ac:dyDescent="0.35"/>
  <cols>
    <col min="1" max="1" width="12.54296875" style="42" customWidth="1"/>
    <col min="2" max="2" width="7.81640625" style="168"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6" t="s">
        <v>111</v>
      </c>
      <c r="C1" s="40" t="s">
        <v>100</v>
      </c>
      <c r="D1" s="39" t="s">
        <v>102</v>
      </c>
      <c r="E1" s="39" t="s">
        <v>101</v>
      </c>
      <c r="F1" s="39" t="s">
        <v>103</v>
      </c>
      <c r="H1" s="118" t="s">
        <v>135</v>
      </c>
      <c r="I1" s="118" t="s">
        <v>101</v>
      </c>
      <c r="J1" s="119" t="s">
        <v>103</v>
      </c>
    </row>
    <row r="2" spans="1:10" x14ac:dyDescent="0.35">
      <c r="A2" s="62"/>
      <c r="B2" s="167"/>
      <c r="C2" s="61"/>
      <c r="D2" s="60"/>
      <c r="E2" s="60"/>
      <c r="F2" s="62"/>
      <c r="H2" s="41"/>
      <c r="I2" s="41"/>
      <c r="J2" s="42"/>
    </row>
    <row r="3" spans="1:10" x14ac:dyDescent="0.35">
      <c r="A3" s="62">
        <v>44700</v>
      </c>
      <c r="B3" s="167" t="s">
        <v>407</v>
      </c>
      <c r="C3" s="61" t="s">
        <v>408</v>
      </c>
      <c r="D3" s="60" t="s">
        <v>95</v>
      </c>
      <c r="E3" s="60" t="s">
        <v>95</v>
      </c>
      <c r="F3" s="62"/>
      <c r="H3" s="41"/>
      <c r="I3" s="41"/>
      <c r="J3" s="42"/>
    </row>
    <row r="4" spans="1:10" ht="145" x14ac:dyDescent="0.35">
      <c r="A4" s="62">
        <v>44699</v>
      </c>
      <c r="B4" s="167" t="s">
        <v>403</v>
      </c>
      <c r="C4" s="61" t="s">
        <v>404</v>
      </c>
      <c r="D4" s="60" t="s">
        <v>95</v>
      </c>
      <c r="E4" s="60" t="s">
        <v>95</v>
      </c>
      <c r="F4" s="62"/>
      <c r="H4" s="41"/>
      <c r="I4" s="41"/>
      <c r="J4" s="43"/>
    </row>
    <row r="5" spans="1:10" ht="40.5" customHeight="1" x14ac:dyDescent="0.35">
      <c r="A5" s="62">
        <v>44698</v>
      </c>
      <c r="B5" s="167" t="s">
        <v>397</v>
      </c>
      <c r="C5" s="61" t="s">
        <v>398</v>
      </c>
      <c r="D5" s="60" t="s">
        <v>95</v>
      </c>
      <c r="E5" s="60" t="s">
        <v>95</v>
      </c>
      <c r="F5" s="62"/>
      <c r="H5" s="41"/>
      <c r="I5" s="41"/>
      <c r="J5" s="43"/>
    </row>
    <row r="6" spans="1:10" ht="38.5" customHeight="1" x14ac:dyDescent="0.35">
      <c r="A6" s="62">
        <v>44676</v>
      </c>
      <c r="B6" s="167" t="s">
        <v>370</v>
      </c>
      <c r="C6" s="61" t="s">
        <v>371</v>
      </c>
      <c r="D6" s="60" t="s">
        <v>95</v>
      </c>
      <c r="E6" s="60" t="s">
        <v>95</v>
      </c>
      <c r="F6" s="62"/>
      <c r="H6" s="41" t="s">
        <v>136</v>
      </c>
      <c r="I6" s="41" t="s">
        <v>95</v>
      </c>
      <c r="J6" s="42"/>
    </row>
    <row r="7" spans="1:10" ht="58" x14ac:dyDescent="0.35">
      <c r="A7" s="62">
        <v>44656</v>
      </c>
      <c r="B7" s="167" t="s">
        <v>373</v>
      </c>
      <c r="C7" s="61" t="s">
        <v>374</v>
      </c>
      <c r="D7" s="60" t="s">
        <v>95</v>
      </c>
      <c r="E7" s="60" t="s">
        <v>95</v>
      </c>
      <c r="F7" s="62"/>
      <c r="H7" s="41" t="s">
        <v>306</v>
      </c>
      <c r="I7" s="120" t="s">
        <v>155</v>
      </c>
      <c r="J7" s="43">
        <v>44482</v>
      </c>
    </row>
    <row r="8" spans="1:10" ht="58" x14ac:dyDescent="0.35">
      <c r="A8" s="62">
        <v>44588</v>
      </c>
      <c r="B8" s="167" t="s">
        <v>343</v>
      </c>
      <c r="C8" s="61" t="s">
        <v>344</v>
      </c>
      <c r="D8" s="60" t="s">
        <v>95</v>
      </c>
      <c r="E8" s="60" t="s">
        <v>95</v>
      </c>
      <c r="F8" s="62"/>
      <c r="H8" s="41"/>
      <c r="I8" s="120"/>
      <c r="J8" s="43"/>
    </row>
    <row r="9" spans="1:10" ht="43.5" x14ac:dyDescent="0.35">
      <c r="A9" s="62">
        <v>44581</v>
      </c>
      <c r="B9" s="167" t="s">
        <v>341</v>
      </c>
      <c r="C9" s="61" t="s">
        <v>342</v>
      </c>
      <c r="D9" s="60" t="s">
        <v>95</v>
      </c>
      <c r="E9" s="60" t="s">
        <v>95</v>
      </c>
      <c r="F9" s="62"/>
      <c r="H9" s="41" t="s">
        <v>159</v>
      </c>
      <c r="I9" s="41" t="s">
        <v>155</v>
      </c>
      <c r="J9" s="43">
        <v>44385</v>
      </c>
    </row>
    <row r="10" spans="1:10" ht="101.5" x14ac:dyDescent="0.35">
      <c r="A10" s="62">
        <v>44581</v>
      </c>
      <c r="B10" s="167" t="s">
        <v>335</v>
      </c>
      <c r="C10" s="61" t="s">
        <v>336</v>
      </c>
      <c r="D10" s="60" t="s">
        <v>95</v>
      </c>
      <c r="E10" s="60" t="s">
        <v>337</v>
      </c>
      <c r="F10" s="62" t="s">
        <v>338</v>
      </c>
      <c r="H10" s="41" t="s">
        <v>204</v>
      </c>
      <c r="I10" s="120" t="s">
        <v>199</v>
      </c>
      <c r="J10" s="43">
        <v>44391</v>
      </c>
    </row>
    <row r="11" spans="1:10" ht="87" x14ac:dyDescent="0.35">
      <c r="A11" s="62">
        <v>44532</v>
      </c>
      <c r="B11" s="167" t="s">
        <v>321</v>
      </c>
      <c r="C11" s="61" t="s">
        <v>324</v>
      </c>
      <c r="D11" s="60" t="s">
        <v>95</v>
      </c>
      <c r="E11" s="60" t="s">
        <v>95</v>
      </c>
      <c r="F11" s="62"/>
      <c r="H11" s="41" t="s">
        <v>157</v>
      </c>
      <c r="I11" s="120" t="s">
        <v>199</v>
      </c>
      <c r="J11" s="43">
        <v>44391</v>
      </c>
    </row>
    <row r="12" spans="1:10" ht="29" x14ac:dyDescent="0.35">
      <c r="A12" s="62">
        <v>44501</v>
      </c>
      <c r="B12" s="167" t="s">
        <v>319</v>
      </c>
      <c r="C12" s="61" t="s">
        <v>320</v>
      </c>
      <c r="D12" s="60" t="s">
        <v>95</v>
      </c>
      <c r="E12" s="60" t="s">
        <v>95</v>
      </c>
      <c r="F12" s="62"/>
      <c r="H12" s="41" t="s">
        <v>158</v>
      </c>
      <c r="I12" s="120" t="s">
        <v>199</v>
      </c>
      <c r="J12" s="43">
        <v>44391</v>
      </c>
    </row>
    <row r="13" spans="1:10" ht="72.5" x14ac:dyDescent="0.35">
      <c r="A13" s="62">
        <v>44500</v>
      </c>
      <c r="B13" s="167" t="s">
        <v>317</v>
      </c>
      <c r="C13" s="61" t="s">
        <v>318</v>
      </c>
      <c r="D13" s="60" t="s">
        <v>95</v>
      </c>
      <c r="E13" s="60" t="s">
        <v>95</v>
      </c>
      <c r="F13" s="62"/>
      <c r="H13" s="41"/>
      <c r="I13" s="41"/>
      <c r="J13" s="42"/>
    </row>
    <row r="14" spans="1:10" ht="43.5" x14ac:dyDescent="0.35">
      <c r="A14" s="62">
        <v>44496</v>
      </c>
      <c r="B14" s="167" t="s">
        <v>312</v>
      </c>
      <c r="C14" s="61" t="s">
        <v>313</v>
      </c>
      <c r="D14" s="60" t="s">
        <v>95</v>
      </c>
      <c r="E14" s="60" t="s">
        <v>305</v>
      </c>
      <c r="F14" s="62"/>
      <c r="H14" s="41"/>
      <c r="I14" s="41"/>
      <c r="J14" s="42"/>
    </row>
    <row r="15" spans="1:10" ht="72.5" x14ac:dyDescent="0.35">
      <c r="A15" s="62">
        <v>44496</v>
      </c>
      <c r="B15" s="167" t="s">
        <v>310</v>
      </c>
      <c r="C15" s="61" t="s">
        <v>311</v>
      </c>
      <c r="D15" s="60" t="s">
        <v>95</v>
      </c>
      <c r="E15" s="60" t="s">
        <v>325</v>
      </c>
      <c r="F15" s="62">
        <v>44495</v>
      </c>
      <c r="H15" s="41"/>
      <c r="I15" s="41"/>
      <c r="J15" s="42"/>
    </row>
    <row r="16" spans="1:10" ht="29" x14ac:dyDescent="0.35">
      <c r="A16" s="62">
        <v>44480</v>
      </c>
      <c r="B16" s="167" t="s">
        <v>304</v>
      </c>
      <c r="C16" s="61" t="s">
        <v>301</v>
      </c>
      <c r="D16" s="60" t="s">
        <v>95</v>
      </c>
      <c r="E16" s="60"/>
      <c r="F16" s="62"/>
      <c r="H16" s="41"/>
      <c r="I16" s="41"/>
      <c r="J16" s="42"/>
    </row>
    <row r="17" spans="1:6" ht="29" x14ac:dyDescent="0.35">
      <c r="A17" s="62">
        <v>44480</v>
      </c>
      <c r="B17" s="167" t="s">
        <v>303</v>
      </c>
      <c r="C17" s="61" t="s">
        <v>300</v>
      </c>
      <c r="D17" s="60" t="s">
        <v>95</v>
      </c>
      <c r="E17" s="60" t="s">
        <v>95</v>
      </c>
      <c r="F17" s="62"/>
    </row>
    <row r="18" spans="1:6" ht="29" x14ac:dyDescent="0.35">
      <c r="A18" s="62">
        <v>44480</v>
      </c>
      <c r="B18" s="167" t="s">
        <v>302</v>
      </c>
      <c r="C18" s="61" t="s">
        <v>299</v>
      </c>
      <c r="D18" s="60" t="s">
        <v>95</v>
      </c>
      <c r="E18" s="60" t="s">
        <v>255</v>
      </c>
      <c r="F18" s="62" t="s">
        <v>256</v>
      </c>
    </row>
    <row r="19" spans="1:6" ht="43.5" x14ac:dyDescent="0.35">
      <c r="A19" s="62">
        <v>44474</v>
      </c>
      <c r="B19" s="60">
        <v>3.7</v>
      </c>
      <c r="C19" s="61" t="s">
        <v>247</v>
      </c>
      <c r="D19" s="60" t="s">
        <v>95</v>
      </c>
      <c r="E19" s="60" t="s">
        <v>95</v>
      </c>
      <c r="F19" s="62"/>
    </row>
    <row r="20" spans="1:6" ht="43.5" x14ac:dyDescent="0.35">
      <c r="A20" s="62">
        <v>44463</v>
      </c>
      <c r="B20" s="60" t="s">
        <v>316</v>
      </c>
      <c r="C20" s="61" t="s">
        <v>232</v>
      </c>
      <c r="D20" s="60" t="s">
        <v>95</v>
      </c>
      <c r="E20" s="60" t="s">
        <v>326</v>
      </c>
      <c r="F20" s="62">
        <v>44432</v>
      </c>
    </row>
    <row r="21" spans="1:6" ht="58" x14ac:dyDescent="0.35">
      <c r="A21" s="62">
        <v>44459</v>
      </c>
      <c r="B21" s="60" t="s">
        <v>214</v>
      </c>
      <c r="C21" s="61" t="s">
        <v>215</v>
      </c>
      <c r="D21" s="60" t="s">
        <v>95</v>
      </c>
      <c r="E21" s="60" t="s">
        <v>95</v>
      </c>
      <c r="F21" s="62"/>
    </row>
    <row r="22" spans="1:6" ht="43.5" x14ac:dyDescent="0.35">
      <c r="A22" s="62">
        <v>44459</v>
      </c>
      <c r="B22" s="60">
        <v>3.6</v>
      </c>
      <c r="C22" s="61" t="s">
        <v>216</v>
      </c>
      <c r="D22" s="60" t="s">
        <v>95</v>
      </c>
      <c r="E22" s="60" t="s">
        <v>95</v>
      </c>
      <c r="F22" s="62"/>
    </row>
    <row r="23" spans="1:6" ht="58" x14ac:dyDescent="0.35">
      <c r="A23" s="62">
        <v>44432</v>
      </c>
      <c r="B23" s="60">
        <v>3.5</v>
      </c>
      <c r="C23" s="61" t="s">
        <v>206</v>
      </c>
      <c r="D23" s="60" t="s">
        <v>95</v>
      </c>
      <c r="E23" s="60" t="s">
        <v>95</v>
      </c>
      <c r="F23" s="62">
        <v>44424</v>
      </c>
    </row>
    <row r="24" spans="1:6" ht="101.5" x14ac:dyDescent="0.35">
      <c r="A24" s="62">
        <v>44432</v>
      </c>
      <c r="B24" s="60">
        <v>3.5</v>
      </c>
      <c r="C24" s="61" t="s">
        <v>212</v>
      </c>
      <c r="D24" s="60" t="s">
        <v>95</v>
      </c>
      <c r="E24" s="60" t="s">
        <v>327</v>
      </c>
      <c r="F24" s="62">
        <v>44424</v>
      </c>
    </row>
    <row r="25" spans="1:6" ht="87" x14ac:dyDescent="0.35">
      <c r="A25" s="62">
        <v>44432</v>
      </c>
      <c r="B25" s="60">
        <v>3.5</v>
      </c>
      <c r="C25" s="61" t="s">
        <v>205</v>
      </c>
      <c r="D25" s="60" t="s">
        <v>95</v>
      </c>
      <c r="E25" s="60"/>
      <c r="F25" s="62"/>
    </row>
    <row r="26" spans="1:6" ht="43.5" x14ac:dyDescent="0.35">
      <c r="A26" s="62">
        <v>44423</v>
      </c>
      <c r="B26" s="60" t="s">
        <v>201</v>
      </c>
      <c r="C26" s="61" t="s">
        <v>202</v>
      </c>
      <c r="D26" s="60" t="s">
        <v>95</v>
      </c>
      <c r="E26" s="60" t="s">
        <v>95</v>
      </c>
      <c r="F26" s="62"/>
    </row>
    <row r="27" spans="1:6" ht="43.5" x14ac:dyDescent="0.35">
      <c r="A27" s="62">
        <v>44405</v>
      </c>
      <c r="B27" s="60" t="s">
        <v>198</v>
      </c>
      <c r="C27" s="41" t="s">
        <v>200</v>
      </c>
      <c r="D27" s="60" t="s">
        <v>95</v>
      </c>
      <c r="E27" s="60" t="s">
        <v>328</v>
      </c>
      <c r="F27" s="62">
        <v>44405</v>
      </c>
    </row>
    <row r="28" spans="1:6" ht="29" x14ac:dyDescent="0.35">
      <c r="A28" s="62">
        <v>44405</v>
      </c>
      <c r="B28" s="60" t="s">
        <v>196</v>
      </c>
      <c r="C28" s="61" t="s">
        <v>197</v>
      </c>
      <c r="D28" s="60" t="s">
        <v>95</v>
      </c>
      <c r="E28" s="60" t="s">
        <v>95</v>
      </c>
      <c r="F28" s="62">
        <v>44405</v>
      </c>
    </row>
    <row r="29" spans="1:6" ht="72.5" x14ac:dyDescent="0.35">
      <c r="A29" s="62">
        <v>44405</v>
      </c>
      <c r="B29" s="60" t="s">
        <v>183</v>
      </c>
      <c r="C29" s="61" t="s">
        <v>195</v>
      </c>
      <c r="D29" s="60" t="s">
        <v>95</v>
      </c>
      <c r="E29" s="60" t="s">
        <v>328</v>
      </c>
      <c r="F29" s="62">
        <v>44391</v>
      </c>
    </row>
    <row r="30" spans="1:6" ht="43.5" x14ac:dyDescent="0.35">
      <c r="A30" s="60" t="s">
        <v>180</v>
      </c>
      <c r="B30" s="60" t="s">
        <v>179</v>
      </c>
      <c r="C30" s="41" t="s">
        <v>181</v>
      </c>
      <c r="D30" s="60" t="s">
        <v>95</v>
      </c>
      <c r="E30" s="60" t="s">
        <v>328</v>
      </c>
      <c r="F30" s="62">
        <v>44391</v>
      </c>
    </row>
    <row r="31" spans="1:6" ht="29" x14ac:dyDescent="0.35">
      <c r="A31" s="60" t="s">
        <v>180</v>
      </c>
      <c r="B31" s="60" t="s">
        <v>179</v>
      </c>
      <c r="C31" s="41" t="s">
        <v>156</v>
      </c>
      <c r="D31" s="60" t="s">
        <v>95</v>
      </c>
      <c r="E31" s="60" t="s">
        <v>328</v>
      </c>
      <c r="F31" s="62">
        <v>44391</v>
      </c>
    </row>
    <row r="32" spans="1:6" ht="101.5" x14ac:dyDescent="0.35">
      <c r="A32" s="62">
        <v>44403</v>
      </c>
      <c r="B32" s="60" t="s">
        <v>160</v>
      </c>
      <c r="C32" s="61" t="s">
        <v>161</v>
      </c>
      <c r="D32" s="60" t="s">
        <v>95</v>
      </c>
      <c r="E32" s="60" t="s">
        <v>328</v>
      </c>
      <c r="F32" s="62">
        <v>44391</v>
      </c>
    </row>
    <row r="33" spans="1:6" ht="58" x14ac:dyDescent="0.35">
      <c r="A33" s="43">
        <v>44389</v>
      </c>
      <c r="B33" s="42" t="s">
        <v>152</v>
      </c>
      <c r="C33" s="41" t="s">
        <v>153</v>
      </c>
      <c r="D33" s="44" t="s">
        <v>95</v>
      </c>
      <c r="E33" s="44" t="s">
        <v>95</v>
      </c>
      <c r="F33" s="43">
        <v>44389</v>
      </c>
    </row>
    <row r="34" spans="1:6" ht="29" x14ac:dyDescent="0.35">
      <c r="A34" s="43">
        <v>44389</v>
      </c>
      <c r="B34" s="42" t="s">
        <v>150</v>
      </c>
      <c r="C34" s="41" t="s">
        <v>151</v>
      </c>
      <c r="D34" s="44" t="s">
        <v>95</v>
      </c>
      <c r="E34" s="44" t="s">
        <v>155</v>
      </c>
      <c r="F34" s="43">
        <v>44385</v>
      </c>
    </row>
    <row r="35" spans="1:6" ht="58" x14ac:dyDescent="0.35">
      <c r="A35" s="43">
        <v>44385</v>
      </c>
      <c r="B35" s="42" t="s">
        <v>131</v>
      </c>
      <c r="C35" s="41" t="s">
        <v>132</v>
      </c>
      <c r="D35" s="44" t="s">
        <v>95</v>
      </c>
      <c r="E35" s="44" t="s">
        <v>95</v>
      </c>
      <c r="F35" s="43">
        <f>A35</f>
        <v>44385</v>
      </c>
    </row>
    <row r="36" spans="1:6" ht="29" x14ac:dyDescent="0.35">
      <c r="A36" s="43">
        <v>44384</v>
      </c>
      <c r="B36" s="42" t="s">
        <v>124</v>
      </c>
      <c r="C36" s="41" t="s">
        <v>133</v>
      </c>
      <c r="D36" s="44" t="s">
        <v>95</v>
      </c>
      <c r="E36" s="44" t="s">
        <v>95</v>
      </c>
      <c r="F36" s="43">
        <v>44384</v>
      </c>
    </row>
    <row r="37" spans="1:6" ht="43.5" x14ac:dyDescent="0.35">
      <c r="A37" s="43">
        <v>44384</v>
      </c>
      <c r="B37" s="42" t="s">
        <v>122</v>
      </c>
      <c r="C37" s="41" t="s">
        <v>134</v>
      </c>
      <c r="D37" s="44" t="s">
        <v>95</v>
      </c>
      <c r="E37" s="44" t="s">
        <v>95</v>
      </c>
      <c r="F37" s="43">
        <v>44384</v>
      </c>
    </row>
    <row r="38" spans="1:6" ht="43.5" x14ac:dyDescent="0.35">
      <c r="A38" s="43">
        <v>44378</v>
      </c>
      <c r="B38" s="42" t="s">
        <v>119</v>
      </c>
      <c r="C38" s="41" t="s">
        <v>120</v>
      </c>
      <c r="D38" s="44" t="s">
        <v>95</v>
      </c>
      <c r="E38" s="44" t="s">
        <v>95</v>
      </c>
      <c r="F38" s="43">
        <v>44378</v>
      </c>
    </row>
    <row r="39" spans="1:6" x14ac:dyDescent="0.35">
      <c r="A39" s="43">
        <v>44377</v>
      </c>
      <c r="B39" s="42" t="s">
        <v>117</v>
      </c>
      <c r="C39" s="41" t="s">
        <v>121</v>
      </c>
      <c r="D39" s="44" t="s">
        <v>95</v>
      </c>
      <c r="E39" s="44" t="s">
        <v>95</v>
      </c>
      <c r="F39" s="43">
        <v>44377</v>
      </c>
    </row>
    <row r="40" spans="1:6" ht="72.5" x14ac:dyDescent="0.35">
      <c r="A40" s="43">
        <v>44377</v>
      </c>
      <c r="B40" s="42" t="s">
        <v>115</v>
      </c>
      <c r="C40" s="41" t="s">
        <v>116</v>
      </c>
      <c r="D40" s="44" t="s">
        <v>95</v>
      </c>
      <c r="E40" s="44" t="s">
        <v>329</v>
      </c>
      <c r="F40" s="43">
        <v>44372</v>
      </c>
    </row>
    <row r="41" spans="1:6" ht="43.5" x14ac:dyDescent="0.35">
      <c r="A41" s="43">
        <v>44377</v>
      </c>
      <c r="B41" s="42">
        <v>3.3</v>
      </c>
      <c r="C41" s="41" t="s">
        <v>113</v>
      </c>
      <c r="D41" s="44" t="s">
        <v>95</v>
      </c>
      <c r="E41" s="44" t="s">
        <v>329</v>
      </c>
      <c r="F41" s="43">
        <v>44372</v>
      </c>
    </row>
    <row r="42" spans="1:6" ht="29" x14ac:dyDescent="0.35">
      <c r="A42" s="43">
        <v>44377</v>
      </c>
      <c r="B42" s="42" t="s">
        <v>112</v>
      </c>
      <c r="C42" s="41" t="s">
        <v>104</v>
      </c>
      <c r="D42" s="44" t="s">
        <v>95</v>
      </c>
      <c r="E42" s="44" t="s">
        <v>95</v>
      </c>
      <c r="F42" s="43">
        <v>44377</v>
      </c>
    </row>
    <row r="43" spans="1:6" ht="116" x14ac:dyDescent="0.35">
      <c r="A43" s="43">
        <v>44367</v>
      </c>
      <c r="B43" s="42">
        <v>3.2</v>
      </c>
      <c r="C43" s="41" t="s">
        <v>109</v>
      </c>
      <c r="D43" s="44" t="s">
        <v>95</v>
      </c>
      <c r="E43" s="44" t="s">
        <v>95</v>
      </c>
      <c r="F43" s="43">
        <v>44367</v>
      </c>
    </row>
    <row r="44" spans="1:6" ht="29" x14ac:dyDescent="0.35">
      <c r="A44" s="43">
        <v>44331</v>
      </c>
      <c r="B44" s="42">
        <v>3.1</v>
      </c>
      <c r="C44" s="41" t="s">
        <v>108</v>
      </c>
      <c r="D44" s="44" t="s">
        <v>95</v>
      </c>
      <c r="E44" s="44" t="s">
        <v>95</v>
      </c>
      <c r="F44" s="43">
        <v>44331</v>
      </c>
    </row>
    <row r="45" spans="1:6" ht="72.5" x14ac:dyDescent="0.35">
      <c r="A45" s="43">
        <v>44319</v>
      </c>
      <c r="B45" s="42">
        <v>3</v>
      </c>
      <c r="C45" s="41" t="s">
        <v>107</v>
      </c>
      <c r="D45" s="44" t="s">
        <v>95</v>
      </c>
      <c r="E45" s="44" t="s">
        <v>330</v>
      </c>
      <c r="F45" s="43">
        <v>44315</v>
      </c>
    </row>
    <row r="46" spans="1:6" ht="29" x14ac:dyDescent="0.35">
      <c r="A46" s="43">
        <v>44307</v>
      </c>
      <c r="B46" s="42">
        <v>2</v>
      </c>
      <c r="C46" s="41" t="s">
        <v>105</v>
      </c>
      <c r="D46" s="44" t="s">
        <v>95</v>
      </c>
      <c r="E46" s="44" t="s">
        <v>155</v>
      </c>
      <c r="F46" s="43">
        <v>44294</v>
      </c>
    </row>
    <row r="47" spans="1:6" ht="29" x14ac:dyDescent="0.35">
      <c r="A47" s="43">
        <v>44293</v>
      </c>
      <c r="B47" s="45">
        <v>1</v>
      </c>
      <c r="C47" s="41" t="s">
        <v>106</v>
      </c>
      <c r="D47" s="44" t="s">
        <v>95</v>
      </c>
      <c r="E47" s="44" t="s">
        <v>330</v>
      </c>
      <c r="F47" s="43">
        <v>44291</v>
      </c>
    </row>
    <row r="48" spans="1:6" x14ac:dyDescent="0.35">
      <c r="A48" s="43">
        <v>44291</v>
      </c>
      <c r="B48" s="45">
        <v>0.5</v>
      </c>
      <c r="C48" s="41" t="s">
        <v>315</v>
      </c>
      <c r="D48" s="44" t="s">
        <v>95</v>
      </c>
      <c r="E48" s="44" t="s">
        <v>95</v>
      </c>
      <c r="F48"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9" zoomScale="150" zoomScaleNormal="150" workbookViewId="0">
      <selection activeCell="A5" sqref="A5"/>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366</v>
      </c>
      <c r="B2" s="1"/>
    </row>
    <row r="3" spans="1:14" ht="32.15" customHeight="1" x14ac:dyDescent="0.35">
      <c r="A3" s="263" t="s">
        <v>388</v>
      </c>
      <c r="B3" s="263"/>
      <c r="C3" s="263"/>
      <c r="D3" s="263"/>
      <c r="E3" s="263"/>
      <c r="F3" s="263"/>
      <c r="G3" s="263"/>
      <c r="H3" s="91"/>
      <c r="I3" s="91"/>
      <c r="J3" s="91"/>
      <c r="K3" s="91"/>
      <c r="N3" s="153" t="s">
        <v>296</v>
      </c>
    </row>
    <row r="4" spans="1:14" x14ac:dyDescent="0.35">
      <c r="A4" s="141" t="s">
        <v>409</v>
      </c>
      <c r="B4" s="141" t="s">
        <v>31</v>
      </c>
      <c r="C4" s="264" t="s">
        <v>32</v>
      </c>
      <c r="D4" s="265"/>
      <c r="E4" s="265"/>
      <c r="F4" s="265"/>
      <c r="G4" s="266"/>
      <c r="N4" s="178" t="s">
        <v>260</v>
      </c>
    </row>
    <row r="5" spans="1:14" x14ac:dyDescent="0.35">
      <c r="A5" s="101" t="s">
        <v>28</v>
      </c>
      <c r="B5" s="181"/>
      <c r="C5" s="267"/>
      <c r="D5" s="262"/>
      <c r="E5" s="262"/>
      <c r="F5" s="262"/>
      <c r="G5" s="262"/>
      <c r="N5" s="159"/>
    </row>
    <row r="6" spans="1:14" x14ac:dyDescent="0.35">
      <c r="A6" s="101" t="s">
        <v>29</v>
      </c>
      <c r="B6" s="181"/>
      <c r="C6" s="267"/>
      <c r="D6" s="262"/>
      <c r="E6" s="262"/>
      <c r="F6" s="262"/>
      <c r="G6" s="262"/>
      <c r="N6" s="159"/>
    </row>
    <row r="7" spans="1:14" x14ac:dyDescent="0.35">
      <c r="A7" s="101" t="s">
        <v>30</v>
      </c>
      <c r="B7" s="181"/>
      <c r="C7" s="267"/>
      <c r="D7" s="262"/>
      <c r="E7" s="262"/>
      <c r="F7" s="262"/>
      <c r="G7" s="262"/>
      <c r="N7" s="159"/>
    </row>
    <row r="8" spans="1:14" x14ac:dyDescent="0.35">
      <c r="A8" s="127" t="s">
        <v>94</v>
      </c>
      <c r="B8" s="126"/>
      <c r="C8" s="262"/>
      <c r="D8" s="262"/>
      <c r="E8" s="262"/>
      <c r="F8" s="262"/>
      <c r="G8" s="262"/>
      <c r="N8" s="159"/>
    </row>
    <row r="9" spans="1:14" x14ac:dyDescent="0.35">
      <c r="A9" s="152" t="s">
        <v>334</v>
      </c>
      <c r="B9" s="101"/>
      <c r="C9" s="268"/>
      <c r="D9" s="268"/>
      <c r="E9" s="268"/>
      <c r="F9" s="268"/>
      <c r="G9" s="268"/>
      <c r="N9" s="159"/>
    </row>
    <row r="10" spans="1:14" x14ac:dyDescent="0.35">
      <c r="A10" s="128" t="s">
        <v>97</v>
      </c>
      <c r="B10" s="128"/>
      <c r="C10" s="269"/>
      <c r="D10" s="269"/>
      <c r="E10" s="269"/>
      <c r="F10" s="269"/>
      <c r="G10" s="269"/>
      <c r="N10" s="159"/>
    </row>
    <row r="11" spans="1:14" x14ac:dyDescent="0.35">
      <c r="A11" s="14"/>
      <c r="B11" s="2"/>
      <c r="C11"/>
      <c r="N11" s="159"/>
    </row>
    <row r="12" spans="1:14" x14ac:dyDescent="0.35">
      <c r="A12" s="16" t="s">
        <v>236</v>
      </c>
      <c r="B12" s="270" t="s">
        <v>238</v>
      </c>
      <c r="C12" s="271"/>
      <c r="D12" s="272"/>
      <c r="N12" s="178" t="s">
        <v>261</v>
      </c>
    </row>
    <row r="13" spans="1:14" x14ac:dyDescent="0.35">
      <c r="B13" s="273" t="s">
        <v>386</v>
      </c>
      <c r="C13" s="274"/>
      <c r="D13" s="275"/>
      <c r="N13" s="159"/>
    </row>
    <row r="14" spans="1:14" x14ac:dyDescent="0.35">
      <c r="B14" s="254" t="s">
        <v>381</v>
      </c>
      <c r="C14" s="255"/>
      <c r="D14" s="256"/>
      <c r="N14" s="159"/>
    </row>
    <row r="15" spans="1:14" x14ac:dyDescent="0.35">
      <c r="B15" s="257" t="s">
        <v>33</v>
      </c>
      <c r="C15" s="258"/>
      <c r="D15" s="259"/>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5.94</v>
      </c>
      <c r="C19" s="122">
        <v>7.76</v>
      </c>
      <c r="D19" s="143" t="s">
        <v>402</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78" t="s">
        <v>268</v>
      </c>
    </row>
    <row r="24" spans="1:14" x14ac:dyDescent="0.35">
      <c r="A24" t="s">
        <v>248</v>
      </c>
      <c r="B24" s="122">
        <f>10*(7.5+1.5/2)-B22-B23</f>
        <v>4.2300000000000058</v>
      </c>
      <c r="C24"/>
      <c r="D24" s="123"/>
      <c r="E24" s="30"/>
      <c r="N24" s="178" t="s">
        <v>269</v>
      </c>
    </row>
    <row r="25" spans="1:14" x14ac:dyDescent="0.35">
      <c r="A25" t="s">
        <v>307</v>
      </c>
      <c r="B25" s="122">
        <f>2.3 - IF(A9&lt;&gt;"",1.06,0)</f>
        <v>1.2399999999999998</v>
      </c>
      <c r="C25"/>
      <c r="D25" s="123"/>
      <c r="E25" s="30"/>
      <c r="N25" s="178" t="s">
        <v>314</v>
      </c>
    </row>
    <row r="26" spans="1:14" x14ac:dyDescent="0.35">
      <c r="B26" s="30"/>
      <c r="N26" s="159"/>
    </row>
    <row r="27" spans="1:14"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c r="D28" s="108"/>
      <c r="E28" s="108"/>
      <c r="F28" s="108"/>
      <c r="G28" s="108"/>
      <c r="H28" s="108"/>
      <c r="I28" s="108"/>
      <c r="J28" s="108"/>
      <c r="K28" s="108"/>
      <c r="L28" s="108"/>
      <c r="N28" s="155" t="s">
        <v>270</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8" t="s">
        <v>271</v>
      </c>
    </row>
    <row r="30" spans="1:14" x14ac:dyDescent="0.35">
      <c r="A30" s="1" t="s">
        <v>203</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8" t="s">
        <v>272</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8" t="s">
        <v>273</v>
      </c>
    </row>
    <row r="32" spans="1:14"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59"/>
    </row>
    <row r="34" spans="1:14" x14ac:dyDescent="0.35">
      <c r="A34" t="str">
        <f t="shared" si="4"/>
        <v xml:space="preserve">    Lower Basin Balance</v>
      </c>
      <c r="B34" s="89">
        <f>C19-C21-B35</f>
        <v>1.9214069999999999</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59"/>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59"/>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59"/>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59"/>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59"/>
    </row>
    <row r="39" spans="1:14" x14ac:dyDescent="0.35">
      <c r="A39" s="1" t="s">
        <v>234</v>
      </c>
      <c r="C39"/>
      <c r="N39" s="158" t="s">
        <v>294</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59"/>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59"/>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59"/>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59"/>
    </row>
    <row r="46" spans="1:14" x14ac:dyDescent="0.35">
      <c r="A46" t="str">
        <f t="shared" si="11"/>
        <v xml:space="preserve">    Colorado River Delta Share</v>
      </c>
      <c r="B46" s="1"/>
      <c r="C46" s="13" t="str">
        <f t="shared" ref="C46:L46" si="15">IF(OR(C$28="",$A46=""),"",C$42*C36/C$32)</f>
        <v/>
      </c>
      <c r="D46" s="13" t="str">
        <f t="shared" si="15"/>
        <v/>
      </c>
      <c r="E46" s="13" t="str">
        <f t="shared" si="15"/>
        <v/>
      </c>
      <c r="F46" s="13" t="str">
        <f>IF(OR(F$28="",$A46=""),"",F$42*F36/F$32)</f>
        <v/>
      </c>
      <c r="G46" s="13" t="str">
        <f t="shared" si="15"/>
        <v/>
      </c>
      <c r="H46" s="13" t="str">
        <f t="shared" si="15"/>
        <v/>
      </c>
      <c r="I46" s="13" t="str">
        <f t="shared" si="15"/>
        <v/>
      </c>
      <c r="J46" s="13" t="str">
        <f t="shared" si="15"/>
        <v/>
      </c>
      <c r="K46" s="13" t="str">
        <f t="shared" si="15"/>
        <v/>
      </c>
      <c r="L46" s="13" t="str">
        <f t="shared" si="15"/>
        <v/>
      </c>
      <c r="N46" s="159"/>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59"/>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213" t="s">
        <v>277</v>
      </c>
      <c r="P50" t="s">
        <v>298</v>
      </c>
    </row>
    <row r="51" spans="1:16" x14ac:dyDescent="0.35">
      <c r="A51" t="str">
        <f t="shared" ref="A51:A56" si="19">IF(A5="","","    To "&amp;A5)</f>
        <v xml:space="preserve">    To Upper Basin</v>
      </c>
      <c r="B51" s="105" t="s">
        <v>308</v>
      </c>
      <c r="C51" s="87" t="str">
        <f>IF(OR(C$28="",$A52=""),"",MAX(0,C50-SUM(C52:C57)))</f>
        <v/>
      </c>
      <c r="D51" s="87" t="str">
        <f t="shared" ref="D51:G51" si="20">IF(OR(D$28="",$A52=""),"",MAX(0,D50-SUM(D52:D57)))</f>
        <v/>
      </c>
      <c r="E51" s="87" t="str">
        <f t="shared" si="20"/>
        <v/>
      </c>
      <c r="F51" s="87" t="str">
        <f t="shared" si="20"/>
        <v/>
      </c>
      <c r="G51" s="87" t="str">
        <f t="shared" si="20"/>
        <v/>
      </c>
      <c r="H51" s="87" t="str">
        <f t="shared" ref="H51" si="21">IF(OR(H$28="",$A52=""),"",MAX(0,H50-SUM(H52:H57)))</f>
        <v/>
      </c>
      <c r="I51" s="87" t="str">
        <f t="shared" ref="I51" si="22">IF(OR(I$28="",$A52=""),"",MAX(0,I50-SUM(I52:I57)))</f>
        <v/>
      </c>
      <c r="J51" s="87" t="str">
        <f t="shared" ref="J51" si="23">IF(OR(J$28="",$A52=""),"",MAX(0,J50-SUM(J52:J57)))</f>
        <v/>
      </c>
      <c r="K51" s="87" t="str">
        <f t="shared" ref="K51" si="24">IF(OR(K$28="",$A52=""),"",MAX(0,K50-SUM(K52:K57)))</f>
        <v/>
      </c>
      <c r="L51" s="87" t="str">
        <f t="shared" ref="L51" si="25">IF(OR(L$28="",$A52=""),"",MAX(0,L50-SUM(L52:L57)))</f>
        <v/>
      </c>
      <c r="M51" s="19"/>
      <c r="N51" s="160"/>
      <c r="P51" s="87" t="str">
        <f>IF(OR(P$28="",$A51=""),"",MAX(P28-($B$24)-P56*$B$21/SUM($B$21:$C$21),0))</f>
        <v/>
      </c>
    </row>
    <row r="52" spans="1:16" x14ac:dyDescent="0.35">
      <c r="A52" t="str">
        <f t="shared" si="19"/>
        <v xml:space="preserve">    To Lower Basin</v>
      </c>
      <c r="B52" s="106">
        <f>7.5-IF($A$9="",0,0.95)-IF(C31="",0.6,C31)*IF($A$9="",(7.2/8.7),(7.2-0.95)/8.7)-B54/2</f>
        <v>6.1111877394636007</v>
      </c>
      <c r="C52" s="87" t="str">
        <f>IF(OR(C$28="",$A52=""),"",IF(C50&lt;=SUM(C53:C57),0,IF(C50&lt;=SUM(C53:C57)+2*$B$25,(C50-SUM(C53:C57))/2,IF(C50&lt;=SUM(C53:C57)+2*$B$25+$B$52-$B$25,C50-SUM(C53:C57)-$B$25,$B$52))))</f>
        <v/>
      </c>
      <c r="D52" s="87" t="str">
        <f t="shared" ref="D52:G52" si="26">IF(OR(D$28="",$A52=""),"",IF(D50&lt;=SUM(D53:D57),0,IF(D50&lt;=SUM(D53:D57)+2*$B$25,(D50-SUM(D53:D57))/2,IF(D50&lt;=SUM(D53:D57)+2*$B$25+$B$52-$B$25,D50-SUM(D53:D57)-$B$25,$B$52))))</f>
        <v/>
      </c>
      <c r="E52" s="87" t="str">
        <f t="shared" si="26"/>
        <v/>
      </c>
      <c r="F52" s="87" t="str">
        <f t="shared" si="26"/>
        <v/>
      </c>
      <c r="G52" s="87" t="str">
        <f t="shared" si="26"/>
        <v/>
      </c>
      <c r="H52" s="87" t="str">
        <f t="shared" ref="H52" si="27">IF(OR(H$28="",$A52=""),"",IF(H50&lt;=SUM(H53:H57),0,IF(H50&lt;=SUM(H53:H57)+2*$B$25,(H50-SUM(H53:H57))/2,IF(H50&lt;=SUM(H53:H57)+2*$B$25+$B$52-$B$25,H50-SUM(H53:H57)-$B$25,$B$52))))</f>
        <v/>
      </c>
      <c r="I52" s="87" t="str">
        <f t="shared" ref="I52" si="28">IF(OR(I$28="",$A52=""),"",IF(I50&lt;=SUM(I53:I57),0,IF(I50&lt;=SUM(I53:I57)+2*$B$25,(I50-SUM(I53:I57))/2,IF(I50&lt;=SUM(I53:I57)+2*$B$25+$B$52-$B$25,I50-SUM(I53:I57)-$B$25,$B$52))))</f>
        <v/>
      </c>
      <c r="J52" s="87" t="str">
        <f t="shared" ref="J52" si="29">IF(OR(J$28="",$A52=""),"",IF(J50&lt;=SUM(J53:J57),0,IF(J50&lt;=SUM(J53:J57)+2*$B$25,(J50-SUM(J53:J57))/2,IF(J50&lt;=SUM(J53:J57)+2*$B$25+$B$52-$B$25,J50-SUM(J53:J57)-$B$25,$B$52))))</f>
        <v/>
      </c>
      <c r="K52" s="87" t="str">
        <f t="shared" ref="K52" si="30">IF(OR(K$28="",$A52=""),"",IF(K50&lt;=SUM(K53:K57),0,IF(K50&lt;=SUM(K53:K57)+2*$B$25,(K50-SUM(K53:K57))/2,IF(K50&lt;=SUM(K53:K57)+2*$B$25+$B$52-$B$25,K50-SUM(K53:K57)-$B$25,$B$52))))</f>
        <v/>
      </c>
      <c r="L52" s="87" t="str">
        <f t="shared" ref="L52" si="31">IF(OR(L$28="",$A52=""),"",IF(L50&lt;=SUM(L53:L57),0,IF(L50&lt;=SUM(L53:L57)+2*$B$25,(L50-SUM(L53:L57))/2,IF(L50&lt;=SUM(L53:L57)+2*$B$25+$B$52-$B$25,L50-SUM(L53:L57)-$B$25,$B$52))))</f>
        <v/>
      </c>
      <c r="M52" s="19"/>
      <c r="N52" s="160"/>
      <c r="P52" s="87" t="str">
        <f>IF(OR(P$28="",$A52=""),"",P29+P30-P31-P56*$C$21/SUM($B$21:$C$21)-P53+MIN($B$24,P28))</f>
        <v/>
      </c>
    </row>
    <row r="53" spans="1:16" x14ac:dyDescent="0.35">
      <c r="A53" t="str">
        <f t="shared" si="19"/>
        <v xml:space="preserve">    To Mexico</v>
      </c>
      <c r="B53" s="106" t="s">
        <v>396</v>
      </c>
      <c r="C53" s="88" t="str">
        <f>IF(OR(C$28="",$A53=""),"",MIN(C49,C$50-SUM(C54:C57)))</f>
        <v/>
      </c>
      <c r="D53" s="88" t="str">
        <f t="shared" ref="D53:G53" si="32">IF(OR(D$28="",$A53=""),"",MIN(D49,D$50-SUM(D54:D57)))</f>
        <v/>
      </c>
      <c r="E53" s="88" t="str">
        <f t="shared" si="32"/>
        <v/>
      </c>
      <c r="F53" s="88" t="str">
        <f t="shared" si="32"/>
        <v/>
      </c>
      <c r="G53" s="88" t="str">
        <f t="shared" si="32"/>
        <v/>
      </c>
      <c r="H53" s="88" t="str">
        <f t="shared" ref="H53" si="33">IF(OR(H$28="",$A53=""),"",MIN(H49,H$50-SUM(H54:H57)))</f>
        <v/>
      </c>
      <c r="I53" s="88" t="str">
        <f t="shared" ref="I53" si="34">IF(OR(I$28="",$A53=""),"",MIN(I49,I$50-SUM(I54:I57)))</f>
        <v/>
      </c>
      <c r="J53" s="88" t="str">
        <f t="shared" ref="J53" si="35">IF(OR(J$28="",$A53=""),"",MIN(J49,J$50-SUM(J54:J57)))</f>
        <v/>
      </c>
      <c r="K53" s="88" t="str">
        <f t="shared" ref="K53" si="36">IF(OR(K$28="",$A53=""),"",MIN(K49,K$50-SUM(K54:K57)))</f>
        <v/>
      </c>
      <c r="L53" s="88" t="str">
        <f t="shared" ref="L53" si="37">IF(OR(L$28="",$A53=""),"",MIN(L49,L$50-SUM(L54:L57)))</f>
        <v/>
      </c>
      <c r="M53" s="19"/>
      <c r="N53" s="160"/>
    </row>
    <row r="54" spans="1:16" x14ac:dyDescent="0.35">
      <c r="A54" t="str">
        <f t="shared" si="19"/>
        <v xml:space="preserve">    To Colorado River Delta</v>
      </c>
      <c r="B54" s="115">
        <f>0.21/9*(2/3)</f>
        <v>1.5555555555555553E-2</v>
      </c>
      <c r="C54" s="116" t="str">
        <f>IF(OR(C$28="",$A54=""),"",MIN($B54,C$50-SUM(C55:C57)))</f>
        <v/>
      </c>
      <c r="D54" s="116" t="str">
        <f t="shared" ref="D54:G54" si="38">IF(OR(D$28="",$A54=""),"",MIN($B54,D$50-SUM(D55:D57)))</f>
        <v/>
      </c>
      <c r="E54" s="116" t="str">
        <f t="shared" si="38"/>
        <v/>
      </c>
      <c r="F54" s="116" t="str">
        <f t="shared" si="38"/>
        <v/>
      </c>
      <c r="G54" s="116" t="str">
        <f t="shared" si="38"/>
        <v/>
      </c>
      <c r="H54" s="116" t="str">
        <f t="shared" ref="H54" si="39">IF(OR(H$28="",$A54=""),"",MIN($B54,H$50-SUM(H55:H57)))</f>
        <v/>
      </c>
      <c r="I54" s="116" t="str">
        <f t="shared" ref="I54" si="40">IF(OR(I$28="",$A54=""),"",MIN($B54,I$50-SUM(I55:I57)))</f>
        <v/>
      </c>
      <c r="J54" s="116" t="str">
        <f t="shared" ref="J54" si="41">IF(OR(J$28="",$A54=""),"",MIN($B54,J$50-SUM(J55:J57)))</f>
        <v/>
      </c>
      <c r="K54" s="116" t="str">
        <f t="shared" ref="K54" si="42">IF(OR(K$28="",$A54=""),"",MIN($B54,K$50-SUM(K55:K57)))</f>
        <v/>
      </c>
      <c r="L54" s="116" t="str">
        <f t="shared" ref="L54" si="43">IF(OR(L$28="",$A54=""),"",MIN($B54,L$50-SUM(L55:L57)))</f>
        <v/>
      </c>
      <c r="M54" s="19"/>
      <c r="N54" s="160"/>
    </row>
    <row r="55" spans="1:16" x14ac:dyDescent="0.35">
      <c r="A55" t="str">
        <f t="shared" si="19"/>
        <v xml:space="preserve">    To First Nations</v>
      </c>
      <c r="B55" s="106">
        <f>IF($A$9&lt;&gt;"",2.01-IF(C31="",0.6,C31)*0.95/8.7,"")</f>
        <v>1.9444827586206894</v>
      </c>
      <c r="C55" s="87" t="str">
        <f>IF(OR(C$28="",$A55=""),"",MIN($B55,C$50-SUM(C56:C57)))</f>
        <v/>
      </c>
      <c r="D55" s="87" t="str">
        <f t="shared" ref="D55:G55" si="44">IF(OR(D$28="",$A55=""),"",MIN($B55,D$50-SUM(D56:D57)))</f>
        <v/>
      </c>
      <c r="E55" s="87" t="str">
        <f t="shared" si="44"/>
        <v/>
      </c>
      <c r="F55" s="87" t="str">
        <f t="shared" si="44"/>
        <v/>
      </c>
      <c r="G55" s="87" t="str">
        <f t="shared" si="44"/>
        <v/>
      </c>
      <c r="H55" s="87" t="str">
        <f t="shared" ref="H55" si="45">IF(OR(H$28="",$A55=""),"",MIN($B55,H$50-SUM(H56:H57)))</f>
        <v/>
      </c>
      <c r="I55" s="87" t="str">
        <f t="shared" ref="I55" si="46">IF(OR(I$28="",$A55=""),"",MIN($B55,I$50-SUM(I56:I57)))</f>
        <v/>
      </c>
      <c r="J55" s="87" t="str">
        <f t="shared" ref="J55" si="47">IF(OR(J$28="",$A55=""),"",MIN($B55,J$50-SUM(J56:J57)))</f>
        <v/>
      </c>
      <c r="K55" s="87" t="str">
        <f t="shared" ref="K55" si="48">IF(OR(K$28="",$A55=""),"",MIN($B55,K$50-SUM(K56:K57)))</f>
        <v/>
      </c>
      <c r="L55" s="87" t="str">
        <f t="shared" ref="L55" si="49">IF(OR(L$28="",$A55=""),"",MIN($B55,L$50-SUM(L56:L57)))</f>
        <v/>
      </c>
      <c r="M55" s="19"/>
      <c r="N55" s="160"/>
    </row>
    <row r="56" spans="1:16" x14ac:dyDescent="0.35">
      <c r="A56" t="str">
        <f t="shared" si="19"/>
        <v xml:space="preserve">    To Shared, Reserve</v>
      </c>
      <c r="B56" s="106" t="s">
        <v>213</v>
      </c>
      <c r="C56" s="170" t="str">
        <f>IF(OR(C$28="",$A56=""),"",IF(C$50&gt;C48,C48,C50))</f>
        <v/>
      </c>
      <c r="D56" s="170" t="str">
        <f t="shared" ref="D56:G56" si="50">IF(OR(D$28="",$A56=""),"",IF(D$50&gt;D48,D48,D50))</f>
        <v/>
      </c>
      <c r="E56" s="170" t="str">
        <f t="shared" si="50"/>
        <v/>
      </c>
      <c r="F56" s="170" t="str">
        <f t="shared" si="50"/>
        <v/>
      </c>
      <c r="G56" s="170" t="str">
        <f t="shared" si="50"/>
        <v/>
      </c>
      <c r="H56" s="170" t="str">
        <f t="shared" ref="H56:L56" si="51">IF(OR(H$28="",$A56=""),"",IF(H$50&gt;H48,H48,H50))</f>
        <v/>
      </c>
      <c r="I56" s="170" t="str">
        <f t="shared" si="51"/>
        <v/>
      </c>
      <c r="J56" s="170" t="str">
        <f t="shared" si="51"/>
        <v/>
      </c>
      <c r="K56" s="170" t="str">
        <f t="shared" si="51"/>
        <v/>
      </c>
      <c r="L56" s="170" t="str">
        <f t="shared" si="51"/>
        <v/>
      </c>
      <c r="M56" s="19"/>
      <c r="N56" s="160"/>
    </row>
    <row r="57" spans="1:16" x14ac:dyDescent="0.35">
      <c r="A57" t="str">
        <f>IF(A31="","","    To "&amp;A31)</f>
        <v xml:space="preserve">    To Havasu / Parker evaporation and ET</v>
      </c>
      <c r="B57" s="169" t="s">
        <v>309</v>
      </c>
      <c r="C57" s="171" t="str">
        <f>IF(OR(C$28="",$A57=""),"",MIN(C31,C50-C56))</f>
        <v/>
      </c>
      <c r="D57" s="171" t="str">
        <f t="shared" ref="D57:G57" si="52">IF(OR(D$28="",$A57=""),"",MIN(D31,D50-D56))</f>
        <v/>
      </c>
      <c r="E57" s="171" t="str">
        <f t="shared" si="52"/>
        <v/>
      </c>
      <c r="F57" s="171" t="str">
        <f t="shared" si="52"/>
        <v/>
      </c>
      <c r="G57" s="171" t="str">
        <f t="shared" si="52"/>
        <v/>
      </c>
      <c r="H57" s="171" t="str">
        <f t="shared" ref="H57" si="53">IF(OR(H$28="",$A57=""),"",MIN(H31,H50-H56))</f>
        <v/>
      </c>
      <c r="I57" s="171" t="str">
        <f t="shared" ref="I57" si="54">IF(OR(I$28="",$A57=""),"",MIN(I31,I50-I56))</f>
        <v/>
      </c>
      <c r="J57" s="171" t="str">
        <f t="shared" ref="J57" si="55">IF(OR(J$28="",$A57=""),"",MIN(J31,J50-J56))</f>
        <v/>
      </c>
      <c r="K57" s="171" t="str">
        <f t="shared" ref="K57" si="56">IF(OR(K$28="",$A57=""),"",MIN(K31,K50-K56))</f>
        <v/>
      </c>
      <c r="L57" s="171" t="str">
        <f t="shared" ref="L57" si="57">IF(OR(L$28="",$A57=""),"",MIN(L31,L50-L56))</f>
        <v/>
      </c>
      <c r="M57" s="19"/>
      <c r="N57" s="160"/>
    </row>
    <row r="58" spans="1:16" x14ac:dyDescent="0.35">
      <c r="B58" s="20"/>
      <c r="C58" s="19"/>
      <c r="D58" s="19"/>
      <c r="E58" s="19"/>
      <c r="F58" s="129"/>
      <c r="G58" s="30"/>
      <c r="N58" s="159"/>
    </row>
    <row r="59" spans="1:16" x14ac:dyDescent="0.35">
      <c r="A59" s="112" t="s">
        <v>384</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214"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8">IF(OR(C$28="",$A63=""),"",C$116)</f>
        <v/>
      </c>
      <c r="D63" s="48" t="str">
        <f t="shared" si="58"/>
        <v/>
      </c>
      <c r="E63" s="48" t="str">
        <f t="shared" si="58"/>
        <v/>
      </c>
      <c r="F63" s="48" t="str">
        <f t="shared" si="58"/>
        <v/>
      </c>
      <c r="G63" s="48" t="str">
        <f t="shared" si="58"/>
        <v/>
      </c>
      <c r="H63" s="48" t="str">
        <f t="shared" si="58"/>
        <v/>
      </c>
      <c r="I63" s="48" t="str">
        <f t="shared" si="58"/>
        <v/>
      </c>
      <c r="J63" s="48" t="str">
        <f t="shared" si="58"/>
        <v/>
      </c>
      <c r="K63" s="48" t="str">
        <f t="shared" si="58"/>
        <v/>
      </c>
      <c r="L63" s="48" t="str">
        <f t="shared" si="58"/>
        <v/>
      </c>
      <c r="M63" t="str">
        <f t="shared" si="58"/>
        <v/>
      </c>
      <c r="N63" s="178" t="s">
        <v>281</v>
      </c>
    </row>
    <row r="64" spans="1:16" x14ac:dyDescent="0.35">
      <c r="A64" s="1" t="str">
        <f>IF(A62="","","   Available Water [maf]")</f>
        <v xml:space="preserve">   Available Water [maf]</v>
      </c>
      <c r="C64" s="13" t="str">
        <f>IF(OR(C$28="",$A64=""),"",C33+C51-C43+C61)</f>
        <v/>
      </c>
      <c r="D64" s="13" t="str">
        <f t="shared" ref="D64:L64" si="59">IF(OR(D$28="",$A64=""),"",D33+D51-D43+D61)</f>
        <v/>
      </c>
      <c r="E64" s="13" t="str">
        <f t="shared" si="59"/>
        <v/>
      </c>
      <c r="F64" s="13" t="str">
        <f t="shared" si="59"/>
        <v/>
      </c>
      <c r="G64" s="13" t="str">
        <f t="shared" si="59"/>
        <v/>
      </c>
      <c r="H64" s="13" t="str">
        <f t="shared" si="59"/>
        <v/>
      </c>
      <c r="I64" s="13" t="str">
        <f t="shared" si="59"/>
        <v/>
      </c>
      <c r="J64" s="13" t="str">
        <f t="shared" si="59"/>
        <v/>
      </c>
      <c r="K64" s="13" t="str">
        <f t="shared" si="59"/>
        <v/>
      </c>
      <c r="L64" s="13" t="str">
        <f t="shared" si="59"/>
        <v/>
      </c>
      <c r="N64" s="158" t="s">
        <v>282</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8" t="s">
        <v>295</v>
      </c>
    </row>
    <row r="66" spans="1:14" x14ac:dyDescent="0.35">
      <c r="A66" s="21" t="str">
        <f>IF(A65="","","   End of Year Balance [maf]")</f>
        <v xml:space="preserve">   End of Year Balance [maf]</v>
      </c>
      <c r="C66" s="47" t="str">
        <f>IF(OR(C$28="",$A66=""),"",C64-C65)</f>
        <v/>
      </c>
      <c r="D66" s="47" t="str">
        <f t="shared" ref="D66:L66" si="60">IF(OR(D$28="",$A66=""),"",D64-D65)</f>
        <v/>
      </c>
      <c r="E66" s="47" t="str">
        <f t="shared" si="60"/>
        <v/>
      </c>
      <c r="F66" s="47" t="str">
        <f t="shared" si="60"/>
        <v/>
      </c>
      <c r="G66" s="47" t="str">
        <f t="shared" si="60"/>
        <v/>
      </c>
      <c r="H66" s="47" t="str">
        <f t="shared" si="60"/>
        <v/>
      </c>
      <c r="I66" s="47" t="str">
        <f t="shared" si="60"/>
        <v/>
      </c>
      <c r="J66" s="47" t="str">
        <f t="shared" si="60"/>
        <v/>
      </c>
      <c r="K66" s="47" t="str">
        <f t="shared" si="60"/>
        <v/>
      </c>
      <c r="L66" s="47" t="str">
        <f t="shared" si="60"/>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214"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1">IF(OR(C$28="",$A71=""),"",C$116)</f>
        <v/>
      </c>
      <c r="D71" s="48" t="str">
        <f t="shared" si="61"/>
        <v/>
      </c>
      <c r="E71" s="48" t="str">
        <f t="shared" si="61"/>
        <v/>
      </c>
      <c r="F71" s="48" t="str">
        <f t="shared" si="61"/>
        <v/>
      </c>
      <c r="G71" s="48" t="str">
        <f t="shared" si="61"/>
        <v/>
      </c>
      <c r="H71" s="48" t="str">
        <f t="shared" si="61"/>
        <v/>
      </c>
      <c r="I71" s="48" t="str">
        <f t="shared" si="61"/>
        <v/>
      </c>
      <c r="J71" s="48" t="str">
        <f t="shared" si="61"/>
        <v/>
      </c>
      <c r="K71" s="48" t="str">
        <f t="shared" si="61"/>
        <v/>
      </c>
      <c r="L71" s="48" t="str">
        <f t="shared" si="61"/>
        <v/>
      </c>
      <c r="M71" t="str">
        <f t="shared" si="61"/>
        <v/>
      </c>
      <c r="N71" s="178" t="s">
        <v>281</v>
      </c>
    </row>
    <row r="72" spans="1:14" x14ac:dyDescent="0.35">
      <c r="A72" s="1" t="str">
        <f>IF(A70="","","   Available Water [maf]")</f>
        <v xml:space="preserve">   Available Water [maf]</v>
      </c>
      <c r="C72" s="13" t="str">
        <f>IF(OR(C$28="",$A72=""),"",C34+C52-C44+C69)</f>
        <v/>
      </c>
      <c r="D72" s="13" t="str">
        <f t="shared" ref="D72:L72" si="62">IF(OR(D$28="",$A72=""),"",D34+D52-D44+D69)</f>
        <v/>
      </c>
      <c r="E72" s="13" t="str">
        <f t="shared" si="62"/>
        <v/>
      </c>
      <c r="F72" s="13" t="str">
        <f t="shared" si="62"/>
        <v/>
      </c>
      <c r="G72" s="13" t="str">
        <f t="shared" si="62"/>
        <v/>
      </c>
      <c r="H72" s="13" t="str">
        <f t="shared" si="62"/>
        <v/>
      </c>
      <c r="I72" s="13" t="str">
        <f t="shared" si="62"/>
        <v/>
      </c>
      <c r="J72" s="13" t="str">
        <f t="shared" si="62"/>
        <v/>
      </c>
      <c r="K72" s="13" t="str">
        <f t="shared" si="62"/>
        <v/>
      </c>
      <c r="L72" s="13" t="str">
        <f t="shared" si="62"/>
        <v/>
      </c>
      <c r="N72" s="158" t="s">
        <v>282</v>
      </c>
    </row>
    <row r="73" spans="1:14" x14ac:dyDescent="0.35">
      <c r="A73" s="138" t="str">
        <f>IF(A72="","",$A$65)</f>
        <v xml:space="preserve">   Enter withdraw [maf] within available water</v>
      </c>
      <c r="C73" s="104"/>
      <c r="D73" s="104"/>
      <c r="E73" s="104"/>
      <c r="F73" s="104"/>
      <c r="G73" s="104"/>
      <c r="H73" s="104"/>
      <c r="I73" s="104"/>
      <c r="J73" s="104"/>
      <c r="K73" s="104"/>
      <c r="L73" s="104"/>
      <c r="N73" s="158" t="s">
        <v>295</v>
      </c>
    </row>
    <row r="74" spans="1:14" x14ac:dyDescent="0.35">
      <c r="A74" s="21" t="str">
        <f>IF(A73="","","   End of Year Balance [maf]")</f>
        <v xml:space="preserve">   End of Year Balance [maf]</v>
      </c>
      <c r="C74" s="47" t="str">
        <f>IF(OR(C$28="",$A74=""),"",C72-C73)</f>
        <v/>
      </c>
      <c r="D74" s="47" t="str">
        <f t="shared" ref="D74:L74" si="63">IF(OR(D$28="",$A74=""),"",D72-D73)</f>
        <v/>
      </c>
      <c r="E74" s="47" t="str">
        <f t="shared" si="63"/>
        <v/>
      </c>
      <c r="F74" s="47" t="str">
        <f t="shared" si="63"/>
        <v/>
      </c>
      <c r="G74" s="47" t="str">
        <f t="shared" si="63"/>
        <v/>
      </c>
      <c r="H74" s="47" t="str">
        <f t="shared" si="63"/>
        <v/>
      </c>
      <c r="I74" s="47" t="str">
        <f t="shared" si="63"/>
        <v/>
      </c>
      <c r="J74" s="47" t="str">
        <f t="shared" si="63"/>
        <v/>
      </c>
      <c r="K74" s="47" t="str">
        <f t="shared" si="63"/>
        <v/>
      </c>
      <c r="L74" s="47" t="str">
        <f t="shared" si="63"/>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4">IF(OR(C$28="",$A79=""),"",C$116)</f>
        <v/>
      </c>
      <c r="D79" s="48" t="str">
        <f t="shared" si="64"/>
        <v/>
      </c>
      <c r="E79" s="48" t="str">
        <f t="shared" si="64"/>
        <v/>
      </c>
      <c r="F79" s="48" t="str">
        <f t="shared" si="64"/>
        <v/>
      </c>
      <c r="G79" s="48" t="str">
        <f t="shared" si="64"/>
        <v/>
      </c>
      <c r="H79" s="48" t="str">
        <f t="shared" si="64"/>
        <v/>
      </c>
      <c r="I79" s="48" t="str">
        <f t="shared" si="64"/>
        <v/>
      </c>
      <c r="J79" s="48" t="str">
        <f t="shared" si="64"/>
        <v/>
      </c>
      <c r="K79" s="48" t="str">
        <f t="shared" si="64"/>
        <v/>
      </c>
      <c r="L79" s="48" t="str">
        <f t="shared" si="64"/>
        <v/>
      </c>
      <c r="M79" t="str">
        <f t="shared" si="64"/>
        <v/>
      </c>
      <c r="N79" s="178" t="s">
        <v>281</v>
      </c>
    </row>
    <row r="80" spans="1:14" x14ac:dyDescent="0.35">
      <c r="A80" s="1" t="str">
        <f>IF(A78="","","   Available Water [maf]")</f>
        <v xml:space="preserve">   Available Water [maf]</v>
      </c>
      <c r="C80" s="13" t="str">
        <f>IF(OR(C$28="",$A80=""),"",C35+C53-C45+C77)</f>
        <v/>
      </c>
      <c r="D80" s="13" t="str">
        <f t="shared" ref="D80:L80" si="65">IF(OR(D$28="",$A80=""),"",D35+D53-D45+D77)</f>
        <v/>
      </c>
      <c r="E80" s="13" t="str">
        <f t="shared" si="65"/>
        <v/>
      </c>
      <c r="F80" s="13" t="str">
        <f t="shared" si="65"/>
        <v/>
      </c>
      <c r="G80" s="13" t="str">
        <f t="shared" si="65"/>
        <v/>
      </c>
      <c r="H80" s="13" t="str">
        <f t="shared" si="65"/>
        <v/>
      </c>
      <c r="I80" s="13" t="str">
        <f t="shared" si="65"/>
        <v/>
      </c>
      <c r="J80" s="13" t="str">
        <f t="shared" si="65"/>
        <v/>
      </c>
      <c r="K80" s="13" t="str">
        <f t="shared" si="65"/>
        <v/>
      </c>
      <c r="L80" s="13" t="str">
        <f t="shared" si="65"/>
        <v/>
      </c>
      <c r="N80" s="158" t="s">
        <v>282</v>
      </c>
    </row>
    <row r="81" spans="1:14" x14ac:dyDescent="0.35">
      <c r="A81" s="138" t="str">
        <f>IF(A80="","",$A$65)</f>
        <v xml:space="preserve">   Enter withdraw [maf] within available water</v>
      </c>
      <c r="C81" s="104"/>
      <c r="D81" s="104"/>
      <c r="E81" s="104"/>
      <c r="F81" s="104"/>
      <c r="G81" s="104"/>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66">IF(OR(D$28="",$A82=""),"",D80-D81)</f>
        <v/>
      </c>
      <c r="E82" s="47" t="str">
        <f t="shared" si="66"/>
        <v/>
      </c>
      <c r="F82" s="47" t="str">
        <f t="shared" si="66"/>
        <v/>
      </c>
      <c r="G82" s="47" t="str">
        <f t="shared" si="66"/>
        <v/>
      </c>
      <c r="H82" s="47" t="str">
        <f t="shared" si="66"/>
        <v/>
      </c>
      <c r="I82" s="47" t="str">
        <f t="shared" si="66"/>
        <v/>
      </c>
      <c r="J82" s="47" t="str">
        <f t="shared" si="66"/>
        <v/>
      </c>
      <c r="K82" s="47" t="str">
        <f t="shared" si="66"/>
        <v/>
      </c>
      <c r="L82" s="47" t="str">
        <f t="shared" si="66"/>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67">IF(OR(C$28="",$A87=""),"",C$116)</f>
        <v/>
      </c>
      <c r="D87" s="48" t="str">
        <f t="shared" si="67"/>
        <v/>
      </c>
      <c r="E87" s="48" t="str">
        <f t="shared" si="67"/>
        <v/>
      </c>
      <c r="F87" s="48" t="str">
        <f t="shared" si="67"/>
        <v/>
      </c>
      <c r="G87" s="48" t="str">
        <f t="shared" si="67"/>
        <v/>
      </c>
      <c r="H87" s="48" t="str">
        <f t="shared" si="67"/>
        <v/>
      </c>
      <c r="I87" s="48" t="str">
        <f t="shared" si="67"/>
        <v/>
      </c>
      <c r="J87" s="48" t="str">
        <f t="shared" si="67"/>
        <v/>
      </c>
      <c r="K87" s="48" t="str">
        <f t="shared" si="67"/>
        <v/>
      </c>
      <c r="L87" s="48" t="str">
        <f t="shared" si="67"/>
        <v/>
      </c>
      <c r="M87" t="str">
        <f t="shared" si="67"/>
        <v/>
      </c>
      <c r="N87" s="178" t="s">
        <v>281</v>
      </c>
    </row>
    <row r="88" spans="1:14" x14ac:dyDescent="0.35">
      <c r="A88" s="1" t="str">
        <f>IF(A86="","","   Available Water [maf]")</f>
        <v xml:space="preserve">   Available Water [maf]</v>
      </c>
      <c r="C88" s="130" t="str">
        <f>IF(OR(C$28="",$A88=""),"",C36+C54-C46+C85)</f>
        <v/>
      </c>
      <c r="D88" s="130" t="str">
        <f t="shared" ref="D88:L88" si="68">IF(OR(D$28="",$A88=""),"",D36+D54-D46+D85)</f>
        <v/>
      </c>
      <c r="E88" s="130" t="str">
        <f t="shared" si="68"/>
        <v/>
      </c>
      <c r="F88" s="130" t="str">
        <f t="shared" si="68"/>
        <v/>
      </c>
      <c r="G88" s="130" t="str">
        <f t="shared" si="68"/>
        <v/>
      </c>
      <c r="H88" s="130" t="str">
        <f t="shared" si="68"/>
        <v/>
      </c>
      <c r="I88" s="130" t="str">
        <f t="shared" si="68"/>
        <v/>
      </c>
      <c r="J88" s="130" t="str">
        <f t="shared" si="68"/>
        <v/>
      </c>
      <c r="K88" s="130" t="str">
        <f t="shared" si="68"/>
        <v/>
      </c>
      <c r="L88" s="130" t="str">
        <f t="shared" si="68"/>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69">IF(OR(D$28="",$A90=""),"",D88-D89)</f>
        <v/>
      </c>
      <c r="E90" s="47" t="str">
        <f t="shared" si="69"/>
        <v/>
      </c>
      <c r="F90" s="47" t="str">
        <f t="shared" si="69"/>
        <v/>
      </c>
      <c r="G90" s="47" t="str">
        <f t="shared" si="69"/>
        <v/>
      </c>
      <c r="H90" s="47" t="str">
        <f t="shared" si="69"/>
        <v/>
      </c>
      <c r="I90" s="47" t="str">
        <f t="shared" si="69"/>
        <v/>
      </c>
      <c r="J90" s="47" t="str">
        <f t="shared" si="69"/>
        <v/>
      </c>
      <c r="K90" s="47" t="str">
        <f t="shared" si="69"/>
        <v/>
      </c>
      <c r="L90" s="47" t="str">
        <f t="shared" si="69"/>
        <v/>
      </c>
      <c r="N90" s="158" t="s">
        <v>283</v>
      </c>
    </row>
    <row r="91" spans="1:14" x14ac:dyDescent="0.35">
      <c r="C91"/>
      <c r="N91" s="159"/>
    </row>
    <row r="92" spans="1:14" x14ac:dyDescent="0.35">
      <c r="A92" s="132" t="str">
        <f>IF(A$9="","[Unused]",A9)</f>
        <v>First Nations</v>
      </c>
      <c r="B92" s="110"/>
      <c r="C92" s="110"/>
      <c r="D92" s="110"/>
      <c r="E92" s="110"/>
      <c r="F92" s="110"/>
      <c r="G92" s="110"/>
      <c r="H92" s="110"/>
      <c r="I92" s="110"/>
      <c r="J92" s="110"/>
      <c r="K92" s="110"/>
      <c r="L92" s="110"/>
      <c r="M92" s="111" t="s">
        <v>79</v>
      </c>
      <c r="N92" s="155" t="s">
        <v>278</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1" t="s">
        <v>279</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2" t="s">
        <v>280</v>
      </c>
    </row>
    <row r="95" spans="1:14" x14ac:dyDescent="0.35">
      <c r="A95" s="145" t="str">
        <f>IF(A94="","",$A$63)</f>
        <v xml:space="preserve">   Net trade volume all participants (should be zero)</v>
      </c>
      <c r="C95" s="48" t="str">
        <f t="shared" ref="C95:M95" si="70">IF(OR(C$28="",$A95=""),"",C$116)</f>
        <v/>
      </c>
      <c r="D95" s="48" t="str">
        <f t="shared" si="70"/>
        <v/>
      </c>
      <c r="E95" s="48" t="str">
        <f t="shared" si="70"/>
        <v/>
      </c>
      <c r="F95" s="48" t="str">
        <f t="shared" si="70"/>
        <v/>
      </c>
      <c r="G95" s="48" t="str">
        <f t="shared" si="70"/>
        <v/>
      </c>
      <c r="H95" s="48" t="str">
        <f t="shared" si="70"/>
        <v/>
      </c>
      <c r="I95" s="48" t="str">
        <f t="shared" si="70"/>
        <v/>
      </c>
      <c r="J95" s="48" t="str">
        <f t="shared" si="70"/>
        <v/>
      </c>
      <c r="K95" s="48" t="str">
        <f t="shared" si="70"/>
        <v/>
      </c>
      <c r="L95" s="48" t="str">
        <f t="shared" si="70"/>
        <v/>
      </c>
      <c r="M95" t="str">
        <f t="shared" si="70"/>
        <v/>
      </c>
      <c r="N95" s="178" t="s">
        <v>281</v>
      </c>
    </row>
    <row r="96" spans="1:14" x14ac:dyDescent="0.35">
      <c r="A96" s="1" t="str">
        <f>IF(A94="","","   Available Water [maf]")</f>
        <v xml:space="preserve">   Available Water [maf]</v>
      </c>
      <c r="C96" s="13" t="str">
        <f>IF(OR(C$28="",$A96=""),"",C37+C55-C47+C93)</f>
        <v/>
      </c>
      <c r="D96" s="13" t="str">
        <f t="shared" ref="D96:L96" si="71">IF(OR(D$28="",$A96=""),"",D37+D55-D47+D93)</f>
        <v/>
      </c>
      <c r="E96" s="13" t="str">
        <f t="shared" si="71"/>
        <v/>
      </c>
      <c r="F96" s="13" t="str">
        <f t="shared" si="71"/>
        <v/>
      </c>
      <c r="G96" s="13" t="str">
        <f t="shared" si="71"/>
        <v/>
      </c>
      <c r="H96" s="13" t="str">
        <f t="shared" si="71"/>
        <v/>
      </c>
      <c r="I96" s="13" t="str">
        <f t="shared" si="71"/>
        <v/>
      </c>
      <c r="J96" s="13" t="str">
        <f t="shared" si="71"/>
        <v/>
      </c>
      <c r="K96" s="13" t="str">
        <f t="shared" si="71"/>
        <v/>
      </c>
      <c r="L96" s="13" t="str">
        <f t="shared" si="71"/>
        <v/>
      </c>
      <c r="N96" s="158" t="s">
        <v>282</v>
      </c>
    </row>
    <row r="97" spans="1:14" x14ac:dyDescent="0.35">
      <c r="A97" s="138" t="str">
        <f>IF(A96="","",$A$65)</f>
        <v xml:space="preserve">   Enter withdraw [maf] within available water</v>
      </c>
      <c r="C97" s="104"/>
      <c r="D97" s="104"/>
      <c r="E97" s="104"/>
      <c r="F97" s="104"/>
      <c r="G97" s="104"/>
      <c r="H97" s="104"/>
      <c r="I97" s="104"/>
      <c r="J97" s="104"/>
      <c r="K97" s="104"/>
      <c r="L97" s="104"/>
      <c r="N97" s="158" t="s">
        <v>295</v>
      </c>
    </row>
    <row r="98" spans="1:14" x14ac:dyDescent="0.35">
      <c r="A98" s="21" t="str">
        <f>IF(A97="","","   End of Year Balance [maf]")</f>
        <v xml:space="preserve">   End of Year Balance [maf]</v>
      </c>
      <c r="C98" s="47" t="str">
        <f>IF(OR(C$28="",$A98=""),"",C96-C97)</f>
        <v/>
      </c>
      <c r="D98" s="47" t="str">
        <f t="shared" ref="D98:L98" si="72">IF(OR(D$28="",$A98=""),"",D96-D97)</f>
        <v/>
      </c>
      <c r="E98" s="47" t="str">
        <f t="shared" si="72"/>
        <v/>
      </c>
      <c r="F98" s="47" t="str">
        <f t="shared" si="72"/>
        <v/>
      </c>
      <c r="G98" s="47" t="str">
        <f t="shared" si="72"/>
        <v/>
      </c>
      <c r="H98" s="47" t="str">
        <f t="shared" si="72"/>
        <v/>
      </c>
      <c r="I98" s="47" t="str">
        <f t="shared" si="72"/>
        <v/>
      </c>
      <c r="J98" s="47" t="str">
        <f t="shared" si="72"/>
        <v/>
      </c>
      <c r="K98" s="47" t="str">
        <f t="shared" si="72"/>
        <v/>
      </c>
      <c r="L98" s="47" t="str">
        <f t="shared" si="72"/>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73">IF(OR(C$28="",$A103=""),"",C$116)</f>
        <v/>
      </c>
      <c r="D103" s="48" t="str">
        <f t="shared" si="73"/>
        <v/>
      </c>
      <c r="E103" s="48" t="str">
        <f t="shared" si="73"/>
        <v/>
      </c>
      <c r="F103" s="48" t="str">
        <f t="shared" si="73"/>
        <v/>
      </c>
      <c r="G103" s="48" t="str">
        <f t="shared" si="73"/>
        <v/>
      </c>
      <c r="H103" s="48" t="str">
        <f t="shared" si="73"/>
        <v/>
      </c>
      <c r="I103" s="48" t="str">
        <f t="shared" si="73"/>
        <v/>
      </c>
      <c r="J103" s="48" t="str">
        <f t="shared" si="73"/>
        <v/>
      </c>
      <c r="K103" s="48" t="str">
        <f t="shared" si="73"/>
        <v/>
      </c>
      <c r="L103" s="48" t="str">
        <f t="shared" si="73"/>
        <v/>
      </c>
      <c r="M103" t="str">
        <f t="shared" si="73"/>
        <v/>
      </c>
      <c r="N103" s="159"/>
    </row>
    <row r="104" spans="1:14" x14ac:dyDescent="0.35">
      <c r="A104" s="1" t="str">
        <f>IF(A102="","","   Available Water [maf]")</f>
        <v xml:space="preserve">   Available Water [maf]</v>
      </c>
      <c r="C104" s="13" t="str">
        <f>IF(OR(C$28="",$A104=""),"",C38+C56-C48+C101)</f>
        <v/>
      </c>
      <c r="D104" s="13" t="str">
        <f t="shared" ref="D104:L104" si="74">IF(OR(D$28="",$A104=""),"",D38+D56-D48+D101)</f>
        <v/>
      </c>
      <c r="E104" s="13" t="str">
        <f t="shared" si="74"/>
        <v/>
      </c>
      <c r="F104" s="13" t="str">
        <f t="shared" si="74"/>
        <v/>
      </c>
      <c r="G104" s="13" t="str">
        <f t="shared" si="74"/>
        <v/>
      </c>
      <c r="H104" s="13" t="str">
        <f t="shared" si="74"/>
        <v/>
      </c>
      <c r="I104" s="13" t="str">
        <f t="shared" si="74"/>
        <v/>
      </c>
      <c r="J104" s="13" t="str">
        <f t="shared" si="74"/>
        <v/>
      </c>
      <c r="K104" s="13" t="str">
        <f t="shared" si="74"/>
        <v/>
      </c>
      <c r="L104" s="13" t="str">
        <f t="shared" si="74"/>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75">IF(OR(D$28="",$A106=""),"",D104-D105)</f>
        <v/>
      </c>
      <c r="E106" s="47" t="str">
        <f t="shared" si="75"/>
        <v/>
      </c>
      <c r="F106" s="47" t="str">
        <f t="shared" si="75"/>
        <v/>
      </c>
      <c r="G106" s="47" t="str">
        <f t="shared" si="75"/>
        <v/>
      </c>
      <c r="H106" s="47" t="str">
        <f t="shared" si="75"/>
        <v/>
      </c>
      <c r="I106" s="47" t="str">
        <f t="shared" si="75"/>
        <v/>
      </c>
      <c r="J106" s="47" t="str">
        <f t="shared" si="75"/>
        <v/>
      </c>
      <c r="K106" s="47" t="str">
        <f t="shared" si="75"/>
        <v/>
      </c>
      <c r="L106" s="47" t="str">
        <f t="shared" si="75"/>
        <v/>
      </c>
      <c r="N106" s="159"/>
    </row>
    <row r="107" spans="1:14" x14ac:dyDescent="0.35">
      <c r="C107"/>
      <c r="N107" s="159"/>
    </row>
    <row r="108" spans="1:14" x14ac:dyDescent="0.35">
      <c r="A108" s="112" t="s">
        <v>385</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76">IF(A5="","","    "&amp;A5)</f>
        <v xml:space="preserve">    Upper Basin</v>
      </c>
      <c r="B110" s="1"/>
      <c r="C110" s="48" t="str">
        <f t="shared" ref="C110:L110" ca="1" si="77">IF(OR(C$28="",$A110=""),"",OFFSET(C$61,8*(ROW(B110)-ROW(B$110)),0))</f>
        <v/>
      </c>
      <c r="D110" s="48" t="str">
        <f t="shared" ca="1" si="77"/>
        <v/>
      </c>
      <c r="E110" s="48" t="str">
        <f t="shared" ca="1" si="77"/>
        <v/>
      </c>
      <c r="F110" s="48" t="str">
        <f t="shared" ca="1" si="77"/>
        <v/>
      </c>
      <c r="G110" s="48" t="str">
        <f t="shared" ca="1" si="77"/>
        <v/>
      </c>
      <c r="H110" s="48" t="str">
        <f t="shared" ca="1" si="77"/>
        <v/>
      </c>
      <c r="I110" s="48" t="str">
        <f t="shared" ca="1" si="77"/>
        <v/>
      </c>
      <c r="J110" s="48" t="str">
        <f t="shared" ca="1" si="77"/>
        <v/>
      </c>
      <c r="K110" s="48" t="str">
        <f t="shared" ca="1" si="77"/>
        <v/>
      </c>
      <c r="L110" s="149" t="str">
        <f t="shared" ca="1" si="77"/>
        <v/>
      </c>
      <c r="M110" s="150">
        <f ca="1">IF(OR($A110=""),"",SUM(C110:L110))</f>
        <v>0</v>
      </c>
      <c r="N110" s="163"/>
    </row>
    <row r="111" spans="1:14" x14ac:dyDescent="0.35">
      <c r="A111" t="str">
        <f t="shared" si="76"/>
        <v xml:space="preserve">    Lower Basin</v>
      </c>
      <c r="B111" s="1"/>
      <c r="C111" s="48" t="str">
        <f t="shared" ref="C111:L111" ca="1" si="78">IF(OR(C$28="",$A111=""),"",OFFSET(C$61,8*(ROW(B111)-ROW(B$110)),0))</f>
        <v/>
      </c>
      <c r="D111" s="48" t="str">
        <f t="shared" ca="1" si="78"/>
        <v/>
      </c>
      <c r="E111" s="48" t="str">
        <f t="shared" ca="1" si="78"/>
        <v/>
      </c>
      <c r="F111" s="48" t="str">
        <f t="shared" ca="1" si="78"/>
        <v/>
      </c>
      <c r="G111" s="48" t="str">
        <f t="shared" ca="1" si="78"/>
        <v/>
      </c>
      <c r="H111" s="48" t="str">
        <f t="shared" ca="1" si="78"/>
        <v/>
      </c>
      <c r="I111" s="48" t="str">
        <f t="shared" ca="1" si="78"/>
        <v/>
      </c>
      <c r="J111" s="48" t="str">
        <f t="shared" ca="1" si="78"/>
        <v/>
      </c>
      <c r="K111" s="48" t="str">
        <f t="shared" ca="1" si="78"/>
        <v/>
      </c>
      <c r="L111" s="149" t="str">
        <f t="shared" ca="1" si="78"/>
        <v/>
      </c>
      <c r="M111" s="150">
        <f t="shared" ref="M111:M115" ca="1" si="79">IF(OR($A111=""),"",SUM(C111:L111))</f>
        <v>0</v>
      </c>
      <c r="N111" s="163"/>
    </row>
    <row r="112" spans="1:14" x14ac:dyDescent="0.35">
      <c r="A112" t="str">
        <f t="shared" si="76"/>
        <v xml:space="preserve">    Mexico</v>
      </c>
      <c r="B112" s="1"/>
      <c r="C112" s="48" t="str">
        <f t="shared" ref="C112:L112" ca="1" si="80">IF(OR(C$28="",$A112=""),"",OFFSET(C$61,8*(ROW(B112)-ROW(B$110)),0))</f>
        <v/>
      </c>
      <c r="D112" s="48" t="str">
        <f t="shared" ca="1" si="80"/>
        <v/>
      </c>
      <c r="E112" s="48" t="str">
        <f t="shared" ca="1" si="80"/>
        <v/>
      </c>
      <c r="F112" s="48" t="str">
        <f t="shared" ca="1" si="80"/>
        <v/>
      </c>
      <c r="G112" s="48" t="str">
        <f t="shared" ca="1" si="80"/>
        <v/>
      </c>
      <c r="H112" s="48" t="str">
        <f t="shared" ca="1" si="80"/>
        <v/>
      </c>
      <c r="I112" s="48" t="str">
        <f t="shared" ca="1" si="80"/>
        <v/>
      </c>
      <c r="J112" s="48" t="str">
        <f t="shared" ca="1" si="80"/>
        <v/>
      </c>
      <c r="K112" s="48" t="str">
        <f t="shared" ca="1" si="80"/>
        <v/>
      </c>
      <c r="L112" s="149" t="str">
        <f t="shared" ca="1" si="80"/>
        <v/>
      </c>
      <c r="M112" s="150">
        <f t="shared" ca="1" si="79"/>
        <v>0</v>
      </c>
      <c r="N112" s="163"/>
    </row>
    <row r="113" spans="1:14" x14ac:dyDescent="0.35">
      <c r="A113" t="str">
        <f t="shared" si="76"/>
        <v xml:space="preserve">    Colorado River Delta</v>
      </c>
      <c r="B113" s="1"/>
      <c r="C113" s="48" t="str">
        <f t="shared" ref="C113:L113" ca="1" si="81">IF(OR(C$28="",$A113=""),"",OFFSET(C$61,8*(ROW(B113)-ROW(B$110)),0))</f>
        <v/>
      </c>
      <c r="D113" s="48" t="str">
        <f t="shared" ca="1" si="81"/>
        <v/>
      </c>
      <c r="E113" s="48" t="str">
        <f t="shared" ca="1" si="81"/>
        <v/>
      </c>
      <c r="F113" s="48" t="str">
        <f t="shared" ca="1" si="81"/>
        <v/>
      </c>
      <c r="G113" s="48" t="str">
        <f t="shared" ca="1" si="81"/>
        <v/>
      </c>
      <c r="H113" s="48" t="str">
        <f t="shared" ca="1" si="81"/>
        <v/>
      </c>
      <c r="I113" s="48" t="str">
        <f t="shared" ca="1" si="81"/>
        <v/>
      </c>
      <c r="J113" s="48" t="str">
        <f t="shared" ca="1" si="81"/>
        <v/>
      </c>
      <c r="K113" s="48" t="str">
        <f t="shared" ca="1" si="81"/>
        <v/>
      </c>
      <c r="L113" s="149" t="str">
        <f t="shared" ca="1" si="81"/>
        <v/>
      </c>
      <c r="M113" s="150">
        <f t="shared" ca="1" si="79"/>
        <v>0</v>
      </c>
      <c r="N113" s="163"/>
    </row>
    <row r="114" spans="1:14" x14ac:dyDescent="0.35">
      <c r="A114" t="str">
        <f t="shared" si="76"/>
        <v xml:space="preserve">    First Nations</v>
      </c>
      <c r="B114" s="1"/>
      <c r="C114" s="48" t="str">
        <f t="shared" ref="C114:L114" ca="1" si="82">IF(OR(C$28="",$A114=""),"",OFFSET(C$61,8*(ROW(B114)-ROW(B$110)),0))</f>
        <v/>
      </c>
      <c r="D114" s="48" t="str">
        <f t="shared" ca="1" si="82"/>
        <v/>
      </c>
      <c r="E114" s="48" t="str">
        <f t="shared" ca="1" si="82"/>
        <v/>
      </c>
      <c r="F114" s="48" t="str">
        <f t="shared" ca="1" si="82"/>
        <v/>
      </c>
      <c r="G114" s="48" t="str">
        <f t="shared" ca="1" si="82"/>
        <v/>
      </c>
      <c r="H114" s="48" t="str">
        <f t="shared" ca="1" si="82"/>
        <v/>
      </c>
      <c r="I114" s="48" t="str">
        <f t="shared" ca="1" si="82"/>
        <v/>
      </c>
      <c r="J114" s="48" t="str">
        <f t="shared" ca="1" si="82"/>
        <v/>
      </c>
      <c r="K114" s="48" t="str">
        <f t="shared" ca="1" si="82"/>
        <v/>
      </c>
      <c r="L114" s="149" t="str">
        <f t="shared" ca="1" si="82"/>
        <v/>
      </c>
      <c r="M114" s="150">
        <f t="shared" ca="1" si="79"/>
        <v>0</v>
      </c>
      <c r="N114" s="163"/>
    </row>
    <row r="115" spans="1:14" x14ac:dyDescent="0.35">
      <c r="A115" t="str">
        <f t="shared" si="76"/>
        <v xml:space="preserve">    Shared, Reserve</v>
      </c>
      <c r="B115" s="1"/>
      <c r="C115" s="48" t="str">
        <f t="shared" ref="C115:L115" ca="1" si="83">IF(OR(C$28="",$A115=""),"",OFFSET(C$61,8*(ROW(B115)-ROW(B$110)),0))</f>
        <v/>
      </c>
      <c r="D115" s="48" t="str">
        <f t="shared" ca="1" si="83"/>
        <v/>
      </c>
      <c r="E115" s="48" t="str">
        <f t="shared" ca="1" si="83"/>
        <v/>
      </c>
      <c r="F115" s="48" t="str">
        <f t="shared" ca="1" si="83"/>
        <v/>
      </c>
      <c r="G115" s="48" t="str">
        <f t="shared" ca="1" si="83"/>
        <v/>
      </c>
      <c r="H115" s="48" t="str">
        <f t="shared" ca="1" si="83"/>
        <v/>
      </c>
      <c r="I115" s="48" t="str">
        <f t="shared" ca="1" si="83"/>
        <v/>
      </c>
      <c r="J115" s="48" t="str">
        <f t="shared" ca="1" si="83"/>
        <v/>
      </c>
      <c r="K115" s="48" t="str">
        <f t="shared" ca="1" si="83"/>
        <v/>
      </c>
      <c r="L115" s="149" t="str">
        <f t="shared" ca="1" si="83"/>
        <v/>
      </c>
      <c r="M115" s="150">
        <f t="shared" ca="1" si="79"/>
        <v>0</v>
      </c>
      <c r="N115" s="163"/>
    </row>
    <row r="116" spans="1:14" x14ac:dyDescent="0.35">
      <c r="A116" t="s">
        <v>93</v>
      </c>
      <c r="B116" s="1"/>
      <c r="C116" s="13" t="str">
        <f>IF(C$28&lt;&gt;"",SUM(C110:C115),"")</f>
        <v/>
      </c>
      <c r="D116" s="13" t="str">
        <f t="shared" ref="D116:L116" si="84">IF(D$28&lt;&gt;"",SUM(D110:D115),"")</f>
        <v/>
      </c>
      <c r="E116" s="13" t="str">
        <f t="shared" si="84"/>
        <v/>
      </c>
      <c r="F116" s="13" t="str">
        <f t="shared" si="84"/>
        <v/>
      </c>
      <c r="G116" s="13" t="str">
        <f t="shared" si="84"/>
        <v/>
      </c>
      <c r="H116" s="35" t="str">
        <f t="shared" si="84"/>
        <v/>
      </c>
      <c r="I116" s="35" t="str">
        <f t="shared" si="84"/>
        <v/>
      </c>
      <c r="J116" s="35" t="str">
        <f t="shared" si="84"/>
        <v/>
      </c>
      <c r="K116" s="35" t="str">
        <f t="shared" si="84"/>
        <v/>
      </c>
      <c r="L116" s="35" t="str">
        <f t="shared" si="84"/>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18" ca="1" si="85">IF(OR(C$28="",$A118=""),"",OFFSET(C$65,8*(ROW(B118)-ROW(B$118)),0))</f>
        <v/>
      </c>
      <c r="D118" s="48" t="str">
        <f t="shared" ca="1" si="85"/>
        <v/>
      </c>
      <c r="E118" s="48" t="str">
        <f t="shared" ca="1" si="85"/>
        <v/>
      </c>
      <c r="F118" s="48" t="str">
        <f t="shared" ca="1" si="85"/>
        <v/>
      </c>
      <c r="G118" s="48" t="str">
        <f t="shared" ca="1" si="85"/>
        <v/>
      </c>
      <c r="H118" s="48" t="str">
        <f t="shared" ca="1" si="85"/>
        <v/>
      </c>
      <c r="I118" s="48" t="str">
        <f t="shared" ca="1" si="85"/>
        <v/>
      </c>
      <c r="J118" s="48" t="str">
        <f t="shared" ca="1" si="85"/>
        <v/>
      </c>
      <c r="K118" s="48" t="str">
        <f t="shared" ca="1" si="85"/>
        <v/>
      </c>
      <c r="L118" s="48" t="str">
        <f t="shared" ca="1" si="85"/>
        <v/>
      </c>
      <c r="N118" s="159"/>
    </row>
    <row r="119" spans="1:14" x14ac:dyDescent="0.35">
      <c r="A119" t="str">
        <f>IF(A6="","","    "&amp;A6&amp;" - Release from Mead")</f>
        <v xml:space="preserve">    Lower Basin - Release from Mead</v>
      </c>
      <c r="C119" s="48" t="str">
        <f t="shared" ref="C119:L119" ca="1" si="86">IF(OR(C$28="",$A119=""),"",OFFSET(C$65,8*(ROW(B119)-ROW(B$118)),0))</f>
        <v/>
      </c>
      <c r="D119" s="48" t="str">
        <f t="shared" ca="1" si="86"/>
        <v/>
      </c>
      <c r="E119" s="48" t="str">
        <f t="shared" ca="1" si="86"/>
        <v/>
      </c>
      <c r="F119" s="48" t="str">
        <f t="shared" ca="1" si="86"/>
        <v/>
      </c>
      <c r="G119" s="48" t="str">
        <f t="shared" ca="1" si="86"/>
        <v/>
      </c>
      <c r="H119" s="48" t="str">
        <f t="shared" ca="1" si="86"/>
        <v/>
      </c>
      <c r="I119" s="48" t="str">
        <f t="shared" ca="1" si="86"/>
        <v/>
      </c>
      <c r="J119" s="48" t="str">
        <f t="shared" ca="1" si="86"/>
        <v/>
      </c>
      <c r="K119" s="48" t="str">
        <f t="shared" ca="1" si="86"/>
        <v/>
      </c>
      <c r="L119" s="48" t="str">
        <f t="shared" ca="1" si="86"/>
        <v/>
      </c>
      <c r="N119" s="159"/>
    </row>
    <row r="120" spans="1:14" x14ac:dyDescent="0.35">
      <c r="A120" t="str">
        <f>IF(A7="","","    "&amp;A7&amp;" - Release from Mead")</f>
        <v xml:space="preserve">    Mexico - Release from Mead</v>
      </c>
      <c r="C120" s="48" t="str">
        <f t="shared" ref="C120:L120" ca="1" si="87">IF(OR(C$28="",$A120=""),"",OFFSET(C$65,8*(ROW(B120)-ROW(B$118)),0))</f>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ref="C121:L121" ca="1" si="88">IF(OR(C$28="",$A121=""),"",OFFSET(C$65,8*(ROW(B121)-ROW(B$118)),0))</f>
        <v/>
      </c>
      <c r="D121" s="48" t="str">
        <f t="shared" ca="1" si="88"/>
        <v/>
      </c>
      <c r="E121" s="48" t="str">
        <f t="shared" ca="1" si="88"/>
        <v/>
      </c>
      <c r="F121" s="48" t="str">
        <f t="shared" ca="1" si="88"/>
        <v/>
      </c>
      <c r="G121" s="48" t="str">
        <f t="shared" ca="1" si="88"/>
        <v/>
      </c>
      <c r="H121" s="48" t="str">
        <f t="shared" ca="1" si="88"/>
        <v/>
      </c>
      <c r="I121" s="48" t="str">
        <f t="shared" ca="1" si="88"/>
        <v/>
      </c>
      <c r="J121" s="48" t="str">
        <f t="shared" ca="1" si="88"/>
        <v/>
      </c>
      <c r="K121" s="48" t="str">
        <f t="shared" ca="1" si="88"/>
        <v/>
      </c>
      <c r="L121" s="48" t="str">
        <f t="shared" ca="1" si="88"/>
        <v/>
      </c>
      <c r="N121" s="159"/>
    </row>
    <row r="122" spans="1:14" x14ac:dyDescent="0.35">
      <c r="A122" t="str">
        <f>IF(A9="","","    "&amp;A9&amp;" - Release from Mead")</f>
        <v xml:space="preserve">    First Nations - Release from Mead</v>
      </c>
      <c r="C122" s="48" t="str">
        <f t="shared" ref="C122:L122" ca="1" si="89">IF(OR(C$28="",$A122=""),"",OFFSET(C$65,8*(ROW(B122)-ROW(B$118)),0))</f>
        <v/>
      </c>
      <c r="D122" s="48" t="str">
        <f t="shared" ca="1" si="89"/>
        <v/>
      </c>
      <c r="E122" s="48" t="str">
        <f t="shared" ca="1" si="89"/>
        <v/>
      </c>
      <c r="F122" s="48" t="str">
        <f t="shared" ca="1" si="89"/>
        <v/>
      </c>
      <c r="G122" s="48" t="str">
        <f t="shared" ca="1" si="89"/>
        <v/>
      </c>
      <c r="H122" s="48" t="str">
        <f t="shared" ca="1" si="89"/>
        <v/>
      </c>
      <c r="I122" s="48" t="str">
        <f t="shared" ca="1" si="89"/>
        <v/>
      </c>
      <c r="J122" s="48" t="str">
        <f t="shared" ca="1" si="89"/>
        <v/>
      </c>
      <c r="K122" s="48" t="str">
        <f t="shared" ca="1" si="89"/>
        <v/>
      </c>
      <c r="L122" s="48" t="str">
        <f t="shared" ca="1" si="89"/>
        <v/>
      </c>
      <c r="N122" s="159"/>
    </row>
    <row r="123" spans="1:14" x14ac:dyDescent="0.35">
      <c r="A123" t="str">
        <f>IF(A10="","","    "&amp;A10&amp;" - Release from Mead")</f>
        <v xml:space="preserve">    Shared, Reserve - Release from Mead</v>
      </c>
      <c r="C123" s="48" t="str">
        <f t="shared" ref="C123:L123" ca="1" si="90">IF(OR(C$28="",$A123=""),"",OFFSET(C$65,8*(ROW(B123)-ROW(B$118)),0))</f>
        <v/>
      </c>
      <c r="D123" s="48" t="str">
        <f t="shared" ca="1" si="90"/>
        <v/>
      </c>
      <c r="E123" s="48" t="str">
        <f t="shared" ca="1" si="90"/>
        <v/>
      </c>
      <c r="F123" s="48" t="str">
        <f t="shared" ca="1" si="90"/>
        <v/>
      </c>
      <c r="G123" s="48" t="str">
        <f t="shared" ca="1" si="90"/>
        <v/>
      </c>
      <c r="H123" s="48" t="str">
        <f t="shared" ca="1" si="90"/>
        <v/>
      </c>
      <c r="I123" s="48" t="str">
        <f t="shared" ca="1" si="90"/>
        <v/>
      </c>
      <c r="J123" s="48" t="str">
        <f t="shared" ca="1" si="90"/>
        <v/>
      </c>
      <c r="K123" s="48" t="str">
        <f t="shared" ca="1" si="90"/>
        <v/>
      </c>
      <c r="L123" s="48" t="str">
        <f t="shared" ca="1" si="90"/>
        <v/>
      </c>
      <c r="N123" s="159"/>
    </row>
    <row r="124" spans="1:14" x14ac:dyDescent="0.35">
      <c r="A124" s="1" t="s">
        <v>90</v>
      </c>
      <c r="B124" s="1"/>
      <c r="D124" s="2"/>
      <c r="E124" s="2"/>
      <c r="F124" s="2"/>
      <c r="G124" s="2"/>
      <c r="H124" s="2"/>
      <c r="I124" s="2"/>
      <c r="J124" s="2"/>
      <c r="K124" s="2"/>
      <c r="L124" s="2"/>
      <c r="N124" s="159"/>
    </row>
    <row r="125" spans="1:14" x14ac:dyDescent="0.35">
      <c r="A125" t="str">
        <f t="shared" ref="A125:A130" si="91">IF(A5="","","    "&amp;A5)</f>
        <v xml:space="preserve">    Upper Basin</v>
      </c>
      <c r="C125" s="48" t="str">
        <f t="shared" ref="C125:L125" ca="1" si="92">IF(OR(C$28="",$A125=""),"",OFFSET(C$66,8*(ROW(B125)-ROW(B$125)),0))</f>
        <v/>
      </c>
      <c r="D125" s="48" t="str">
        <f t="shared" ca="1" si="92"/>
        <v/>
      </c>
      <c r="E125" s="48" t="str">
        <f t="shared" ca="1" si="92"/>
        <v/>
      </c>
      <c r="F125" s="48" t="str">
        <f t="shared" ca="1" si="92"/>
        <v/>
      </c>
      <c r="G125" s="48" t="str">
        <f t="shared" ca="1" si="92"/>
        <v/>
      </c>
      <c r="H125" s="48" t="str">
        <f t="shared" ca="1" si="92"/>
        <v/>
      </c>
      <c r="I125" s="48" t="str">
        <f t="shared" ca="1" si="92"/>
        <v/>
      </c>
      <c r="J125" s="48" t="str">
        <f t="shared" ca="1" si="92"/>
        <v/>
      </c>
      <c r="K125" s="48" t="str">
        <f t="shared" ca="1" si="92"/>
        <v/>
      </c>
      <c r="L125" s="48" t="str">
        <f t="shared" ca="1" si="92"/>
        <v/>
      </c>
      <c r="N125" s="159"/>
    </row>
    <row r="126" spans="1:14" x14ac:dyDescent="0.35">
      <c r="A126" t="str">
        <f t="shared" si="91"/>
        <v xml:space="preserve">    Lower Basin</v>
      </c>
      <c r="C126" s="48" t="str">
        <f t="shared" ref="C126:L126" ca="1" si="93">IF(OR(C$28="",$A126=""),"",OFFSET(C$66,8*(ROW(B126)-ROW(B$125)),0))</f>
        <v/>
      </c>
      <c r="D126" s="48" t="str">
        <f t="shared" ca="1" si="93"/>
        <v/>
      </c>
      <c r="E126" s="48" t="str">
        <f t="shared" ca="1" si="93"/>
        <v/>
      </c>
      <c r="F126" s="48" t="str">
        <f t="shared" ca="1" si="93"/>
        <v/>
      </c>
      <c r="G126" s="48" t="str">
        <f t="shared" ca="1" si="93"/>
        <v/>
      </c>
      <c r="H126" s="48" t="str">
        <f t="shared" ca="1" si="93"/>
        <v/>
      </c>
      <c r="I126" s="48" t="str">
        <f t="shared" ca="1" si="93"/>
        <v/>
      </c>
      <c r="J126" s="48" t="str">
        <f t="shared" ca="1" si="93"/>
        <v/>
      </c>
      <c r="K126" s="48" t="str">
        <f t="shared" ca="1" si="93"/>
        <v/>
      </c>
      <c r="L126" s="48" t="str">
        <f t="shared" ca="1" si="93"/>
        <v/>
      </c>
      <c r="N126" s="159"/>
    </row>
    <row r="127" spans="1:14" x14ac:dyDescent="0.35">
      <c r="A127" t="str">
        <f t="shared" si="91"/>
        <v xml:space="preserve">    Mexico</v>
      </c>
      <c r="C127" s="48" t="str">
        <f t="shared" ref="C127:L127" ca="1" si="94">IF(OR(C$28="",$A127=""),"",OFFSET(C$66,8*(ROW(B127)-ROW(B$125)),0))</f>
        <v/>
      </c>
      <c r="D127" s="48" t="str">
        <f t="shared" ca="1" si="94"/>
        <v/>
      </c>
      <c r="E127" s="48" t="str">
        <f t="shared" ca="1" si="94"/>
        <v/>
      </c>
      <c r="F127" s="48" t="str">
        <f t="shared" ca="1" si="94"/>
        <v/>
      </c>
      <c r="G127" s="48" t="str">
        <f t="shared" ca="1" si="94"/>
        <v/>
      </c>
      <c r="H127" s="48" t="str">
        <f t="shared" ca="1" si="94"/>
        <v/>
      </c>
      <c r="I127" s="48" t="str">
        <f t="shared" ca="1" si="94"/>
        <v/>
      </c>
      <c r="J127" s="48" t="str">
        <f t="shared" ca="1" si="94"/>
        <v/>
      </c>
      <c r="K127" s="48" t="str">
        <f t="shared" ca="1" si="94"/>
        <v/>
      </c>
      <c r="L127" s="48" t="str">
        <f t="shared" ca="1" si="94"/>
        <v/>
      </c>
      <c r="N127" s="159"/>
    </row>
    <row r="128" spans="1:14" x14ac:dyDescent="0.35">
      <c r="A128" t="str">
        <f t="shared" si="91"/>
        <v xml:space="preserve">    Colorado River Delta</v>
      </c>
      <c r="C128" s="48" t="str">
        <f t="shared" ref="C128:L128" ca="1" si="95">IF(OR(C$28="",$A128=""),"",OFFSET(C$66,8*(ROW(B128)-ROW(B$125)),0))</f>
        <v/>
      </c>
      <c r="D128" s="48" t="str">
        <f t="shared" ca="1" si="95"/>
        <v/>
      </c>
      <c r="E128" s="48" t="str">
        <f t="shared" ca="1" si="95"/>
        <v/>
      </c>
      <c r="F128" s="48" t="str">
        <f t="shared" ca="1" si="95"/>
        <v/>
      </c>
      <c r="G128" s="48" t="str">
        <f t="shared" ca="1" si="95"/>
        <v/>
      </c>
      <c r="H128" s="48" t="str">
        <f t="shared" ca="1" si="95"/>
        <v/>
      </c>
      <c r="I128" s="48" t="str">
        <f t="shared" ca="1" si="95"/>
        <v/>
      </c>
      <c r="J128" s="48" t="str">
        <f t="shared" ca="1" si="95"/>
        <v/>
      </c>
      <c r="K128" s="48" t="str">
        <f t="shared" ca="1" si="95"/>
        <v/>
      </c>
      <c r="L128" s="48" t="str">
        <f t="shared" ca="1" si="95"/>
        <v/>
      </c>
      <c r="N128" s="159"/>
    </row>
    <row r="129" spans="1:14" x14ac:dyDescent="0.35">
      <c r="A129" t="str">
        <f t="shared" si="91"/>
        <v xml:space="preserve">    First Nations</v>
      </c>
      <c r="C129" s="48" t="str">
        <f t="shared" ref="C129:L129" ca="1" si="96">IF(OR(C$28="",$A129=""),"",OFFSET(C$66,8*(ROW(B129)-ROW(B$125)),0))</f>
        <v/>
      </c>
      <c r="D129" s="48" t="str">
        <f t="shared" ca="1" si="96"/>
        <v/>
      </c>
      <c r="E129" s="48" t="str">
        <f t="shared" ca="1" si="96"/>
        <v/>
      </c>
      <c r="F129" s="48" t="str">
        <f t="shared" ca="1" si="96"/>
        <v/>
      </c>
      <c r="G129" s="48" t="str">
        <f t="shared" ca="1" si="96"/>
        <v/>
      </c>
      <c r="H129" s="48" t="str">
        <f t="shared" ca="1" si="96"/>
        <v/>
      </c>
      <c r="I129" s="48" t="str">
        <f t="shared" ca="1" si="96"/>
        <v/>
      </c>
      <c r="J129" s="48" t="str">
        <f t="shared" ca="1" si="96"/>
        <v/>
      </c>
      <c r="K129" s="48" t="str">
        <f t="shared" ca="1" si="96"/>
        <v/>
      </c>
      <c r="L129" s="48" t="str">
        <f t="shared" ca="1" si="96"/>
        <v/>
      </c>
      <c r="N129" s="159"/>
    </row>
    <row r="130" spans="1:14" x14ac:dyDescent="0.35">
      <c r="A130" t="str">
        <f t="shared" si="91"/>
        <v xml:space="preserve">    Shared, Reserve</v>
      </c>
      <c r="C130" s="48" t="str">
        <f t="shared" ref="C130:L130" ca="1" si="97">IF(OR(C$28="",$A130=""),"",OFFSET(C$66,8*(ROW(B130)-ROW(B$125)),0))</f>
        <v/>
      </c>
      <c r="D130" s="48" t="str">
        <f t="shared" ca="1" si="97"/>
        <v/>
      </c>
      <c r="E130" s="48" t="str">
        <f t="shared" ca="1" si="97"/>
        <v/>
      </c>
      <c r="F130" s="48" t="str">
        <f t="shared" ca="1" si="97"/>
        <v/>
      </c>
      <c r="G130" s="48" t="str">
        <f t="shared" ca="1" si="97"/>
        <v/>
      </c>
      <c r="H130" s="48" t="str">
        <f t="shared" ca="1" si="97"/>
        <v/>
      </c>
      <c r="I130" s="48" t="str">
        <f t="shared" ca="1" si="97"/>
        <v/>
      </c>
      <c r="J130" s="48" t="str">
        <f t="shared" ca="1" si="97"/>
        <v/>
      </c>
      <c r="K130" s="48" t="str">
        <f t="shared" ca="1" si="97"/>
        <v/>
      </c>
      <c r="L130" s="48" t="str">
        <f t="shared" ca="1" si="97"/>
        <v/>
      </c>
      <c r="N130" s="159"/>
    </row>
    <row r="131" spans="1:14" x14ac:dyDescent="0.35">
      <c r="A131" s="1" t="s">
        <v>220</v>
      </c>
      <c r="B131" s="1"/>
      <c r="C131" s="13" t="str">
        <f>IF(C$28&lt;&gt;"",SUM(C125:C130),"")</f>
        <v/>
      </c>
      <c r="D131" s="13" t="str">
        <f t="shared" ref="D131:L131" si="98">IF(D$28&lt;&gt;"",SUM(D125:D130),"")</f>
        <v/>
      </c>
      <c r="E131" s="13" t="str">
        <f t="shared" si="98"/>
        <v/>
      </c>
      <c r="F131" s="13" t="str">
        <f t="shared" si="98"/>
        <v/>
      </c>
      <c r="G131" s="13" t="str">
        <f t="shared" si="98"/>
        <v/>
      </c>
      <c r="H131" s="13" t="str">
        <f t="shared" si="98"/>
        <v/>
      </c>
      <c r="I131" s="13" t="str">
        <f t="shared" si="98"/>
        <v/>
      </c>
      <c r="J131" s="13" t="str">
        <f t="shared" si="98"/>
        <v/>
      </c>
      <c r="K131" s="13" t="str">
        <f t="shared" si="98"/>
        <v/>
      </c>
      <c r="L131" s="13" t="str">
        <f t="shared" si="98"/>
        <v/>
      </c>
      <c r="N131" s="158" t="s">
        <v>285</v>
      </c>
    </row>
    <row r="132" spans="1:14" ht="29.5" customHeight="1" x14ac:dyDescent="0.35">
      <c r="A132" s="260" t="s">
        <v>258</v>
      </c>
      <c r="B132" s="261"/>
      <c r="C132" s="140">
        <v>0.5</v>
      </c>
      <c r="D132" s="140">
        <v>0.5</v>
      </c>
      <c r="E132" s="140"/>
      <c r="F132" s="140"/>
      <c r="G132" s="140"/>
      <c r="H132" s="140"/>
      <c r="I132" s="140"/>
      <c r="J132" s="140"/>
      <c r="K132" s="140"/>
      <c r="L132" s="140"/>
      <c r="N132" s="155" t="s">
        <v>286</v>
      </c>
    </row>
    <row r="133" spans="1:14" x14ac:dyDescent="0.35">
      <c r="A133" s="1" t="s">
        <v>228</v>
      </c>
      <c r="B133" s="1"/>
      <c r="C133" s="13" t="str">
        <f>IF(C28="","",C$132*C$131)</f>
        <v/>
      </c>
      <c r="D133" s="13" t="str">
        <f t="shared" ref="D133:L133" si="99">IF(D28="","",D$132*D$131)</f>
        <v/>
      </c>
      <c r="E133" s="13" t="str">
        <f t="shared" si="99"/>
        <v/>
      </c>
      <c r="F133" s="13" t="str">
        <f t="shared" si="99"/>
        <v/>
      </c>
      <c r="G133" s="13" t="str">
        <f t="shared" si="99"/>
        <v/>
      </c>
      <c r="H133" s="13" t="str">
        <f t="shared" si="99"/>
        <v/>
      </c>
      <c r="I133" s="13" t="str">
        <f t="shared" si="99"/>
        <v/>
      </c>
      <c r="J133" s="13" t="str">
        <f t="shared" si="99"/>
        <v/>
      </c>
      <c r="K133" s="13" t="str">
        <f t="shared" si="99"/>
        <v/>
      </c>
      <c r="L133" s="13" t="str">
        <f t="shared" si="99"/>
        <v/>
      </c>
      <c r="N133" s="158" t="s">
        <v>297</v>
      </c>
    </row>
    <row r="134" spans="1:14" x14ac:dyDescent="0.35">
      <c r="A134" s="1" t="s">
        <v>229</v>
      </c>
      <c r="B134" s="1"/>
      <c r="C134" s="13" t="str">
        <f>IF(C29="","",(1-C$132)*C$131)</f>
        <v/>
      </c>
      <c r="D134" s="13" t="str">
        <f t="shared" ref="D134:L134" si="100">IF(D29="","",(1-D$132)*D$131)</f>
        <v/>
      </c>
      <c r="E134" s="13" t="str">
        <f t="shared" si="100"/>
        <v/>
      </c>
      <c r="F134" s="13" t="str">
        <f t="shared" si="100"/>
        <v/>
      </c>
      <c r="G134" s="13" t="str">
        <f t="shared" si="100"/>
        <v/>
      </c>
      <c r="H134" s="13" t="str">
        <f t="shared" si="100"/>
        <v/>
      </c>
      <c r="I134" s="13" t="str">
        <f t="shared" si="100"/>
        <v/>
      </c>
      <c r="J134" s="13" t="str">
        <f t="shared" si="100"/>
        <v/>
      </c>
      <c r="K134" s="13" t="str">
        <f t="shared" si="100"/>
        <v/>
      </c>
      <c r="L134" s="13" t="str">
        <f t="shared" si="100"/>
        <v/>
      </c>
      <c r="N134" s="158" t="s">
        <v>297</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4" x14ac:dyDescent="0.35">
      <c r="A137" s="1" t="s">
        <v>230</v>
      </c>
      <c r="B137" s="1"/>
      <c r="N137" s="178" t="s">
        <v>287</v>
      </c>
    </row>
    <row r="138" spans="1:14"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4"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4"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row>
    <row r="142" spans="1:14" x14ac:dyDescent="0.35">
      <c r="A142" s="151" t="s">
        <v>259</v>
      </c>
      <c r="C142" s="19"/>
      <c r="N142" s="158" t="s">
        <v>292</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99" priority="85" operator="greaterThan">
      <formula>$H$64</formula>
    </cfRule>
  </conditionalFormatting>
  <conditionalFormatting sqref="I65">
    <cfRule type="cellIs" dxfId="98" priority="84" operator="greaterThan">
      <formula>$I$64</formula>
    </cfRule>
  </conditionalFormatting>
  <conditionalFormatting sqref="J65">
    <cfRule type="cellIs" dxfId="97" priority="83" operator="greaterThan">
      <formula>$J$64</formula>
    </cfRule>
  </conditionalFormatting>
  <conditionalFormatting sqref="K65">
    <cfRule type="cellIs" dxfId="96" priority="82" operator="greaterThan">
      <formula>$K$64</formula>
    </cfRule>
  </conditionalFormatting>
  <conditionalFormatting sqref="L65">
    <cfRule type="cellIs" dxfId="95" priority="81" operator="greaterThan">
      <formula>$L$64</formula>
    </cfRule>
  </conditionalFormatting>
  <conditionalFormatting sqref="H73">
    <cfRule type="cellIs" dxfId="94" priority="68" operator="greaterThan">
      <formula>$H$72</formula>
    </cfRule>
  </conditionalFormatting>
  <conditionalFormatting sqref="I73">
    <cfRule type="cellIs" dxfId="93" priority="67" operator="greaterThan">
      <formula>$I$72</formula>
    </cfRule>
  </conditionalFormatting>
  <conditionalFormatting sqref="J73">
    <cfRule type="cellIs" dxfId="92" priority="66" operator="greaterThan">
      <formula>$J$72</formula>
    </cfRule>
  </conditionalFormatting>
  <conditionalFormatting sqref="K73">
    <cfRule type="cellIs" dxfId="91" priority="65" operator="greaterThan">
      <formula>$K$72</formula>
    </cfRule>
  </conditionalFormatting>
  <conditionalFormatting sqref="L73">
    <cfRule type="cellIs" dxfId="90" priority="64" operator="greaterThan">
      <formula>$L$72</formula>
    </cfRule>
  </conditionalFormatting>
  <conditionalFormatting sqref="H81">
    <cfRule type="cellIs" dxfId="89" priority="58" operator="greaterThan">
      <formula>$H$80</formula>
    </cfRule>
  </conditionalFormatting>
  <conditionalFormatting sqref="I81">
    <cfRule type="cellIs" dxfId="88" priority="57" operator="greaterThan">
      <formula>$I$80</formula>
    </cfRule>
  </conditionalFormatting>
  <conditionalFormatting sqref="J81">
    <cfRule type="cellIs" dxfId="87" priority="56" operator="greaterThan">
      <formula>$J$80</formula>
    </cfRule>
  </conditionalFormatting>
  <conditionalFormatting sqref="K81">
    <cfRule type="cellIs" dxfId="86" priority="55" operator="greaterThan">
      <formula>$K$80</formula>
    </cfRule>
  </conditionalFormatting>
  <conditionalFormatting sqref="L81">
    <cfRule type="cellIs" dxfId="85" priority="54" operator="greaterThan">
      <formula>$L$80</formula>
    </cfRule>
  </conditionalFormatting>
  <conditionalFormatting sqref="C89:L89">
    <cfRule type="cellIs" dxfId="84" priority="53" operator="greaterThan">
      <formula>$C$88</formula>
    </cfRule>
  </conditionalFormatting>
  <conditionalFormatting sqref="C97">
    <cfRule type="cellIs" dxfId="83" priority="52" operator="greaterThan">
      <formula>$C$96</formula>
    </cfRule>
  </conditionalFormatting>
  <conditionalFormatting sqref="D97">
    <cfRule type="cellIs" dxfId="82" priority="51" operator="greaterThan">
      <formula>$D$96</formula>
    </cfRule>
  </conditionalFormatting>
  <conditionalFormatting sqref="E97">
    <cfRule type="cellIs" dxfId="81" priority="50" operator="greaterThan">
      <formula>$E$96</formula>
    </cfRule>
  </conditionalFormatting>
  <conditionalFormatting sqref="F97">
    <cfRule type="cellIs" dxfId="80" priority="49" operator="greaterThan">
      <formula>$F$96</formula>
    </cfRule>
  </conditionalFormatting>
  <conditionalFormatting sqref="G97">
    <cfRule type="cellIs" dxfId="79" priority="48" operator="greaterThan">
      <formula>$G$96</formula>
    </cfRule>
  </conditionalFormatting>
  <conditionalFormatting sqref="H97">
    <cfRule type="cellIs" dxfId="78" priority="47" operator="greaterThan">
      <formula>$H$96</formula>
    </cfRule>
  </conditionalFormatting>
  <conditionalFormatting sqref="I97">
    <cfRule type="cellIs" dxfId="77" priority="46" operator="greaterThan">
      <formula>$I$96</formula>
    </cfRule>
  </conditionalFormatting>
  <conditionalFormatting sqref="J97">
    <cfRule type="cellIs" dxfId="76" priority="45" operator="greaterThan">
      <formula>$J$96</formula>
    </cfRule>
  </conditionalFormatting>
  <conditionalFormatting sqref="K97">
    <cfRule type="cellIs" dxfId="75" priority="44" operator="greaterThan">
      <formula>$K$96</formula>
    </cfRule>
  </conditionalFormatting>
  <conditionalFormatting sqref="L97">
    <cfRule type="cellIs" dxfId="74" priority="43" operator="greaterThan">
      <formula>$L$96</formula>
    </cfRule>
  </conditionalFormatting>
  <conditionalFormatting sqref="C105">
    <cfRule type="cellIs" dxfId="73" priority="42" operator="greaterThan">
      <formula>$C$104</formula>
    </cfRule>
  </conditionalFormatting>
  <conditionalFormatting sqref="D105">
    <cfRule type="cellIs" dxfId="72" priority="41" operator="greaterThan">
      <formula>$D$104</formula>
    </cfRule>
  </conditionalFormatting>
  <conditionalFormatting sqref="E105">
    <cfRule type="cellIs" dxfId="71" priority="40" operator="greaterThan">
      <formula>$E$104</formula>
    </cfRule>
  </conditionalFormatting>
  <conditionalFormatting sqref="F105">
    <cfRule type="cellIs" dxfId="70" priority="39" operator="greaterThan">
      <formula>$F$104</formula>
    </cfRule>
  </conditionalFormatting>
  <conditionalFormatting sqref="G105">
    <cfRule type="cellIs" dxfId="69" priority="38" operator="greaterThan">
      <formula>$G$104</formula>
    </cfRule>
  </conditionalFormatting>
  <conditionalFormatting sqref="H105">
    <cfRule type="cellIs" dxfId="68" priority="37" operator="greaterThan">
      <formula>$H$104</formula>
    </cfRule>
  </conditionalFormatting>
  <conditionalFormatting sqref="I105">
    <cfRule type="cellIs" dxfId="67" priority="36" operator="greaterThan">
      <formula>$I$104</formula>
    </cfRule>
  </conditionalFormatting>
  <conditionalFormatting sqref="J105">
    <cfRule type="cellIs" dxfId="66" priority="35" operator="greaterThan">
      <formula>$J$104</formula>
    </cfRule>
  </conditionalFormatting>
  <conditionalFormatting sqref="K105">
    <cfRule type="cellIs" dxfId="65" priority="34" operator="greaterThan">
      <formula>$K$104</formula>
    </cfRule>
  </conditionalFormatting>
  <conditionalFormatting sqref="L105">
    <cfRule type="cellIs" dxfId="64" priority="33" operator="greaterThan">
      <formula>$L$104</formula>
    </cfRule>
  </conditionalFormatting>
  <conditionalFormatting sqref="D65">
    <cfRule type="cellIs" dxfId="63" priority="20" operator="greaterThan">
      <formula>$D$64</formula>
    </cfRule>
  </conditionalFormatting>
  <conditionalFormatting sqref="C65">
    <cfRule type="cellIs" dxfId="62" priority="18" operator="greaterThan">
      <formula>$C$64</formula>
    </cfRule>
  </conditionalFormatting>
  <conditionalFormatting sqref="E65">
    <cfRule type="cellIs" dxfId="61" priority="16" operator="greaterThan">
      <formula>$E$64</formula>
    </cfRule>
  </conditionalFormatting>
  <conditionalFormatting sqref="F65">
    <cfRule type="cellIs" dxfId="60" priority="15" operator="greaterThan">
      <formula>$F$64</formula>
    </cfRule>
  </conditionalFormatting>
  <conditionalFormatting sqref="G65">
    <cfRule type="cellIs" dxfId="59" priority="14" operator="greaterThan">
      <formula>$G$64</formula>
    </cfRule>
  </conditionalFormatting>
  <conditionalFormatting sqref="C73">
    <cfRule type="cellIs" dxfId="58" priority="10" operator="greaterThan">
      <formula>$C$72</formula>
    </cfRule>
  </conditionalFormatting>
  <conditionalFormatting sqref="D73">
    <cfRule type="cellIs" dxfId="57" priority="9" operator="greaterThan">
      <formula>$D$72</formula>
    </cfRule>
  </conditionalFormatting>
  <conditionalFormatting sqref="E73">
    <cfRule type="cellIs" dxfId="56" priority="8" operator="greaterThan">
      <formula>$E$72</formula>
    </cfRule>
  </conditionalFormatting>
  <conditionalFormatting sqref="F73">
    <cfRule type="cellIs" dxfId="55" priority="7" operator="greaterThan">
      <formula>$F$72</formula>
    </cfRule>
  </conditionalFormatting>
  <conditionalFormatting sqref="G73">
    <cfRule type="cellIs" dxfId="54" priority="6" operator="greaterThan">
      <formula>$G$72</formula>
    </cfRule>
  </conditionalFormatting>
  <conditionalFormatting sqref="C81">
    <cfRule type="cellIs" dxfId="53" priority="5" operator="greaterThan">
      <formula>$C$80</formula>
    </cfRule>
  </conditionalFormatting>
  <conditionalFormatting sqref="D81">
    <cfRule type="cellIs" dxfId="52" priority="4" operator="greaterThan">
      <formula>$D$80</formula>
    </cfRule>
  </conditionalFormatting>
  <conditionalFormatting sqref="E81">
    <cfRule type="cellIs" dxfId="51" priority="3" operator="greaterThan">
      <formula>$E$80</formula>
    </cfRule>
  </conditionalFormatting>
  <conditionalFormatting sqref="F81">
    <cfRule type="cellIs" dxfId="50" priority="2" operator="greaterThan">
      <formula>$F$80</formula>
    </cfRule>
  </conditionalFormatting>
  <conditionalFormatting sqref="G81">
    <cfRule type="cellIs" dxfId="49" priority="1" operator="greaterThan">
      <formula>$G$80</formula>
    </cfRule>
  </conditionalFormatting>
  <hyperlinks>
    <hyperlink ref="N4" r:id="rId1" location="step-1-assign-accounts-and-decide-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account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accounts" xr:uid="{63C31A0C-C046-4C6B-B63E-AA3031EC5E49}"/>
    <hyperlink ref="N60" r:id="rId20" location="step-5-participant-dashboards--conserve-consume-and-trade" xr:uid="{E1DA626C-61A5-4CB7-94B9-52C34A1556D5}"/>
    <hyperlink ref="N62" r:id="rId21" location="ii-compensation" xr:uid="{19918E71-71AD-4C9C-BB3F-A5AF3D55F1D7}"/>
    <hyperlink ref="N63" r:id="rId22" location="iii-net-trade-volume-all-participants" xr:uid="{3E7AF6CA-1278-4129-B9E4-725FD18D820D}"/>
    <hyperlink ref="N64" r:id="rId23" location="iv-available-water" xr:uid="{4566CC8F-1D0F-43BA-BAD8-C66179151606}"/>
    <hyperlink ref="N65" r:id="rId24" location="v-enter-withdraw-within-available-water" display="Help withdraw" xr:uid="{FA435611-F017-4A4C-84C0-3BC240C90BC3}"/>
    <hyperlink ref="N66" r:id="rId25" location="vi-end-of-year-balance" xr:uid="{43A45EF2-1AE7-497D-9090-A6710371091B}"/>
    <hyperlink ref="N100" r:id="rId26" location="5a-shared-reserve-dashboard" display="Help shared, reserve" xr:uid="{93564FFE-2F11-4E1B-8E30-F04D091042B0}"/>
    <hyperlink ref="N108" r:id="rId27" location="step-6-summary-of-participant-actions" xr:uid="{39E9E91B-EE9B-4603-9A19-992E43688C4C}"/>
    <hyperlink ref="N131" r:id="rId28" location="6a-combined-storage--end-of-year" xr:uid="{18709FDC-6FB8-4FF1-82C7-3E0140C4C207}"/>
    <hyperlink ref="N132" r:id="rId29" location="step-7-assign-combined-storage-to-powell-and-mead" xr:uid="{1164B6D2-F3C8-48D1-8657-5BD58376EED3}"/>
    <hyperlink ref="N133" r:id="rId30" location="i-powell-and-mead-storage-volumes-and-levels" display="Help Powell and Mead storage and elevations" xr:uid="{4636EBE2-023F-463E-9564-041FE5D1FB21}"/>
    <hyperlink ref="N137" r:id="rId31" location="i-preserve-status-quo-for-endangered-native-fish-of-the-grand-canyon" xr:uid="{5A416EE1-639F-4706-BDF3-96F9482C4BC5}"/>
    <hyperlink ref="N138" r:id="rId32" location="ii-lake-powell-release-to-achieve-powell-and-mead-storage-volumes" xr:uid="{482E502E-E60E-4E4B-A4B2-1E010E299F6C}"/>
    <hyperlink ref="N139" r:id="rId33" location="iii-turbine-release-water-temperature" xr:uid="{897F93B4-0984-4DB9-BB8E-3B21D59DF5A6}"/>
    <hyperlink ref="N140" r:id="rId34" location="iv-suitability-for-native-endangered-fish-of-the-grand-canyon" xr:uid="{FDE7C974-7C24-48F6-95FB-E499A8975C43}"/>
    <hyperlink ref="N141" r:id="rId35" location="v-suitability-for-tailwater-trout" xr:uid="{8B78A0E8-F6F5-43CC-A282-5E047FD31D73}"/>
    <hyperlink ref="N142" r:id="rId36" location="step-8-move-to-next-year" xr:uid="{0D1EBCA9-BE7F-441F-A17C-5330CFCE7596}"/>
    <hyperlink ref="N134:N136" r:id="rId37" location="i-powell-and-mead-storage-volumes-and-levels" display="Help Powell and Mead storage and elevations" xr:uid="{ACE27804-9D71-4CD5-9E0E-7E93A66F9F16}"/>
    <hyperlink ref="N76" r:id="rId38" location="step-5-player-dashboards--conserve-consume-and-trade" xr:uid="{115088D1-B3CF-4D72-A6D6-92770E18F116}"/>
    <hyperlink ref="N77" r:id="rId39" location="i-buy-or-sell-water-from-other-players" xr:uid="{D5A878F8-1AB0-4367-BFA6-4F25001F73AD}"/>
    <hyperlink ref="N78" r:id="rId40" location="ii-compensation" xr:uid="{74477D73-291E-4A7F-86F2-C21A0DF60CEA}"/>
    <hyperlink ref="N80" r:id="rId41" location="iv-available-water" xr:uid="{096A8B03-D32B-4628-BC3E-B3E64954FA42}"/>
    <hyperlink ref="N81" r:id="rId42" location="v-enter-withdraw-within-available-water" display="Help withdraw" xr:uid="{4ED17C45-EBF9-4C45-9229-5218A5ECD61F}"/>
    <hyperlink ref="N82" r:id="rId43" location="vi-end-of-year-balance" xr:uid="{C6E40832-042B-43D8-90B9-CD82703389C7}"/>
    <hyperlink ref="N25" r:id="rId44" location="upper-basin-pre-1922-water-rights" xr:uid="{25504FB1-E197-4C3D-945D-5BDD83C2C59E}"/>
    <hyperlink ref="N61" r:id="rId45" location="i-buy-or-sell-water-from-other-participantss" xr:uid="{D2AC05B4-FD61-425B-9046-D87C8AAAAEA0}"/>
    <hyperlink ref="N68" r:id="rId46" location="step-5-participant-dashboards--conserve-consume-and-trade" xr:uid="{D67E6EF8-391E-4D21-9E33-260AECB2DB20}"/>
    <hyperlink ref="N70" r:id="rId47" location="ii-compensation" xr:uid="{5D3E22F6-98D1-4F8D-AC9B-79BC60BD9D4C}"/>
    <hyperlink ref="N71" r:id="rId48" location="iii-net-trade-volume-all-participants" xr:uid="{E4C097D5-D12A-4D05-9CB5-F12180A8841F}"/>
    <hyperlink ref="N72" r:id="rId49" location="iv-available-water" xr:uid="{92A2BD5E-9234-4CDA-B631-2F26F1EDA2F6}"/>
    <hyperlink ref="N73" r:id="rId50" location="v-enter-withdraw-within-available-water" display="Help withdraw" xr:uid="{D566555A-5FE4-4D77-A91F-AB8CA37C5882}"/>
    <hyperlink ref="N74" r:id="rId51" location="vi-end-of-year-balance" xr:uid="{43994CDC-2740-40CF-8975-5A1D654DE92E}"/>
    <hyperlink ref="N69" r:id="rId52" location="i-buy-or-sell-water-from-other-participantss" xr:uid="{99CA01B4-F83D-4392-BFD6-E3696F3B060F}"/>
    <hyperlink ref="N79" r:id="rId53" location="iii-net-trade-volume-all-participants" xr:uid="{35106ED0-ED39-4B94-A4D9-B79EFE11A2E6}"/>
    <hyperlink ref="N84" r:id="rId54" location="step-5-player-dashboards--conserve-consume-and-trade" xr:uid="{AEF1AABF-406E-492C-A9C6-6D4F230E19E9}"/>
    <hyperlink ref="N85" r:id="rId55" location="i-buy-or-sell-water-from-other-players" xr:uid="{A414CAB3-AC71-40F2-BCEE-3B4BD79CCEC2}"/>
    <hyperlink ref="N86" r:id="rId56" location="ii-compensation" xr:uid="{8233903D-3600-4882-9905-8BB60669B1D3}"/>
    <hyperlink ref="N88" r:id="rId57" location="iv-available-water" xr:uid="{BD162207-CEDD-4927-ACFE-B798DB92B590}"/>
    <hyperlink ref="N89" r:id="rId58" location="v-enter-withdraw-within-available-water" display="Help withdraw" xr:uid="{80D88F54-62DF-498A-A03F-9FC4097F6B84}"/>
    <hyperlink ref="N90" r:id="rId59" location="vi-end-of-year-balance" xr:uid="{3C22C7BF-428B-4FE8-9C2E-F555E1D2FB9F}"/>
    <hyperlink ref="N87" r:id="rId60" location="iii-net-trade-volume-all-participants" xr:uid="{4F49F47E-D9E6-4681-A7EF-3B21819F5A2A}"/>
    <hyperlink ref="N92" r:id="rId61" location="step-5-player-dashboards--conserve-consume-and-trade" xr:uid="{0EF1BC22-639A-4CAC-8C5C-1003B2A67B6B}"/>
    <hyperlink ref="N93" r:id="rId62" location="i-buy-or-sell-water-from-other-players" xr:uid="{7B556B5C-2F11-4498-8C4A-C03479306858}"/>
    <hyperlink ref="N94" r:id="rId63" location="ii-compensation" xr:uid="{9ABDDEAE-D66A-426B-9D45-11CC8D3256D9}"/>
    <hyperlink ref="N96" r:id="rId64" location="iv-available-water" xr:uid="{7C9A8246-47D9-49E9-B1F6-3C1231D8F415}"/>
    <hyperlink ref="N97" r:id="rId65" location="v-enter-withdraw-within-available-water" display="Help withdraw" xr:uid="{3ACF8917-D3A9-467E-B1B3-4EFD5F90425B}"/>
    <hyperlink ref="N98" r:id="rId66" location="vi-end-of-year-balance" xr:uid="{64582986-19BE-4DA6-A576-9ED7048A63F6}"/>
    <hyperlink ref="N95" r:id="rId67" location="iii-net-trade-volume-all-participants" xr:uid="{00DE0E22-6C57-4CFB-AC1B-701E93DC729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zoomScale="150" zoomScaleNormal="150" workbookViewId="0">
      <selection activeCell="A5" sqref="A5"/>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7" customWidth="1"/>
    <col min="15" max="15" width="27.453125"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233</v>
      </c>
      <c r="B2" s="1"/>
    </row>
    <row r="3" spans="1:14" ht="32.15" customHeight="1" x14ac:dyDescent="0.35">
      <c r="A3" s="263" t="s">
        <v>388</v>
      </c>
      <c r="B3" s="263"/>
      <c r="C3" s="263"/>
      <c r="D3" s="263"/>
      <c r="E3" s="263"/>
      <c r="F3" s="263"/>
      <c r="G3" s="263"/>
      <c r="H3" s="180"/>
      <c r="I3" s="180"/>
      <c r="J3" s="180"/>
      <c r="K3" s="180"/>
      <c r="N3" s="153" t="s">
        <v>296</v>
      </c>
    </row>
    <row r="4" spans="1:14" x14ac:dyDescent="0.35">
      <c r="A4" s="141" t="s">
        <v>409</v>
      </c>
      <c r="B4" s="141" t="s">
        <v>31</v>
      </c>
      <c r="C4" s="264" t="s">
        <v>32</v>
      </c>
      <c r="D4" s="265"/>
      <c r="E4" s="265"/>
      <c r="F4" s="265"/>
      <c r="G4" s="266"/>
      <c r="N4" s="155" t="s">
        <v>260</v>
      </c>
    </row>
    <row r="5" spans="1:14" x14ac:dyDescent="0.35">
      <c r="A5" s="179" t="str">
        <f>IF(Master!A5="","",Master!A5)</f>
        <v>Upper Basin</v>
      </c>
      <c r="B5" s="181" t="s">
        <v>331</v>
      </c>
      <c r="C5" s="267" t="s">
        <v>332</v>
      </c>
      <c r="D5" s="262"/>
      <c r="E5" s="262"/>
      <c r="F5" s="262"/>
      <c r="G5" s="262"/>
      <c r="N5" s="159"/>
    </row>
    <row r="6" spans="1:14" x14ac:dyDescent="0.35">
      <c r="A6" s="179" t="str">
        <f>IF(Master!A6="","",Master!A6)</f>
        <v>Lower Basin</v>
      </c>
      <c r="B6" s="181" t="s">
        <v>331</v>
      </c>
      <c r="C6" s="267" t="s">
        <v>332</v>
      </c>
      <c r="D6" s="262"/>
      <c r="E6" s="262"/>
      <c r="F6" s="262"/>
      <c r="G6" s="262"/>
      <c r="N6" s="159"/>
    </row>
    <row r="7" spans="1:14" x14ac:dyDescent="0.35">
      <c r="A7" s="179" t="str">
        <f>IF(Master!A7="","",Master!A7)</f>
        <v>Mexico</v>
      </c>
      <c r="B7" s="181" t="s">
        <v>331</v>
      </c>
      <c r="C7" s="267" t="s">
        <v>332</v>
      </c>
      <c r="D7" s="262"/>
      <c r="E7" s="262"/>
      <c r="F7" s="262"/>
      <c r="G7" s="262"/>
      <c r="N7" s="159"/>
    </row>
    <row r="8" spans="1:14" x14ac:dyDescent="0.35">
      <c r="A8" s="179" t="str">
        <f>IF(Master!A8="","",Master!A8)</f>
        <v>Colorado River Delta</v>
      </c>
      <c r="B8" s="181" t="s">
        <v>331</v>
      </c>
      <c r="C8" s="267" t="s">
        <v>332</v>
      </c>
      <c r="D8" s="262"/>
      <c r="E8" s="262"/>
      <c r="F8" s="262"/>
      <c r="G8" s="262"/>
      <c r="N8" s="159"/>
    </row>
    <row r="9" spans="1:14" x14ac:dyDescent="0.35">
      <c r="A9" s="179"/>
      <c r="B9" s="181" t="str">
        <f>IF($A9&lt;&gt;"",B8,"")</f>
        <v/>
      </c>
      <c r="C9" s="276" t="s">
        <v>340</v>
      </c>
      <c r="D9" s="277"/>
      <c r="E9" s="277"/>
      <c r="F9" s="277"/>
      <c r="G9" s="278"/>
      <c r="N9" s="159"/>
    </row>
    <row r="10" spans="1:14" x14ac:dyDescent="0.35">
      <c r="A10" s="182" t="s">
        <v>97</v>
      </c>
      <c r="B10" s="182"/>
      <c r="C10" s="269" t="s">
        <v>333</v>
      </c>
      <c r="D10" s="269"/>
      <c r="E10" s="269"/>
      <c r="F10" s="269"/>
      <c r="G10" s="269"/>
      <c r="N10" s="159"/>
    </row>
    <row r="11" spans="1:14" x14ac:dyDescent="0.35">
      <c r="A11" s="14"/>
      <c r="B11" s="2"/>
      <c r="C11"/>
      <c r="N11" s="159"/>
    </row>
    <row r="12" spans="1:14" x14ac:dyDescent="0.35">
      <c r="A12" s="16" t="s">
        <v>236</v>
      </c>
      <c r="B12" s="270" t="s">
        <v>238</v>
      </c>
      <c r="C12" s="271"/>
      <c r="D12" s="272"/>
      <c r="N12" s="178" t="s">
        <v>261</v>
      </c>
    </row>
    <row r="13" spans="1:14" x14ac:dyDescent="0.35">
      <c r="B13" s="273" t="s">
        <v>386</v>
      </c>
      <c r="C13" s="274"/>
      <c r="D13" s="275"/>
      <c r="N13" s="159"/>
    </row>
    <row r="14" spans="1:14" x14ac:dyDescent="0.35">
      <c r="B14" s="254" t="s">
        <v>387</v>
      </c>
      <c r="C14" s="255"/>
      <c r="D14" s="256"/>
      <c r="N14" s="159"/>
    </row>
    <row r="15" spans="1:14" x14ac:dyDescent="0.35">
      <c r="B15" s="257" t="s">
        <v>33</v>
      </c>
      <c r="C15" s="258"/>
      <c r="D15" s="259"/>
      <c r="N15" s="159"/>
    </row>
    <row r="16" spans="1:14" x14ac:dyDescent="0.35">
      <c r="N16" s="159"/>
    </row>
    <row r="17" spans="1:15" x14ac:dyDescent="0.35">
      <c r="A17" s="1" t="s">
        <v>237</v>
      </c>
      <c r="B17" s="1" t="s">
        <v>81</v>
      </c>
      <c r="C17" s="12" t="s">
        <v>82</v>
      </c>
      <c r="N17" s="158" t="s">
        <v>262</v>
      </c>
    </row>
    <row r="18" spans="1:15" x14ac:dyDescent="0.35">
      <c r="A18" t="s">
        <v>80</v>
      </c>
      <c r="B18" s="122">
        <f>Master!B18</f>
        <v>5.73</v>
      </c>
      <c r="C18" s="122">
        <f>Master!C18</f>
        <v>6</v>
      </c>
      <c r="D18" s="17"/>
      <c r="N18" s="158" t="s">
        <v>264</v>
      </c>
    </row>
    <row r="19" spans="1:15" x14ac:dyDescent="0.35">
      <c r="A19" t="s">
        <v>257</v>
      </c>
      <c r="B19" s="122">
        <f>Master!B19</f>
        <v>5.94</v>
      </c>
      <c r="C19" s="122">
        <f>Master!C19</f>
        <v>7.76</v>
      </c>
      <c r="D19" s="11" t="str">
        <f>Master!D19</f>
        <v>May 17, 2022 values</v>
      </c>
      <c r="F19" s="143"/>
      <c r="N19" s="158" t="s">
        <v>263</v>
      </c>
    </row>
    <row r="20" spans="1:15" x14ac:dyDescent="0.35">
      <c r="A20" t="s">
        <v>118</v>
      </c>
      <c r="B20" s="177">
        <v>3525</v>
      </c>
      <c r="C20" s="177">
        <v>1020</v>
      </c>
      <c r="D20" s="11"/>
      <c r="N20" s="158" t="s">
        <v>265</v>
      </c>
    </row>
    <row r="21" spans="1:15" x14ac:dyDescent="0.35">
      <c r="A21" t="s">
        <v>110</v>
      </c>
      <c r="B21" s="122">
        <f>VLOOKUP(B20,'Powell-Elevation-Area'!$A$5:$B$689,2)/1000000</f>
        <v>5.9265762500000001</v>
      </c>
      <c r="C21" s="122">
        <f>VLOOKUP(C20,'Mead-Elevation-Area'!$A$5:$B$689,2)/1000000</f>
        <v>5.664593</v>
      </c>
      <c r="D21" s="11"/>
      <c r="E21" s="30"/>
      <c r="N21" s="158" t="s">
        <v>267</v>
      </c>
    </row>
    <row r="22" spans="1:15" x14ac:dyDescent="0.35">
      <c r="A22" t="s">
        <v>249</v>
      </c>
      <c r="B22" s="122">
        <f>Master!B22</f>
        <v>78.099999999999994</v>
      </c>
      <c r="C22"/>
      <c r="D22" s="123"/>
      <c r="E22" s="30"/>
      <c r="N22" s="158" t="s">
        <v>266</v>
      </c>
    </row>
    <row r="23" spans="1:15" x14ac:dyDescent="0.35">
      <c r="A23" t="s">
        <v>250</v>
      </c>
      <c r="B23" s="144">
        <f>Master!B23</f>
        <v>0.17</v>
      </c>
      <c r="C23"/>
      <c r="D23" s="123"/>
      <c r="E23" s="30"/>
      <c r="N23" s="178" t="s">
        <v>268</v>
      </c>
    </row>
    <row r="24" spans="1:15" x14ac:dyDescent="0.35">
      <c r="A24" t="s">
        <v>248</v>
      </c>
      <c r="B24" s="122">
        <f>Master!B24</f>
        <v>4.2300000000000058</v>
      </c>
      <c r="C24"/>
      <c r="D24" s="123"/>
      <c r="E24" s="30"/>
      <c r="N24" s="178" t="s">
        <v>269</v>
      </c>
    </row>
    <row r="25" spans="1:15" x14ac:dyDescent="0.35">
      <c r="A25" t="s">
        <v>307</v>
      </c>
      <c r="B25" s="122">
        <f>Master!B25</f>
        <v>1.2399999999999998</v>
      </c>
      <c r="C25"/>
      <c r="D25" s="123"/>
      <c r="E25" s="30"/>
      <c r="N25" s="178" t="s">
        <v>314</v>
      </c>
    </row>
    <row r="26" spans="1:15" x14ac:dyDescent="0.35">
      <c r="B26" s="30"/>
      <c r="N26" s="159"/>
    </row>
    <row r="27" spans="1:15" s="1" customFormat="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c r="O27"/>
    </row>
    <row r="28" spans="1:15" x14ac:dyDescent="0.35">
      <c r="A28" s="138" t="s">
        <v>223</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5" t="s">
        <v>270</v>
      </c>
    </row>
    <row r="29" spans="1:15"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8" t="s">
        <v>271</v>
      </c>
    </row>
    <row r="30" spans="1:15" x14ac:dyDescent="0.35">
      <c r="A30" s="1" t="s">
        <v>203</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8" t="s">
        <v>272</v>
      </c>
    </row>
    <row r="31" spans="1:15"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8" t="s">
        <v>273</v>
      </c>
    </row>
    <row r="32" spans="1:15" x14ac:dyDescent="0.35">
      <c r="A32" s="138" t="s">
        <v>224</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78" t="s">
        <v>274</v>
      </c>
    </row>
    <row r="33" spans="1:14" x14ac:dyDescent="0.35">
      <c r="A33" t="str">
        <f t="shared" ref="A33:A38" si="4">IF(A5="","","    "&amp;A5&amp;" Balance")</f>
        <v xml:space="preserve">    Upper Basin Balance</v>
      </c>
      <c r="B33" s="89">
        <f>B19-B21</f>
        <v>1.342375000000029E-2</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59"/>
    </row>
    <row r="34" spans="1:14" x14ac:dyDescent="0.35">
      <c r="A34" t="str">
        <f t="shared" si="4"/>
        <v xml:space="preserve">    Lower Basin Balance</v>
      </c>
      <c r="B34" s="89">
        <f>C19-C21-B35</f>
        <v>1.9214069999999999</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59"/>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59"/>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59"/>
    </row>
    <row r="37" spans="1:14" x14ac:dyDescent="0.35">
      <c r="A37" t="str">
        <f t="shared" si="4"/>
        <v/>
      </c>
      <c r="B37" s="89" t="str">
        <f>IF(A37&lt;&gt;"",0,"")</f>
        <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59"/>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59"/>
    </row>
    <row r="39" spans="1:14" x14ac:dyDescent="0.35">
      <c r="A39" s="1" t="s">
        <v>234</v>
      </c>
      <c r="C39"/>
      <c r="N39" s="158" t="s">
        <v>294</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59"/>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59"/>
    </row>
    <row r="42" spans="1:14" x14ac:dyDescent="0.35">
      <c r="A42" s="1" t="s">
        <v>225</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78" t="s">
        <v>275</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59"/>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59"/>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59"/>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59"/>
    </row>
    <row r="47" spans="1:14" x14ac:dyDescent="0.35">
      <c r="A47" t="str">
        <f t="shared" si="9"/>
        <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59"/>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59"/>
    </row>
    <row r="49" spans="1:16" x14ac:dyDescent="0.35">
      <c r="A49" s="1" t="s">
        <v>226</v>
      </c>
      <c r="B49" s="54"/>
      <c r="C49" s="33" t="str">
        <f>IF(C$28&lt;&gt;"",1.5-0.21/9/2-VLOOKUP(C41,MandatoryConservation!$C$5:$P$13,13)-C57*(1.5/8.7),"")</f>
        <v/>
      </c>
      <c r="D49" s="33" t="str">
        <f>IF(D$28&lt;&gt;"",1.5-0.21/9/2-VLOOKUP(D41,MandatoryConservation!$C$5:$P$13,13)-D57*(1.5/8.7),"")</f>
        <v/>
      </c>
      <c r="E49" s="33" t="str">
        <f>IF(E$28&lt;&gt;"",1.5-0.21/9/2-VLOOKUP(E41,MandatoryConservation!$C$5:$P$13,13)-E57*(1.5/8.7),"")</f>
        <v/>
      </c>
      <c r="F49" s="33" t="str">
        <f>IF(F$28&lt;&gt;"",1.5-0.21/9/2-VLOOKUP(F41,MandatoryConservation!$C$5:$P$13,13)-F57*(1.5/8.7),"")</f>
        <v/>
      </c>
      <c r="G49" s="33" t="str">
        <f>IF(G$28&lt;&gt;"",1.5-0.21/9/2-VLOOKUP(G41,MandatoryConservation!$C$5:$P$13,13)-G57*(1.5/8.7),"")</f>
        <v/>
      </c>
      <c r="H49" s="33" t="str">
        <f>IF(H$28&lt;&gt;"",1.5-0.21/9/2-VLOOKUP(H41,MandatoryConservation!$C$5:$P$13,13)-H57*(1.5/8.7),"")</f>
        <v/>
      </c>
      <c r="I49" s="33" t="str">
        <f>IF(I$28&lt;&gt;"",1.5-0.21/9/2-VLOOKUP(I41,MandatoryConservation!$C$5:$P$13,13)-I57*(1.5/8.7),"")</f>
        <v/>
      </c>
      <c r="J49" s="33" t="str">
        <f>IF(J$28&lt;&gt;"",1.5-0.21/9/2-VLOOKUP(J41,MandatoryConservation!$C$5:$P$13,13)-J57*(1.5/8.7),"")</f>
        <v/>
      </c>
      <c r="K49" s="33" t="str">
        <f>IF(K$28&lt;&gt;"",1.5-0.21/9/2-VLOOKUP(K41,MandatoryConservation!$C$5:$P$13,13)-K57*(1.5/8.7),"")</f>
        <v/>
      </c>
      <c r="L49" s="33" t="str">
        <f>IF(L$28&lt;&gt;"",1.5-0.21/9/2-VLOOKUP(L41,MandatoryConservation!$C$5:$P$13,13)-L57*(1.5/8.7),"")</f>
        <v/>
      </c>
      <c r="N49" s="158" t="s">
        <v>276</v>
      </c>
    </row>
    <row r="50" spans="1:16" x14ac:dyDescent="0.35">
      <c r="A50" s="138" t="s">
        <v>251</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213" t="s">
        <v>277</v>
      </c>
      <c r="P50" t="s">
        <v>298</v>
      </c>
    </row>
    <row r="51" spans="1:16" x14ac:dyDescent="0.35">
      <c r="A51" t="str">
        <f t="shared" ref="A51:A56" si="12">IF(A5="","","    To "&amp;A5)</f>
        <v xml:space="preserve">    To Upper Basin</v>
      </c>
      <c r="B51" s="105" t="s">
        <v>308</v>
      </c>
      <c r="C51" s="87" t="str">
        <f>IF(OR(C$28="",$A52=""),"",MAX(0,C50-SUM(C52:C57)))</f>
        <v/>
      </c>
      <c r="D51" s="87" t="str">
        <f t="shared" ref="D51:G51" si="13">IF(OR(D$28="",$A52=""),"",MAX(0,D50-SUM(D52:D57)))</f>
        <v/>
      </c>
      <c r="E51" s="87" t="str">
        <f t="shared" si="13"/>
        <v/>
      </c>
      <c r="F51" s="87" t="str">
        <f t="shared" si="13"/>
        <v/>
      </c>
      <c r="G51" s="87" t="str">
        <f t="shared" si="13"/>
        <v/>
      </c>
      <c r="H51" s="87" t="str">
        <f t="shared" ref="H51" si="14">IF(OR(H$28="",$A52=""),"",MAX(0,H50-SUM(H52:H57)))</f>
        <v/>
      </c>
      <c r="I51" s="87" t="str">
        <f t="shared" ref="I51" si="15">IF(OR(I$28="",$A52=""),"",MAX(0,I50-SUM(I52:I57)))</f>
        <v/>
      </c>
      <c r="J51" s="87" t="str">
        <f t="shared" ref="J51" si="16">IF(OR(J$28="",$A52=""),"",MAX(0,J50-SUM(J52:J57)))</f>
        <v/>
      </c>
      <c r="K51" s="87" t="str">
        <f t="shared" ref="K51" si="17">IF(OR(K$28="",$A52=""),"",MAX(0,K50-SUM(K52:K57)))</f>
        <v/>
      </c>
      <c r="L51" s="87" t="str">
        <f t="shared" ref="L51" si="18">IF(OR(L$28="",$A52=""),"",MAX(0,L50-SUM(L52:L57)))</f>
        <v/>
      </c>
      <c r="M51" s="19"/>
      <c r="N51" s="160"/>
      <c r="P51" s="87" t="str">
        <f>IF(OR(P$28="",$A51=""),"",MAX(P28-($B$24)-P56*$B$21/SUM($B$21:$C$21),0))</f>
        <v/>
      </c>
    </row>
    <row r="52" spans="1:16" x14ac:dyDescent="0.35">
      <c r="A52" t="str">
        <f t="shared" si="12"/>
        <v xml:space="preserve">    To Lower Basin</v>
      </c>
      <c r="B52" s="106">
        <f>7.5-IF($A$9="",0,0.95)-IF(C31="",0.6,C31)*IF($A$9="",(7.2/8.7),(7.2-0.95)/8.7)-B54/2</f>
        <v>6.9956704980842908</v>
      </c>
      <c r="C52" s="87" t="str">
        <f>IF(OR(C$28="",$A52=""),"",IF(C50&lt;=SUM(C53:C57),0,IF(C50&lt;=SUM(C53:C57)+2*$B$25,(C50-SUM(C53:C57))/2,IF(C50&lt;=SUM(C53:C57)+2*$B$25+$B$52-$B$25,C50-SUM(C53:C57)-$B$25,$B$52))))</f>
        <v/>
      </c>
      <c r="D52" s="87" t="str">
        <f t="shared" ref="D52:G52" si="19">IF(OR(D$28="",$A52=""),"",IF(D50&lt;=SUM(D53:D57),0,IF(D50&lt;=SUM(D53:D57)+2*$B$25,(D50-SUM(D53:D57))/2,IF(D50&lt;=SUM(D53:D57)+2*$B$25+$B$52-$B$25,D50-SUM(D53:D57)-$B$25,$B$52))))</f>
        <v/>
      </c>
      <c r="E52" s="87" t="str">
        <f t="shared" si="19"/>
        <v/>
      </c>
      <c r="F52" s="87" t="str">
        <f t="shared" si="19"/>
        <v/>
      </c>
      <c r="G52" s="87" t="str">
        <f t="shared" si="19"/>
        <v/>
      </c>
      <c r="H52" s="87" t="str">
        <f t="shared" ref="H52" si="20">IF(OR(H$28="",$A52=""),"",IF(H50&lt;=SUM(H53:H57),0,IF(H50&lt;=SUM(H53:H57)+2*$B$25,(H50-SUM(H53:H57))/2,IF(H50&lt;=SUM(H53:H57)+2*$B$25+$B$52-$B$25,H50-SUM(H53:H57)-$B$25,$B$52))))</f>
        <v/>
      </c>
      <c r="I52" s="87" t="str">
        <f t="shared" ref="I52" si="21">IF(OR(I$28="",$A52=""),"",IF(I50&lt;=SUM(I53:I57),0,IF(I50&lt;=SUM(I53:I57)+2*$B$25,(I50-SUM(I53:I57))/2,IF(I50&lt;=SUM(I53:I57)+2*$B$25+$B$52-$B$25,I50-SUM(I53:I57)-$B$25,$B$52))))</f>
        <v/>
      </c>
      <c r="J52" s="87" t="str">
        <f t="shared" ref="J52" si="22">IF(OR(J$28="",$A52=""),"",IF(J50&lt;=SUM(J53:J57),0,IF(J50&lt;=SUM(J53:J57)+2*$B$25,(J50-SUM(J53:J57))/2,IF(J50&lt;=SUM(J53:J57)+2*$B$25+$B$52-$B$25,J50-SUM(J53:J57)-$B$25,$B$52))))</f>
        <v/>
      </c>
      <c r="K52" s="87" t="str">
        <f t="shared" ref="K52" si="23">IF(OR(K$28="",$A52=""),"",IF(K50&lt;=SUM(K53:K57),0,IF(K50&lt;=SUM(K53:K57)+2*$B$25,(K50-SUM(K53:K57))/2,IF(K50&lt;=SUM(K53:K57)+2*$B$25+$B$52-$B$25,K50-SUM(K53:K57)-$B$25,$B$52))))</f>
        <v/>
      </c>
      <c r="L52" s="87" t="str">
        <f t="shared" ref="L52" si="24">IF(OR(L$28="",$A52=""),"",IF(L50&lt;=SUM(L53:L57),0,IF(L50&lt;=SUM(L53:L57)+2*$B$25,(L50-SUM(L53:L57))/2,IF(L50&lt;=SUM(L53:L57)+2*$B$25+$B$52-$B$25,L50-SUM(L53:L57)-$B$25,$B$52))))</f>
        <v/>
      </c>
      <c r="M52" s="19"/>
      <c r="N52" s="160"/>
      <c r="P52" s="87" t="str">
        <f>IF(OR(P$28="",$A52=""),"",P29+P30-P31-P56*$C$21/SUM($B$21:$C$21)-P53+MIN($B$24,P28))</f>
        <v/>
      </c>
    </row>
    <row r="53" spans="1:16" x14ac:dyDescent="0.35">
      <c r="A53" t="str">
        <f t="shared" si="12"/>
        <v xml:space="preserve">    To Mexico</v>
      </c>
      <c r="B53" s="106" t="s">
        <v>396</v>
      </c>
      <c r="C53" s="88" t="str">
        <f>IF(OR(C$28="",$A53=""),"",MIN(C49,C$50-SUM(C54:C57)))</f>
        <v/>
      </c>
      <c r="D53" s="88" t="str">
        <f t="shared" ref="D53:G53" si="25">IF(OR(D$28="",$A53=""),"",MIN(D49,D$50-SUM(D54:D57)))</f>
        <v/>
      </c>
      <c r="E53" s="88" t="str">
        <f t="shared" si="25"/>
        <v/>
      </c>
      <c r="F53" s="88" t="str">
        <f t="shared" si="25"/>
        <v/>
      </c>
      <c r="G53" s="88" t="str">
        <f t="shared" si="25"/>
        <v/>
      </c>
      <c r="H53" s="88" t="str">
        <f t="shared" ref="H53" si="26">IF(OR(H$28="",$A53=""),"",MIN(H49,H$50-SUM(H54:H57)))</f>
        <v/>
      </c>
      <c r="I53" s="88" t="str">
        <f t="shared" ref="I53" si="27">IF(OR(I$28="",$A53=""),"",MIN(I49,I$50-SUM(I54:I57)))</f>
        <v/>
      </c>
      <c r="J53" s="88" t="str">
        <f t="shared" ref="J53" si="28">IF(OR(J$28="",$A53=""),"",MIN(J49,J$50-SUM(J54:J57)))</f>
        <v/>
      </c>
      <c r="K53" s="88" t="str">
        <f t="shared" ref="K53" si="29">IF(OR(K$28="",$A53=""),"",MIN(K49,K$50-SUM(K54:K57)))</f>
        <v/>
      </c>
      <c r="L53" s="88" t="str">
        <f t="shared" ref="L53" si="30">IF(OR(L$28="",$A53=""),"",MIN(L49,L$50-SUM(L54:L57)))</f>
        <v/>
      </c>
      <c r="M53" s="19"/>
      <c r="N53" s="160"/>
    </row>
    <row r="54" spans="1:16" x14ac:dyDescent="0.35">
      <c r="A54" t="str">
        <f t="shared" si="12"/>
        <v xml:space="preserve">    To Colorado River Delta</v>
      </c>
      <c r="B54" s="115">
        <f>0.21/9*(2/3)</f>
        <v>1.5555555555555553E-2</v>
      </c>
      <c r="C54" s="116" t="str">
        <f>IF(OR(C$28="",$A54=""),"",MIN($B54,C$50-SUM(C55:C57)))</f>
        <v/>
      </c>
      <c r="D54" s="116" t="str">
        <f t="shared" ref="D54:G54" si="31">IF(OR(D$28="",$A54=""),"",MIN($B54,D$50-SUM(D55:D57)))</f>
        <v/>
      </c>
      <c r="E54" s="116" t="str">
        <f t="shared" si="31"/>
        <v/>
      </c>
      <c r="F54" s="116" t="str">
        <f t="shared" si="31"/>
        <v/>
      </c>
      <c r="G54" s="116" t="str">
        <f t="shared" si="31"/>
        <v/>
      </c>
      <c r="H54" s="116" t="str">
        <f t="shared" ref="H54" si="32">IF(OR(H$28="",$A54=""),"",MIN($B54,H$50-SUM(H55:H57)))</f>
        <v/>
      </c>
      <c r="I54" s="116" t="str">
        <f t="shared" ref="I54" si="33">IF(OR(I$28="",$A54=""),"",MIN($B54,I$50-SUM(I55:I57)))</f>
        <v/>
      </c>
      <c r="J54" s="116" t="str">
        <f t="shared" ref="J54" si="34">IF(OR(J$28="",$A54=""),"",MIN($B54,J$50-SUM(J55:J57)))</f>
        <v/>
      </c>
      <c r="K54" s="116" t="str">
        <f t="shared" ref="K54" si="35">IF(OR(K$28="",$A54=""),"",MIN($B54,K$50-SUM(K55:K57)))</f>
        <v/>
      </c>
      <c r="L54" s="116" t="str">
        <f t="shared" ref="L54" si="36">IF(OR(L$28="",$A54=""),"",MIN($B54,L$50-SUM(L55:L57)))</f>
        <v/>
      </c>
      <c r="M54" s="19"/>
      <c r="N54" s="160"/>
    </row>
    <row r="55" spans="1:16" x14ac:dyDescent="0.35">
      <c r="A55" t="str">
        <f t="shared" si="12"/>
        <v/>
      </c>
      <c r="B55" s="106" t="str">
        <f>IF($A$9&lt;&gt;"",2.01-IF(C31="",0.6,C31)*0.95/8.7,"")</f>
        <v/>
      </c>
      <c r="C55" s="87" t="str">
        <f>IF(OR(C$28="",$A55=""),"",MIN($B55,C$50-SUM(C56:C57)))</f>
        <v/>
      </c>
      <c r="D55" s="87" t="str">
        <f t="shared" ref="D55:G55" si="37">IF(OR(D$28="",$A55=""),"",MIN($B55,D$50-SUM(D56:D57)))</f>
        <v/>
      </c>
      <c r="E55" s="87" t="str">
        <f t="shared" si="37"/>
        <v/>
      </c>
      <c r="F55" s="87" t="str">
        <f t="shared" si="37"/>
        <v/>
      </c>
      <c r="G55" s="87" t="str">
        <f t="shared" si="37"/>
        <v/>
      </c>
      <c r="H55" s="87" t="str">
        <f t="shared" ref="H55" si="38">IF(OR(H$28="",$A55=""),"",MIN($B55,H$50-SUM(H56:H57)))</f>
        <v/>
      </c>
      <c r="I55" s="87" t="str">
        <f t="shared" ref="I55" si="39">IF(OR(I$28="",$A55=""),"",MIN($B55,I$50-SUM(I56:I57)))</f>
        <v/>
      </c>
      <c r="J55" s="87" t="str">
        <f t="shared" ref="J55" si="40">IF(OR(J$28="",$A55=""),"",MIN($B55,J$50-SUM(J56:J57)))</f>
        <v/>
      </c>
      <c r="K55" s="87" t="str">
        <f t="shared" ref="K55" si="41">IF(OR(K$28="",$A55=""),"",MIN($B55,K$50-SUM(K56:K57)))</f>
        <v/>
      </c>
      <c r="L55" s="87" t="str">
        <f t="shared" ref="L55" si="42">IF(OR(L$28="",$A55=""),"",MIN($B55,L$50-SUM(L56:L57)))</f>
        <v/>
      </c>
      <c r="M55" s="19"/>
      <c r="N55" s="160"/>
    </row>
    <row r="56" spans="1:16" x14ac:dyDescent="0.35">
      <c r="A56" t="str">
        <f t="shared" si="12"/>
        <v xml:space="preserve">    To Shared, Reserve</v>
      </c>
      <c r="B56" s="106" t="s">
        <v>213</v>
      </c>
      <c r="C56" s="170" t="str">
        <f>IF(OR(C$28="",$A56=""),"",IF(C$50&gt;C48,C48,C50))</f>
        <v/>
      </c>
      <c r="D56" s="170" t="str">
        <f t="shared" ref="D56:G56" si="43">IF(OR(D$28="",$A56=""),"",IF(D$50&gt;D48,D48,D50))</f>
        <v/>
      </c>
      <c r="E56" s="170" t="str">
        <f t="shared" si="43"/>
        <v/>
      </c>
      <c r="F56" s="170" t="str">
        <f t="shared" si="43"/>
        <v/>
      </c>
      <c r="G56" s="170" t="str">
        <f t="shared" si="43"/>
        <v/>
      </c>
      <c r="H56" s="170" t="str">
        <f t="shared" ref="H56:L56" si="44">IF(OR(H$28="",$A56=""),"",IF(H$50&gt;H48,H48,H50))</f>
        <v/>
      </c>
      <c r="I56" s="170" t="str">
        <f t="shared" si="44"/>
        <v/>
      </c>
      <c r="J56" s="170" t="str">
        <f t="shared" si="44"/>
        <v/>
      </c>
      <c r="K56" s="170" t="str">
        <f t="shared" si="44"/>
        <v/>
      </c>
      <c r="L56" s="170" t="str">
        <f t="shared" si="44"/>
        <v/>
      </c>
      <c r="M56" s="19"/>
      <c r="N56" s="160"/>
    </row>
    <row r="57" spans="1:16" x14ac:dyDescent="0.35">
      <c r="A57" t="str">
        <f>IF(A31="","","    To "&amp;A31)</f>
        <v xml:space="preserve">    To Havasu / Parker evaporation and ET</v>
      </c>
      <c r="B57" s="169" t="s">
        <v>309</v>
      </c>
      <c r="C57" s="171" t="str">
        <f>IF(OR(C$28="",$A57=""),"",MIN(C31,C50-C56))</f>
        <v/>
      </c>
      <c r="D57" s="171" t="str">
        <f t="shared" ref="D57:G57" si="45">IF(OR(D$28="",$A57=""),"",MIN(D31,D50-D56))</f>
        <v/>
      </c>
      <c r="E57" s="171" t="str">
        <f t="shared" si="45"/>
        <v/>
      </c>
      <c r="F57" s="171" t="str">
        <f t="shared" si="45"/>
        <v/>
      </c>
      <c r="G57" s="171" t="str">
        <f t="shared" si="45"/>
        <v/>
      </c>
      <c r="H57" s="171" t="str">
        <f t="shared" ref="H57" si="46">IF(OR(H$28="",$A57=""),"",MIN(H31,H50-H56))</f>
        <v/>
      </c>
      <c r="I57" s="171" t="str">
        <f t="shared" ref="I57" si="47">IF(OR(I$28="",$A57=""),"",MIN(I31,I50-I56))</f>
        <v/>
      </c>
      <c r="J57" s="171" t="str">
        <f t="shared" ref="J57" si="48">IF(OR(J$28="",$A57=""),"",MIN(J31,J50-J56))</f>
        <v/>
      </c>
      <c r="K57" s="171" t="str">
        <f t="shared" ref="K57" si="49">IF(OR(K$28="",$A57=""),"",MIN(K31,K50-K56))</f>
        <v/>
      </c>
      <c r="L57" s="171" t="str">
        <f t="shared" ref="L57" si="50">IF(OR(L$28="",$A57=""),"",MIN(L31,L50-L56))</f>
        <v/>
      </c>
      <c r="M57" s="19"/>
      <c r="N57" s="160"/>
    </row>
    <row r="58" spans="1:16" x14ac:dyDescent="0.35">
      <c r="B58" s="20"/>
      <c r="C58" s="19"/>
      <c r="D58" s="19"/>
      <c r="E58" s="19"/>
      <c r="F58" s="129"/>
      <c r="G58" s="30"/>
      <c r="N58" s="159"/>
    </row>
    <row r="59" spans="1:16" x14ac:dyDescent="0.35">
      <c r="A59" s="112" t="s">
        <v>252</v>
      </c>
      <c r="B59" s="109"/>
      <c r="C59" s="109"/>
      <c r="D59" s="109"/>
      <c r="E59" s="109"/>
      <c r="F59" s="109"/>
      <c r="G59" s="109"/>
      <c r="H59" s="109"/>
      <c r="I59" s="109"/>
      <c r="J59" s="109"/>
      <c r="K59" s="109"/>
      <c r="L59" s="109"/>
      <c r="M59" s="109"/>
      <c r="N59" s="154"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5" t="s">
        <v>278</v>
      </c>
    </row>
    <row r="61" spans="1:16" x14ac:dyDescent="0.35">
      <c r="A61" s="139" t="str">
        <f>IF(A60="[Unused]","","   Enter volume to Buy(+) or Sell(-) [maf]")</f>
        <v xml:space="preserve">   Enter volume to Buy(+) or Sell(-) [maf]</v>
      </c>
      <c r="C61" s="104" t="str">
        <f>IF(OR(C$28="",$A61=""),"",IF(C33+C51-C43&lt;4.2,4.2-(C33+C51-C43),0))</f>
        <v/>
      </c>
      <c r="D61" s="104" t="str">
        <f>IF(OR(D$28="",$A61=""),"",IF(D33+D51-D43&lt;4.2,4.2-(D33+D51-D43),0))</f>
        <v/>
      </c>
      <c r="E61" s="104" t="str">
        <f t="shared" ref="E61:L61" si="51">IF(OR(E$28="",$A61=""),"",IF(E33+E51-E43&lt;4.2,4.2-(E33+E51-E43),0))</f>
        <v/>
      </c>
      <c r="F61" s="104" t="str">
        <f t="shared" si="51"/>
        <v/>
      </c>
      <c r="G61" s="104" t="str">
        <f t="shared" si="51"/>
        <v/>
      </c>
      <c r="H61" s="104" t="str">
        <f t="shared" si="51"/>
        <v/>
      </c>
      <c r="I61" s="104" t="str">
        <f t="shared" si="51"/>
        <v/>
      </c>
      <c r="J61" s="104" t="str">
        <f t="shared" si="51"/>
        <v/>
      </c>
      <c r="K61" s="104" t="str">
        <f t="shared" si="51"/>
        <v/>
      </c>
      <c r="L61" s="104" t="str">
        <f t="shared" si="51"/>
        <v/>
      </c>
      <c r="M61" s="48">
        <f>SUM(C61:L61)</f>
        <v>0</v>
      </c>
      <c r="N61" s="214" t="s">
        <v>279</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2" t="s">
        <v>280</v>
      </c>
    </row>
    <row r="63" spans="1:16" x14ac:dyDescent="0.35">
      <c r="A63" s="21" t="str">
        <f>IF(A62="","","   Net trade volume all participants (should be zero)")</f>
        <v xml:space="preserve">   Net trade volume all participants (should be zero)</v>
      </c>
      <c r="C63" s="48" t="str">
        <f t="shared" ref="C63:M63" si="52">IF(OR(C$28="",$A63=""),"",C$116)</f>
        <v/>
      </c>
      <c r="D63" s="48" t="str">
        <f t="shared" si="52"/>
        <v/>
      </c>
      <c r="E63" s="48" t="str">
        <f t="shared" si="52"/>
        <v/>
      </c>
      <c r="F63" s="48" t="str">
        <f t="shared" si="52"/>
        <v/>
      </c>
      <c r="G63" s="48" t="str">
        <f t="shared" si="52"/>
        <v/>
      </c>
      <c r="H63" s="48" t="str">
        <f t="shared" si="52"/>
        <v/>
      </c>
      <c r="I63" s="48" t="str">
        <f t="shared" si="52"/>
        <v/>
      </c>
      <c r="J63" s="48" t="str">
        <f t="shared" si="52"/>
        <v/>
      </c>
      <c r="K63" s="48" t="str">
        <f t="shared" si="52"/>
        <v/>
      </c>
      <c r="L63" s="48" t="str">
        <f t="shared" si="52"/>
        <v/>
      </c>
      <c r="M63" t="str">
        <f t="shared" si="52"/>
        <v/>
      </c>
      <c r="N63" s="178" t="s">
        <v>281</v>
      </c>
    </row>
    <row r="64" spans="1:16" x14ac:dyDescent="0.35">
      <c r="A64" s="1" t="str">
        <f>IF(A62="","","   Available Water [maf]")</f>
        <v xml:space="preserve">   Available Water [maf]</v>
      </c>
      <c r="C64" s="13" t="str">
        <f>IF(OR(C$28="",$A64=""),"",C33+C51-C43+C61)</f>
        <v/>
      </c>
      <c r="D64" s="13" t="str">
        <f t="shared" ref="D64:L64" si="53">IF(OR(D$28="",$A64=""),"",D33+D51-D43+D61)</f>
        <v/>
      </c>
      <c r="E64" s="13" t="str">
        <f t="shared" si="53"/>
        <v/>
      </c>
      <c r="F64" s="13" t="str">
        <f t="shared" si="53"/>
        <v/>
      </c>
      <c r="G64" s="13" t="str">
        <f t="shared" si="53"/>
        <v/>
      </c>
      <c r="H64" s="13" t="str">
        <f t="shared" si="53"/>
        <v/>
      </c>
      <c r="I64" s="13" t="str">
        <f t="shared" si="53"/>
        <v/>
      </c>
      <c r="J64" s="13" t="str">
        <f t="shared" si="53"/>
        <v/>
      </c>
      <c r="K64" s="13" t="str">
        <f t="shared" si="53"/>
        <v/>
      </c>
      <c r="L64" s="13" t="str">
        <f t="shared" si="53"/>
        <v/>
      </c>
      <c r="N64" s="158" t="s">
        <v>282</v>
      </c>
    </row>
    <row r="65" spans="1:14" x14ac:dyDescent="0.35">
      <c r="A65" s="138" t="str">
        <f>IF(A64="","","   Enter withdraw [maf] within available water")</f>
        <v xml:space="preserve">   Enter withdraw [maf] within available water</v>
      </c>
      <c r="C65" s="104" t="str">
        <f t="shared" ref="C65:D65" si="54">IF(C$28&lt;&gt;"",IF(C64&gt;4.2,4.2,MAX(C64,0)-0.01),"")</f>
        <v/>
      </c>
      <c r="D65" s="104" t="str">
        <f t="shared" si="54"/>
        <v/>
      </c>
      <c r="E65" s="104" t="str">
        <f t="shared" ref="E65" si="55">IF(E$28&lt;&gt;"",IF(E64&gt;4.2,4.2,MAX(E64,0)-0.01),"")</f>
        <v/>
      </c>
      <c r="F65" s="104" t="str">
        <f t="shared" ref="F65" si="56">IF(F$28&lt;&gt;"",IF(F64&gt;4.2,4.2,MAX(F64,0)-0.01),"")</f>
        <v/>
      </c>
      <c r="G65" s="104" t="str">
        <f t="shared" ref="G65" si="57">IF(G$28&lt;&gt;"",IF(G64&gt;4.2,4.2,MAX(G64,0)-0.01),"")</f>
        <v/>
      </c>
      <c r="H65" s="104" t="str">
        <f t="shared" ref="H65" si="58">IF(H$28&lt;&gt;"",IF(H64&gt;4.2,4.2,MAX(H64,0)-0.01),"")</f>
        <v/>
      </c>
      <c r="I65" s="104" t="str">
        <f t="shared" ref="I65" si="59">IF(I$28&lt;&gt;"",IF(I64&gt;4.2,4.2,MAX(I64,0)-0.01),"")</f>
        <v/>
      </c>
      <c r="J65" s="104" t="str">
        <f t="shared" ref="J65" si="60">IF(J$28&lt;&gt;"",IF(J64&gt;4.2,4.2,MAX(J64,0)-0.01),"")</f>
        <v/>
      </c>
      <c r="K65" s="104" t="str">
        <f t="shared" ref="K65" si="61">IF(K$28&lt;&gt;"",IF(K64&gt;4.2,4.2,MAX(K64,0)-0.01),"")</f>
        <v/>
      </c>
      <c r="L65" s="104" t="str">
        <f t="shared" ref="L65" si="62">IF(L$28&lt;&gt;"",IF(L64&gt;4.2,4.2,MAX(L64,0)-0.01),"")</f>
        <v/>
      </c>
      <c r="N65" s="158" t="s">
        <v>295</v>
      </c>
    </row>
    <row r="66" spans="1:14" x14ac:dyDescent="0.35">
      <c r="A66" s="21" t="str">
        <f>IF(A65="","","   End of Year Balance [maf]")</f>
        <v xml:space="preserve">   End of Year Balance [maf]</v>
      </c>
      <c r="C66" s="47" t="str">
        <f>IF(OR(C$28="",$A66=""),"",C64-C65)</f>
        <v/>
      </c>
      <c r="D66" s="47" t="str">
        <f t="shared" ref="D66:L66" si="63">IF(OR(D$28="",$A66=""),"",D64-D65)</f>
        <v/>
      </c>
      <c r="E66" s="47" t="str">
        <f t="shared" si="63"/>
        <v/>
      </c>
      <c r="F66" s="47" t="str">
        <f t="shared" si="63"/>
        <v/>
      </c>
      <c r="G66" s="47" t="str">
        <f t="shared" si="63"/>
        <v/>
      </c>
      <c r="H66" s="47" t="str">
        <f t="shared" si="63"/>
        <v/>
      </c>
      <c r="I66" s="47" t="str">
        <f t="shared" si="63"/>
        <v/>
      </c>
      <c r="J66" s="47" t="str">
        <f t="shared" si="63"/>
        <v/>
      </c>
      <c r="K66" s="47" t="str">
        <f t="shared" si="63"/>
        <v/>
      </c>
      <c r="L66" s="47" t="str">
        <f t="shared" si="63"/>
        <v/>
      </c>
      <c r="N66" s="158" t="s">
        <v>283</v>
      </c>
    </row>
    <row r="67" spans="1:14" x14ac:dyDescent="0.35">
      <c r="C67"/>
      <c r="N67" s="159"/>
    </row>
    <row r="68" spans="1:14" x14ac:dyDescent="0.35">
      <c r="A68" s="132" t="str">
        <f>IF(A$6="","[Unused]",A6)</f>
        <v>Lower Basin</v>
      </c>
      <c r="B68" s="110"/>
      <c r="C68" s="110"/>
      <c r="D68" s="110"/>
      <c r="E68" s="110"/>
      <c r="F68" s="110"/>
      <c r="G68" s="110"/>
      <c r="H68" s="110"/>
      <c r="I68" s="110"/>
      <c r="J68" s="110"/>
      <c r="K68" s="110"/>
      <c r="L68" s="110"/>
      <c r="M68" s="111" t="s">
        <v>79</v>
      </c>
      <c r="N68" s="155" t="s">
        <v>278</v>
      </c>
    </row>
    <row r="69" spans="1:14" x14ac:dyDescent="0.35">
      <c r="A69" s="139" t="str">
        <f>IF(A68="[Unused]","",$A$61)</f>
        <v xml:space="preserve">   Enter volume to Buy(+) or Sell(-) [maf]</v>
      </c>
      <c r="C69" s="104" t="str">
        <f>IF(OR(C$28="",$A69=""),"",IF(C34+C52-C44&lt;C73,C73-(C34+C52-C44),0))</f>
        <v/>
      </c>
      <c r="D69" s="104" t="str">
        <f t="shared" ref="D69:L69" si="64">IF(OR(D$28="",$A69=""),"",IF(D34+D52-D44&lt;D73,D73-(D34+D52-D44),0))</f>
        <v/>
      </c>
      <c r="E69" s="104" t="str">
        <f t="shared" si="64"/>
        <v/>
      </c>
      <c r="F69" s="104" t="str">
        <f t="shared" si="64"/>
        <v/>
      </c>
      <c r="G69" s="104" t="str">
        <f t="shared" si="64"/>
        <v/>
      </c>
      <c r="H69" s="104" t="str">
        <f t="shared" si="64"/>
        <v/>
      </c>
      <c r="I69" s="104" t="str">
        <f t="shared" si="64"/>
        <v/>
      </c>
      <c r="J69" s="104" t="str">
        <f t="shared" si="64"/>
        <v/>
      </c>
      <c r="K69" s="104" t="str">
        <f t="shared" si="64"/>
        <v/>
      </c>
      <c r="L69" s="104" t="str">
        <f t="shared" si="64"/>
        <v/>
      </c>
      <c r="M69" s="48">
        <f>SUM(C69:L69)</f>
        <v>0</v>
      </c>
      <c r="N69" s="214" t="s">
        <v>279</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2" t="s">
        <v>280</v>
      </c>
    </row>
    <row r="71" spans="1:14" x14ac:dyDescent="0.35">
      <c r="A71" s="145" t="str">
        <f>IF(A70="","",$A$63)</f>
        <v xml:space="preserve">   Net trade volume all participants (should be zero)</v>
      </c>
      <c r="C71" s="48" t="str">
        <f t="shared" ref="C71:M71" si="65">IF(OR(C$28="",$A71=""),"",C$116)</f>
        <v/>
      </c>
      <c r="D71" s="48" t="str">
        <f t="shared" si="65"/>
        <v/>
      </c>
      <c r="E71" s="48" t="str">
        <f t="shared" si="65"/>
        <v/>
      </c>
      <c r="F71" s="48" t="str">
        <f t="shared" si="65"/>
        <v/>
      </c>
      <c r="G71" s="48" t="str">
        <f t="shared" si="65"/>
        <v/>
      </c>
      <c r="H71" s="48" t="str">
        <f t="shared" si="65"/>
        <v/>
      </c>
      <c r="I71" s="48" t="str">
        <f t="shared" si="65"/>
        <v/>
      </c>
      <c r="J71" s="48" t="str">
        <f t="shared" si="65"/>
        <v/>
      </c>
      <c r="K71" s="48" t="str">
        <f t="shared" si="65"/>
        <v/>
      </c>
      <c r="L71" s="48" t="str">
        <f t="shared" si="65"/>
        <v/>
      </c>
      <c r="M71" t="str">
        <f t="shared" si="65"/>
        <v/>
      </c>
      <c r="N71" s="178" t="s">
        <v>281</v>
      </c>
    </row>
    <row r="72" spans="1:14" x14ac:dyDescent="0.35">
      <c r="A72" s="1" t="str">
        <f>IF(A70="","","   Available Water [maf]")</f>
        <v xml:space="preserve">   Available Water [maf]</v>
      </c>
      <c r="C72" s="13" t="str">
        <f>IF(OR(C$28="",$A72=""),"",C34+C52-C44+C69)</f>
        <v/>
      </c>
      <c r="D72" s="13" t="str">
        <f t="shared" ref="D72:L72" si="66">IF(OR(D$28="",$A72=""),"",D34+D52-D44+D69)</f>
        <v/>
      </c>
      <c r="E72" s="13" t="str">
        <f t="shared" si="66"/>
        <v/>
      </c>
      <c r="F72" s="13" t="str">
        <f t="shared" si="66"/>
        <v/>
      </c>
      <c r="G72" s="13" t="str">
        <f t="shared" si="66"/>
        <v/>
      </c>
      <c r="H72" s="13" t="str">
        <f t="shared" si="66"/>
        <v/>
      </c>
      <c r="I72" s="13" t="str">
        <f t="shared" si="66"/>
        <v/>
      </c>
      <c r="J72" s="13" t="str">
        <f t="shared" si="66"/>
        <v/>
      </c>
      <c r="K72" s="13" t="str">
        <f t="shared" si="66"/>
        <v/>
      </c>
      <c r="L72" s="13" t="str">
        <f t="shared" si="66"/>
        <v/>
      </c>
      <c r="N72" s="158" t="s">
        <v>282</v>
      </c>
    </row>
    <row r="73" spans="1:14" x14ac:dyDescent="0.35">
      <c r="A73" s="138" t="str">
        <f>IF(A72="","",$A$65)</f>
        <v xml:space="preserve">   Enter withdraw [maf] within available water</v>
      </c>
      <c r="C73" s="104" t="str">
        <f>IF(C28&lt;&gt;"",7.5-VLOOKUP(C41,MandatoryConservation!$C$5:$P$13,14)-0.001,"")</f>
        <v/>
      </c>
      <c r="D73" s="104" t="str">
        <f>IF(D28&lt;&gt;"",7.5-VLOOKUP(D41,MandatoryConservation!$C$5:$P$13,14)-0.001,"")</f>
        <v/>
      </c>
      <c r="E73" s="104" t="str">
        <f>IF(E28&lt;&gt;"",7.5-VLOOKUP(E41,MandatoryConservation!$C$5:$P$13,14)-0.001,"")</f>
        <v/>
      </c>
      <c r="F73" s="104" t="str">
        <f>IF(F28&lt;&gt;"",7.5-VLOOKUP(F41,MandatoryConservation!$C$5:$P$13,14)-0.001,"")</f>
        <v/>
      </c>
      <c r="G73" s="104" t="str">
        <f>IF(G28&lt;&gt;"",7.5-VLOOKUP(G41,MandatoryConservation!$C$5:$P$13,14)-0.001,"")</f>
        <v/>
      </c>
      <c r="H73" s="104" t="str">
        <f>IF(H28&lt;&gt;"",7.5-VLOOKUP(H41,MandatoryConservation!$C$5:$P$13,14)-0.001,"")</f>
        <v/>
      </c>
      <c r="I73" s="104" t="str">
        <f>IF(I28&lt;&gt;"",7.5-VLOOKUP(I41,MandatoryConservation!$C$5:$P$13,14)-0.001,"")</f>
        <v/>
      </c>
      <c r="J73" s="104" t="str">
        <f>IF(J28&lt;&gt;"",7.5-VLOOKUP(J41,MandatoryConservation!$C$5:$P$13,14)-0.001,"")</f>
        <v/>
      </c>
      <c r="K73" s="104" t="str">
        <f>IF(K28&lt;&gt;"",7.5-VLOOKUP(K41,MandatoryConservation!$C$5:$P$13,14)-0.001,"")</f>
        <v/>
      </c>
      <c r="L73" s="104" t="str">
        <f>IF(L28&lt;&gt;"",7.5-VLOOKUP(L41,MandatoryConservation!$C$5:$P$13,14)-0.001,"")</f>
        <v/>
      </c>
      <c r="N73" s="158" t="s">
        <v>295</v>
      </c>
    </row>
    <row r="74" spans="1:14" x14ac:dyDescent="0.35">
      <c r="A74" s="21" t="str">
        <f>IF(A73="","","   End of Year Balance [maf]")</f>
        <v xml:space="preserve">   End of Year Balance [maf]</v>
      </c>
      <c r="C74" s="47" t="str">
        <f>IF(OR(C$28="",$A74=""),"",C72-C73)</f>
        <v/>
      </c>
      <c r="D74" s="47" t="str">
        <f t="shared" ref="D74:L74" si="67">IF(OR(D$28="",$A74=""),"",D72-D73)</f>
        <v/>
      </c>
      <c r="E74" s="47" t="str">
        <f t="shared" si="67"/>
        <v/>
      </c>
      <c r="F74" s="47" t="str">
        <f t="shared" si="67"/>
        <v/>
      </c>
      <c r="G74" s="47" t="str">
        <f t="shared" si="67"/>
        <v/>
      </c>
      <c r="H74" s="47" t="str">
        <f t="shared" si="67"/>
        <v/>
      </c>
      <c r="I74" s="47" t="str">
        <f t="shared" si="67"/>
        <v/>
      </c>
      <c r="J74" s="47" t="str">
        <f t="shared" si="67"/>
        <v/>
      </c>
      <c r="K74" s="47" t="str">
        <f t="shared" si="67"/>
        <v/>
      </c>
      <c r="L74" s="47" t="str">
        <f t="shared" si="67"/>
        <v/>
      </c>
      <c r="N74" s="158" t="s">
        <v>283</v>
      </c>
    </row>
    <row r="75" spans="1:14" x14ac:dyDescent="0.35">
      <c r="C75"/>
      <c r="N75" s="159"/>
    </row>
    <row r="76" spans="1:14" x14ac:dyDescent="0.35">
      <c r="A76" s="132" t="str">
        <f>IF(A$7="","[Unused]",A7)</f>
        <v>Mexico</v>
      </c>
      <c r="B76" s="110"/>
      <c r="C76" s="110"/>
      <c r="D76" s="110"/>
      <c r="E76" s="110"/>
      <c r="F76" s="110"/>
      <c r="G76" s="110"/>
      <c r="H76" s="110"/>
      <c r="I76" s="110"/>
      <c r="J76" s="110"/>
      <c r="K76" s="110"/>
      <c r="L76" s="110"/>
      <c r="M76" s="111" t="s">
        <v>79</v>
      </c>
      <c r="N76" s="155" t="s">
        <v>278</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1" t="s">
        <v>279</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2" t="s">
        <v>280</v>
      </c>
    </row>
    <row r="79" spans="1:14" x14ac:dyDescent="0.35">
      <c r="A79" s="145" t="str">
        <f>IF(A78="","",$A$63)</f>
        <v xml:space="preserve">   Net trade volume all participants (should be zero)</v>
      </c>
      <c r="C79" s="48" t="str">
        <f t="shared" ref="C79:M79" si="68">IF(OR(C$28="",$A79=""),"",C$116)</f>
        <v/>
      </c>
      <c r="D79" s="48" t="str">
        <f t="shared" si="68"/>
        <v/>
      </c>
      <c r="E79" s="48" t="str">
        <f t="shared" si="68"/>
        <v/>
      </c>
      <c r="F79" s="48" t="str">
        <f t="shared" si="68"/>
        <v/>
      </c>
      <c r="G79" s="48" t="str">
        <f t="shared" si="68"/>
        <v/>
      </c>
      <c r="H79" s="48" t="str">
        <f t="shared" si="68"/>
        <v/>
      </c>
      <c r="I79" s="48" t="str">
        <f t="shared" si="68"/>
        <v/>
      </c>
      <c r="J79" s="48" t="str">
        <f t="shared" si="68"/>
        <v/>
      </c>
      <c r="K79" s="48" t="str">
        <f t="shared" si="68"/>
        <v/>
      </c>
      <c r="L79" s="48" t="str">
        <f t="shared" si="68"/>
        <v/>
      </c>
      <c r="M79" t="str">
        <f t="shared" si="68"/>
        <v/>
      </c>
      <c r="N79" s="178" t="s">
        <v>281</v>
      </c>
    </row>
    <row r="80" spans="1:14" x14ac:dyDescent="0.35">
      <c r="A80" s="1" t="str">
        <f>IF(A78="","","   Available Water [maf]")</f>
        <v xml:space="preserve">   Available Water [maf]</v>
      </c>
      <c r="C80" s="13" t="str">
        <f>IF(OR(C$28="",$A80=""),"",C35+C53-C45+C77)</f>
        <v/>
      </c>
      <c r="D80" s="13" t="str">
        <f t="shared" ref="D80:L80" si="69">IF(OR(D$28="",$A80=""),"",D35+D53-D45+D77)</f>
        <v/>
      </c>
      <c r="E80" s="13" t="str">
        <f t="shared" si="69"/>
        <v/>
      </c>
      <c r="F80" s="13" t="str">
        <f t="shared" si="69"/>
        <v/>
      </c>
      <c r="G80" s="13" t="str">
        <f t="shared" si="69"/>
        <v/>
      </c>
      <c r="H80" s="13" t="str">
        <f t="shared" si="69"/>
        <v/>
      </c>
      <c r="I80" s="13" t="str">
        <f t="shared" si="69"/>
        <v/>
      </c>
      <c r="J80" s="13" t="str">
        <f t="shared" si="69"/>
        <v/>
      </c>
      <c r="K80" s="13" t="str">
        <f t="shared" si="69"/>
        <v/>
      </c>
      <c r="L80" s="13" t="str">
        <f t="shared" si="69"/>
        <v/>
      </c>
      <c r="N80" s="158" t="s">
        <v>282</v>
      </c>
    </row>
    <row r="81" spans="1:14" x14ac:dyDescent="0.35">
      <c r="A81" s="138" t="str">
        <f>IF(A80="","",$A$65)</f>
        <v xml:space="preserve">   Enter withdraw [maf] within available water</v>
      </c>
      <c r="C81" s="104" t="str">
        <f>IF(C28&lt;&gt;"",MIN(C49,C80-0.001),"")</f>
        <v/>
      </c>
      <c r="D81" s="104" t="str">
        <f t="shared" ref="D81:G81" si="70">IF(D28&lt;&gt;"",MIN(D49,D80-0.001),"")</f>
        <v/>
      </c>
      <c r="E81" s="104" t="str">
        <f t="shared" si="70"/>
        <v/>
      </c>
      <c r="F81" s="104" t="str">
        <f t="shared" si="70"/>
        <v/>
      </c>
      <c r="G81" s="104" t="str">
        <f t="shared" si="70"/>
        <v/>
      </c>
      <c r="H81" s="104"/>
      <c r="I81" s="104"/>
      <c r="J81" s="104"/>
      <c r="K81" s="104"/>
      <c r="L81" s="104"/>
      <c r="N81" s="158" t="s">
        <v>295</v>
      </c>
    </row>
    <row r="82" spans="1:14" x14ac:dyDescent="0.35">
      <c r="A82" s="21" t="str">
        <f>IF(A81="","","   End of Year Balance [maf]")</f>
        <v xml:space="preserve">   End of Year Balance [maf]</v>
      </c>
      <c r="C82" s="47" t="str">
        <f>IF(OR(C$28="",$A82=""),"",C80-C81)</f>
        <v/>
      </c>
      <c r="D82" s="47" t="str">
        <f t="shared" ref="D82:L82" si="71">IF(OR(D$28="",$A82=""),"",D80-D81)</f>
        <v/>
      </c>
      <c r="E82" s="47" t="str">
        <f t="shared" si="71"/>
        <v/>
      </c>
      <c r="F82" s="47" t="str">
        <f t="shared" si="71"/>
        <v/>
      </c>
      <c r="G82" s="47" t="str">
        <f t="shared" si="71"/>
        <v/>
      </c>
      <c r="H82" s="47" t="str">
        <f t="shared" si="71"/>
        <v/>
      </c>
      <c r="I82" s="47" t="str">
        <f t="shared" si="71"/>
        <v/>
      </c>
      <c r="J82" s="47" t="str">
        <f t="shared" si="71"/>
        <v/>
      </c>
      <c r="K82" s="47" t="str">
        <f t="shared" si="71"/>
        <v/>
      </c>
      <c r="L82" s="47" t="str">
        <f t="shared" si="71"/>
        <v/>
      </c>
      <c r="N82" s="158" t="s">
        <v>283</v>
      </c>
    </row>
    <row r="83" spans="1:14" x14ac:dyDescent="0.35">
      <c r="C83"/>
      <c r="N83" s="159"/>
    </row>
    <row r="84" spans="1:14" x14ac:dyDescent="0.35">
      <c r="A84" s="132" t="str">
        <f>IF(A$8="","[Unused]",A8)</f>
        <v>Colorado River Delta</v>
      </c>
      <c r="B84" s="110"/>
      <c r="C84" s="110"/>
      <c r="D84" s="110"/>
      <c r="E84" s="110"/>
      <c r="F84" s="110"/>
      <c r="G84" s="110"/>
      <c r="H84" s="110"/>
      <c r="I84" s="110"/>
      <c r="J84" s="110"/>
      <c r="K84" s="110"/>
      <c r="L84" s="110"/>
      <c r="M84" s="111" t="s">
        <v>79</v>
      </c>
      <c r="N84" s="155" t="s">
        <v>278</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1" t="s">
        <v>279</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2" t="s">
        <v>280</v>
      </c>
    </row>
    <row r="87" spans="1:14" x14ac:dyDescent="0.35">
      <c r="A87" s="145" t="str">
        <f>IF(A86="","",$A$63)</f>
        <v xml:space="preserve">   Net trade volume all participants (should be zero)</v>
      </c>
      <c r="C87" s="48" t="str">
        <f t="shared" ref="C87:M87" si="72">IF(OR(C$28="",$A87=""),"",C$116)</f>
        <v/>
      </c>
      <c r="D87" s="48" t="str">
        <f t="shared" si="72"/>
        <v/>
      </c>
      <c r="E87" s="48" t="str">
        <f t="shared" si="72"/>
        <v/>
      </c>
      <c r="F87" s="48" t="str">
        <f t="shared" si="72"/>
        <v/>
      </c>
      <c r="G87" s="48" t="str">
        <f t="shared" si="72"/>
        <v/>
      </c>
      <c r="H87" s="48" t="str">
        <f t="shared" si="72"/>
        <v/>
      </c>
      <c r="I87" s="48" t="str">
        <f t="shared" si="72"/>
        <v/>
      </c>
      <c r="J87" s="48" t="str">
        <f t="shared" si="72"/>
        <v/>
      </c>
      <c r="K87" s="48" t="str">
        <f t="shared" si="72"/>
        <v/>
      </c>
      <c r="L87" s="48" t="str">
        <f t="shared" si="72"/>
        <v/>
      </c>
      <c r="M87" t="str">
        <f t="shared" si="72"/>
        <v/>
      </c>
      <c r="N87" s="178" t="s">
        <v>281</v>
      </c>
    </row>
    <row r="88" spans="1:14" x14ac:dyDescent="0.35">
      <c r="A88" s="1" t="str">
        <f>IF(A86="","","   Available Water [maf]")</f>
        <v xml:space="preserve">   Available Water [maf]</v>
      </c>
      <c r="C88" s="130" t="str">
        <f>IF(OR(C$28="",$A88=""),"",C36+C54-C46+C85)</f>
        <v/>
      </c>
      <c r="D88" s="130" t="str">
        <f t="shared" ref="D88:L88" si="73">IF(OR(D$28="",$A88=""),"",D36+D54-D46+D85)</f>
        <v/>
      </c>
      <c r="E88" s="130" t="str">
        <f t="shared" si="73"/>
        <v/>
      </c>
      <c r="F88" s="130" t="str">
        <f t="shared" si="73"/>
        <v/>
      </c>
      <c r="G88" s="130" t="str">
        <f t="shared" si="73"/>
        <v/>
      </c>
      <c r="H88" s="130" t="str">
        <f t="shared" si="73"/>
        <v/>
      </c>
      <c r="I88" s="130" t="str">
        <f t="shared" si="73"/>
        <v/>
      </c>
      <c r="J88" s="130" t="str">
        <f t="shared" si="73"/>
        <v/>
      </c>
      <c r="K88" s="130" t="str">
        <f t="shared" si="73"/>
        <v/>
      </c>
      <c r="L88" s="130" t="str">
        <f t="shared" si="73"/>
        <v/>
      </c>
      <c r="N88" s="158" t="s">
        <v>282</v>
      </c>
    </row>
    <row r="89" spans="1:14" x14ac:dyDescent="0.35">
      <c r="A89" s="138" t="str">
        <f>IF(A88="","",$A$65)</f>
        <v xml:space="preserve">   Enter withdraw [maf] within available water</v>
      </c>
      <c r="C89" s="131"/>
      <c r="D89" s="131"/>
      <c r="E89" s="131"/>
      <c r="F89" s="131"/>
      <c r="G89" s="131"/>
      <c r="H89" s="131"/>
      <c r="I89" s="131"/>
      <c r="J89" s="131"/>
      <c r="K89" s="131"/>
      <c r="L89" s="131"/>
      <c r="N89" s="158" t="s">
        <v>295</v>
      </c>
    </row>
    <row r="90" spans="1:14" x14ac:dyDescent="0.35">
      <c r="A90" s="21" t="str">
        <f>IF(A89="","","   End of Year Balance [maf]")</f>
        <v xml:space="preserve">   End of Year Balance [maf]</v>
      </c>
      <c r="C90" s="47" t="str">
        <f>IF(OR(C$28="",$A90=""),"",C88-C89)</f>
        <v/>
      </c>
      <c r="D90" s="47" t="str">
        <f t="shared" ref="D90:L90" si="74">IF(OR(D$28="",$A90=""),"",D88-D89)</f>
        <v/>
      </c>
      <c r="E90" s="47" t="str">
        <f t="shared" si="74"/>
        <v/>
      </c>
      <c r="F90" s="47" t="str">
        <f t="shared" si="74"/>
        <v/>
      </c>
      <c r="G90" s="47" t="str">
        <f t="shared" si="74"/>
        <v/>
      </c>
      <c r="H90" s="47" t="str">
        <f t="shared" si="74"/>
        <v/>
      </c>
      <c r="I90" s="47" t="str">
        <f t="shared" si="74"/>
        <v/>
      </c>
      <c r="J90" s="47" t="str">
        <f t="shared" si="74"/>
        <v/>
      </c>
      <c r="K90" s="47" t="str">
        <f t="shared" si="74"/>
        <v/>
      </c>
      <c r="L90" s="47" t="str">
        <f t="shared" si="74"/>
        <v/>
      </c>
      <c r="N90" s="158" t="s">
        <v>283</v>
      </c>
    </row>
    <row r="91" spans="1:14" x14ac:dyDescent="0.35">
      <c r="C91"/>
      <c r="N91" s="159"/>
    </row>
    <row r="92" spans="1:14" x14ac:dyDescent="0.35">
      <c r="A92" s="132" t="str">
        <f>IF(A$9="","[Unused]",A9)</f>
        <v>[Unused]</v>
      </c>
      <c r="B92" s="110"/>
      <c r="C92" s="110"/>
      <c r="D92" s="110"/>
      <c r="E92" s="110"/>
      <c r="F92" s="110"/>
      <c r="G92" s="110"/>
      <c r="H92" s="110"/>
      <c r="I92" s="110"/>
      <c r="J92" s="110"/>
      <c r="K92" s="110"/>
      <c r="L92" s="110"/>
      <c r="M92" s="111" t="s">
        <v>79</v>
      </c>
      <c r="N92" s="155" t="s">
        <v>278</v>
      </c>
    </row>
    <row r="93" spans="1:14" x14ac:dyDescent="0.35">
      <c r="A93" s="21" t="str">
        <f>IF(A92="[Unused]","",$A$61)</f>
        <v/>
      </c>
      <c r="C93" s="102"/>
      <c r="D93" s="102"/>
      <c r="E93" s="102"/>
      <c r="F93" s="102"/>
      <c r="G93" s="102"/>
      <c r="H93" s="102"/>
      <c r="I93" s="102"/>
      <c r="J93" s="102"/>
      <c r="K93" s="102"/>
      <c r="L93" s="102"/>
      <c r="M93" s="48">
        <f>SUM(C93:L93)</f>
        <v>0</v>
      </c>
      <c r="N93" s="161" t="s">
        <v>279</v>
      </c>
    </row>
    <row r="94" spans="1:14" x14ac:dyDescent="0.35">
      <c r="A94" s="21" t="str">
        <f>IF(A93="","",$A$62)</f>
        <v/>
      </c>
      <c r="C94" s="103"/>
      <c r="D94" s="103"/>
      <c r="E94" s="103"/>
      <c r="F94" s="103"/>
      <c r="G94" s="103"/>
      <c r="H94" s="103"/>
      <c r="I94" s="103"/>
      <c r="J94" s="103"/>
      <c r="K94" s="103"/>
      <c r="L94" s="103"/>
      <c r="M94" s="46">
        <f>SUM(C94:L94)</f>
        <v>0</v>
      </c>
      <c r="N94" s="162" t="s">
        <v>280</v>
      </c>
    </row>
    <row r="95" spans="1:14" x14ac:dyDescent="0.35">
      <c r="A95" s="145" t="str">
        <f>IF(A94="","",$A$63)</f>
        <v/>
      </c>
      <c r="C95" s="48" t="str">
        <f t="shared" ref="C95:M95" si="75">IF(OR(C$28="",$A95=""),"",C$116)</f>
        <v/>
      </c>
      <c r="D95" s="48" t="str">
        <f t="shared" si="75"/>
        <v/>
      </c>
      <c r="E95" s="48" t="str">
        <f t="shared" si="75"/>
        <v/>
      </c>
      <c r="F95" s="48" t="str">
        <f t="shared" si="75"/>
        <v/>
      </c>
      <c r="G95" s="48" t="str">
        <f t="shared" si="75"/>
        <v/>
      </c>
      <c r="H95" s="48" t="str">
        <f t="shared" si="75"/>
        <v/>
      </c>
      <c r="I95" s="48" t="str">
        <f t="shared" si="75"/>
        <v/>
      </c>
      <c r="J95" s="48" t="str">
        <f t="shared" si="75"/>
        <v/>
      </c>
      <c r="K95" s="48" t="str">
        <f t="shared" si="75"/>
        <v/>
      </c>
      <c r="L95" s="48" t="str">
        <f t="shared" si="75"/>
        <v/>
      </c>
      <c r="M95" t="str">
        <f t="shared" si="75"/>
        <v/>
      </c>
      <c r="N95" s="178" t="s">
        <v>281</v>
      </c>
    </row>
    <row r="96" spans="1:14" x14ac:dyDescent="0.35">
      <c r="A96" s="1" t="str">
        <f>IF(A94="","","   Available Water [maf]")</f>
        <v/>
      </c>
      <c r="C96" s="13" t="str">
        <f>IF(OR(C$28="",$A96=""),"",C37+C55-C47+C93)</f>
        <v/>
      </c>
      <c r="D96" s="13" t="str">
        <f t="shared" ref="D96:L96" si="76">IF(OR(D$28="",$A96=""),"",D37+D55-D47+D93)</f>
        <v/>
      </c>
      <c r="E96" s="13" t="str">
        <f t="shared" si="76"/>
        <v/>
      </c>
      <c r="F96" s="13" t="str">
        <f t="shared" si="76"/>
        <v/>
      </c>
      <c r="G96" s="13" t="str">
        <f t="shared" si="76"/>
        <v/>
      </c>
      <c r="H96" s="13" t="str">
        <f t="shared" si="76"/>
        <v/>
      </c>
      <c r="I96" s="13" t="str">
        <f t="shared" si="76"/>
        <v/>
      </c>
      <c r="J96" s="13" t="str">
        <f t="shared" si="76"/>
        <v/>
      </c>
      <c r="K96" s="13" t="str">
        <f t="shared" si="76"/>
        <v/>
      </c>
      <c r="L96" s="13" t="str">
        <f t="shared" si="76"/>
        <v/>
      </c>
      <c r="N96" s="158" t="s">
        <v>282</v>
      </c>
    </row>
    <row r="97" spans="1:14" x14ac:dyDescent="0.35">
      <c r="A97" s="138" t="str">
        <f>IF(A96="","",$A$65)</f>
        <v/>
      </c>
      <c r="C97" s="104" t="str">
        <f>IF(OR(C$28="",$A97=""),"",C96-0.001)</f>
        <v/>
      </c>
      <c r="D97" s="104" t="str">
        <f t="shared" ref="D97:G97" si="77">IF(OR(D$28="",$A97=""),"",D96-0.001)</f>
        <v/>
      </c>
      <c r="E97" s="104" t="str">
        <f t="shared" si="77"/>
        <v/>
      </c>
      <c r="F97" s="104" t="str">
        <f t="shared" si="77"/>
        <v/>
      </c>
      <c r="G97" s="104" t="str">
        <f t="shared" si="77"/>
        <v/>
      </c>
      <c r="H97" s="104"/>
      <c r="I97" s="104"/>
      <c r="J97" s="104"/>
      <c r="K97" s="104"/>
      <c r="L97" s="104"/>
      <c r="N97" s="158" t="s">
        <v>295</v>
      </c>
    </row>
    <row r="98" spans="1:14" x14ac:dyDescent="0.35">
      <c r="A98" s="21" t="str">
        <f>IF(A97="","","   End of Year Balance [maf]")</f>
        <v/>
      </c>
      <c r="C98" s="47" t="str">
        <f>IF(OR(C$28="",$A98=""),"",C96-C97)</f>
        <v/>
      </c>
      <c r="D98" s="47" t="str">
        <f t="shared" ref="D98:L98" si="78">IF(OR(D$28="",$A98=""),"",D96-D97)</f>
        <v/>
      </c>
      <c r="E98" s="47" t="str">
        <f t="shared" si="78"/>
        <v/>
      </c>
      <c r="F98" s="47" t="str">
        <f t="shared" si="78"/>
        <v/>
      </c>
      <c r="G98" s="47" t="str">
        <f t="shared" si="78"/>
        <v/>
      </c>
      <c r="H98" s="47" t="str">
        <f t="shared" si="78"/>
        <v/>
      </c>
      <c r="I98" s="47" t="str">
        <f t="shared" si="78"/>
        <v/>
      </c>
      <c r="J98" s="47" t="str">
        <f t="shared" si="78"/>
        <v/>
      </c>
      <c r="K98" s="47" t="str">
        <f t="shared" si="78"/>
        <v/>
      </c>
      <c r="L98" s="47" t="str">
        <f t="shared" si="78"/>
        <v/>
      </c>
      <c r="N98" s="158" t="s">
        <v>283</v>
      </c>
    </row>
    <row r="99" spans="1:14" x14ac:dyDescent="0.35">
      <c r="C99"/>
      <c r="N99" s="159"/>
    </row>
    <row r="100" spans="1:14" x14ac:dyDescent="0.35">
      <c r="A100" s="132" t="str">
        <f>IF(A$10="","[Unused]",A10)</f>
        <v>Shared, Reserve</v>
      </c>
      <c r="B100" s="110"/>
      <c r="C100" s="110"/>
      <c r="D100" s="110"/>
      <c r="E100" s="110"/>
      <c r="F100" s="110"/>
      <c r="G100" s="110"/>
      <c r="H100" s="110"/>
      <c r="I100" s="110"/>
      <c r="J100" s="110"/>
      <c r="K100" s="110"/>
      <c r="L100" s="110"/>
      <c r="M100" s="111" t="s">
        <v>79</v>
      </c>
      <c r="N100" s="158" t="s">
        <v>293</v>
      </c>
    </row>
    <row r="101" spans="1:14" x14ac:dyDescent="0.35">
      <c r="A101" s="139" t="str">
        <f>IF(A100="[Unused]","",$A$61)</f>
        <v xml:space="preserve">   Enter volume to Buy(+) or Sell(-) [maf]</v>
      </c>
      <c r="C101" s="29" t="str">
        <f>IF(OR(C$28="",$A101=""),"",-C61-C69)</f>
        <v/>
      </c>
      <c r="D101" s="29" t="str">
        <f t="shared" ref="D101:L101" si="79">IF(OR(D$28="",$A101=""),"",-D61-D69)</f>
        <v/>
      </c>
      <c r="E101" s="29" t="str">
        <f t="shared" si="79"/>
        <v/>
      </c>
      <c r="F101" s="29" t="str">
        <f t="shared" si="79"/>
        <v/>
      </c>
      <c r="G101" s="29" t="str">
        <f t="shared" si="79"/>
        <v/>
      </c>
      <c r="H101" s="29" t="str">
        <f t="shared" si="79"/>
        <v/>
      </c>
      <c r="I101" s="29" t="str">
        <f t="shared" si="79"/>
        <v/>
      </c>
      <c r="J101" s="29" t="str">
        <f t="shared" si="79"/>
        <v/>
      </c>
      <c r="K101" s="29" t="str">
        <f t="shared" si="79"/>
        <v/>
      </c>
      <c r="L101" s="29" t="str">
        <f t="shared" si="79"/>
        <v/>
      </c>
      <c r="M101" s="48">
        <f>SUM(C101:L101)</f>
        <v>0</v>
      </c>
      <c r="N101" s="163"/>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4"/>
    </row>
    <row r="103" spans="1:14" x14ac:dyDescent="0.35">
      <c r="A103" s="145" t="str">
        <f>IF(A102="","",$A$63)</f>
        <v xml:space="preserve">   Net trade volume all participants (should be zero)</v>
      </c>
      <c r="C103" s="48" t="str">
        <f t="shared" ref="C103:M103" si="80">IF(OR(C$28="",$A103=""),"",C$116)</f>
        <v/>
      </c>
      <c r="D103" s="48" t="str">
        <f t="shared" si="80"/>
        <v/>
      </c>
      <c r="E103" s="48" t="str">
        <f t="shared" si="80"/>
        <v/>
      </c>
      <c r="F103" s="48" t="str">
        <f t="shared" si="80"/>
        <v/>
      </c>
      <c r="G103" s="48" t="str">
        <f t="shared" si="80"/>
        <v/>
      </c>
      <c r="H103" s="48" t="str">
        <f t="shared" si="80"/>
        <v/>
      </c>
      <c r="I103" s="48" t="str">
        <f t="shared" si="80"/>
        <v/>
      </c>
      <c r="J103" s="48" t="str">
        <f t="shared" si="80"/>
        <v/>
      </c>
      <c r="K103" s="48" t="str">
        <f t="shared" si="80"/>
        <v/>
      </c>
      <c r="L103" s="48" t="str">
        <f t="shared" si="80"/>
        <v/>
      </c>
      <c r="M103" t="str">
        <f t="shared" si="80"/>
        <v/>
      </c>
      <c r="N103" s="159"/>
    </row>
    <row r="104" spans="1:14" x14ac:dyDescent="0.35">
      <c r="A104" s="1" t="str">
        <f>IF(A102="","","   Available Water [maf]")</f>
        <v xml:space="preserve">   Available Water [maf]</v>
      </c>
      <c r="C104" s="13" t="str">
        <f>IF(OR(C$28="",$A104=""),"",C38+C56-C48+C101)</f>
        <v/>
      </c>
      <c r="D104" s="13" t="str">
        <f t="shared" ref="D104:L104" si="81">IF(OR(D$28="",$A104=""),"",D38+D56-D48+D101)</f>
        <v/>
      </c>
      <c r="E104" s="13" t="str">
        <f t="shared" si="81"/>
        <v/>
      </c>
      <c r="F104" s="13" t="str">
        <f t="shared" si="81"/>
        <v/>
      </c>
      <c r="G104" s="13" t="str">
        <f t="shared" si="81"/>
        <v/>
      </c>
      <c r="H104" s="13" t="str">
        <f t="shared" si="81"/>
        <v/>
      </c>
      <c r="I104" s="13" t="str">
        <f t="shared" si="81"/>
        <v/>
      </c>
      <c r="J104" s="13" t="str">
        <f t="shared" si="81"/>
        <v/>
      </c>
      <c r="K104" s="13" t="str">
        <f t="shared" si="81"/>
        <v/>
      </c>
      <c r="L104" s="13" t="str">
        <f t="shared" si="81"/>
        <v/>
      </c>
      <c r="N104" s="159"/>
    </row>
    <row r="105" spans="1:14" x14ac:dyDescent="0.35">
      <c r="A105" s="138" t="str">
        <f>IF(A104="","",$A$65)</f>
        <v xml:space="preserve">   Enter withdraw [maf] within available water</v>
      </c>
      <c r="C105" s="29"/>
      <c r="D105" s="29"/>
      <c r="E105" s="29"/>
      <c r="F105" s="29"/>
      <c r="G105" s="29"/>
      <c r="H105" s="29"/>
      <c r="I105" s="29"/>
      <c r="J105" s="29"/>
      <c r="K105" s="29"/>
      <c r="L105" s="29"/>
      <c r="N105" s="159"/>
    </row>
    <row r="106" spans="1:14" x14ac:dyDescent="0.35">
      <c r="A106" s="21" t="str">
        <f>IF(A105="","","   End of Year Balance [maf]")</f>
        <v xml:space="preserve">   End of Year Balance [maf]</v>
      </c>
      <c r="C106" s="47" t="str">
        <f>IF(OR(C$28="",$A106=""),"",C104-C105)</f>
        <v/>
      </c>
      <c r="D106" s="47" t="str">
        <f t="shared" ref="D106:L106" si="82">IF(OR(D$28="",$A106=""),"",D104-D105)</f>
        <v/>
      </c>
      <c r="E106" s="47" t="str">
        <f t="shared" si="82"/>
        <v/>
      </c>
      <c r="F106" s="47" t="str">
        <f t="shared" si="82"/>
        <v/>
      </c>
      <c r="G106" s="47" t="str">
        <f t="shared" si="82"/>
        <v/>
      </c>
      <c r="H106" s="47" t="str">
        <f t="shared" si="82"/>
        <v/>
      </c>
      <c r="I106" s="47" t="str">
        <f t="shared" si="82"/>
        <v/>
      </c>
      <c r="J106" s="47" t="str">
        <f t="shared" si="82"/>
        <v/>
      </c>
      <c r="K106" s="47" t="str">
        <f t="shared" si="82"/>
        <v/>
      </c>
      <c r="L106" s="47" t="str">
        <f t="shared" si="82"/>
        <v/>
      </c>
      <c r="N106" s="159"/>
    </row>
    <row r="107" spans="1:14" x14ac:dyDescent="0.35">
      <c r="C107"/>
      <c r="N107" s="159"/>
    </row>
    <row r="108" spans="1:14" x14ac:dyDescent="0.35">
      <c r="A108" s="112" t="s">
        <v>385</v>
      </c>
      <c r="B108" s="112"/>
      <c r="C108" s="112"/>
      <c r="D108" s="112"/>
      <c r="E108" s="112"/>
      <c r="F108" s="112"/>
      <c r="G108" s="112"/>
      <c r="H108" s="112"/>
      <c r="I108" s="112"/>
      <c r="J108" s="112"/>
      <c r="K108" s="112"/>
      <c r="L108" s="112"/>
      <c r="M108" s="112"/>
      <c r="N108" s="178" t="s">
        <v>284</v>
      </c>
    </row>
    <row r="109" spans="1:14" x14ac:dyDescent="0.35">
      <c r="A109" s="1" t="s">
        <v>218</v>
      </c>
      <c r="C109"/>
      <c r="M109" t="s">
        <v>114</v>
      </c>
      <c r="N109" s="159"/>
    </row>
    <row r="110" spans="1:14" x14ac:dyDescent="0.35">
      <c r="A110" t="str">
        <f t="shared" ref="A110:A115" si="83">IF(A5="","","    "&amp;A5)</f>
        <v xml:space="preserve">    Upper Basin</v>
      </c>
      <c r="B110" s="1"/>
      <c r="C110" s="48" t="str">
        <f t="shared" ref="C110:L115" ca="1" si="84">IF(OR(C$28="",$A110=""),"",OFFSET(C$61,8*(ROW(B110)-ROW(B$110)),0))</f>
        <v/>
      </c>
      <c r="D110" s="48" t="str">
        <f t="shared" ca="1" si="84"/>
        <v/>
      </c>
      <c r="E110" s="48" t="str">
        <f t="shared" ca="1" si="84"/>
        <v/>
      </c>
      <c r="F110" s="48" t="str">
        <f t="shared" ca="1" si="84"/>
        <v/>
      </c>
      <c r="G110" s="48" t="str">
        <f t="shared" ca="1" si="84"/>
        <v/>
      </c>
      <c r="H110" s="48" t="str">
        <f t="shared" ca="1" si="84"/>
        <v/>
      </c>
      <c r="I110" s="48" t="str">
        <f t="shared" ca="1" si="84"/>
        <v/>
      </c>
      <c r="J110" s="48" t="str">
        <f t="shared" ca="1" si="84"/>
        <v/>
      </c>
      <c r="K110" s="48" t="str">
        <f t="shared" ca="1" si="84"/>
        <v/>
      </c>
      <c r="L110" s="149" t="str">
        <f t="shared" ca="1" si="84"/>
        <v/>
      </c>
      <c r="M110" s="150">
        <f ca="1">IF(OR($A110=""),"",SUM(C110:L110))</f>
        <v>0</v>
      </c>
      <c r="N110" s="163"/>
    </row>
    <row r="111" spans="1:14" x14ac:dyDescent="0.35">
      <c r="A111" t="str">
        <f t="shared" si="83"/>
        <v xml:space="preserve">    Lower Basin</v>
      </c>
      <c r="B111" s="1"/>
      <c r="C111" s="48" t="str">
        <f t="shared" ca="1" si="84"/>
        <v/>
      </c>
      <c r="D111" s="48" t="str">
        <f t="shared" ca="1" si="84"/>
        <v/>
      </c>
      <c r="E111" s="48" t="str">
        <f t="shared" ca="1" si="84"/>
        <v/>
      </c>
      <c r="F111" s="48" t="str">
        <f t="shared" ca="1" si="84"/>
        <v/>
      </c>
      <c r="G111" s="48" t="str">
        <f t="shared" ca="1" si="84"/>
        <v/>
      </c>
      <c r="H111" s="48" t="str">
        <f t="shared" ca="1" si="84"/>
        <v/>
      </c>
      <c r="I111" s="48" t="str">
        <f t="shared" ca="1" si="84"/>
        <v/>
      </c>
      <c r="J111" s="48" t="str">
        <f t="shared" ca="1" si="84"/>
        <v/>
      </c>
      <c r="K111" s="48" t="str">
        <f t="shared" ca="1" si="84"/>
        <v/>
      </c>
      <c r="L111" s="149" t="str">
        <f t="shared" ca="1" si="84"/>
        <v/>
      </c>
      <c r="M111" s="150">
        <f t="shared" ref="M111:M115" ca="1" si="85">IF(OR($A111=""),"",SUM(C111:L111))</f>
        <v>0</v>
      </c>
      <c r="N111" s="163"/>
    </row>
    <row r="112" spans="1:14" x14ac:dyDescent="0.35">
      <c r="A112" t="str">
        <f t="shared" si="83"/>
        <v xml:space="preserve">    Mexico</v>
      </c>
      <c r="B112" s="1"/>
      <c r="C112" s="48" t="str">
        <f t="shared" ca="1" si="84"/>
        <v/>
      </c>
      <c r="D112" s="48" t="str">
        <f t="shared" ca="1" si="84"/>
        <v/>
      </c>
      <c r="E112" s="48" t="str">
        <f t="shared" ca="1" si="84"/>
        <v/>
      </c>
      <c r="F112" s="48" t="str">
        <f t="shared" ca="1" si="84"/>
        <v/>
      </c>
      <c r="G112" s="48" t="str">
        <f t="shared" ca="1" si="84"/>
        <v/>
      </c>
      <c r="H112" s="48" t="str">
        <f t="shared" ca="1" si="84"/>
        <v/>
      </c>
      <c r="I112" s="48" t="str">
        <f t="shared" ca="1" si="84"/>
        <v/>
      </c>
      <c r="J112" s="48" t="str">
        <f t="shared" ca="1" si="84"/>
        <v/>
      </c>
      <c r="K112" s="48" t="str">
        <f t="shared" ca="1" si="84"/>
        <v/>
      </c>
      <c r="L112" s="149" t="str">
        <f t="shared" ca="1" si="84"/>
        <v/>
      </c>
      <c r="M112" s="150">
        <f t="shared" ca="1" si="85"/>
        <v>0</v>
      </c>
      <c r="N112" s="163"/>
    </row>
    <row r="113" spans="1:14" x14ac:dyDescent="0.35">
      <c r="A113" t="str">
        <f t="shared" si="83"/>
        <v xml:space="preserve">    Colorado River Delta</v>
      </c>
      <c r="B113" s="1"/>
      <c r="C113" s="48" t="str">
        <f t="shared" ca="1" si="84"/>
        <v/>
      </c>
      <c r="D113" s="48" t="str">
        <f t="shared" ca="1" si="84"/>
        <v/>
      </c>
      <c r="E113" s="48" t="str">
        <f t="shared" ca="1" si="84"/>
        <v/>
      </c>
      <c r="F113" s="48" t="str">
        <f t="shared" ca="1" si="84"/>
        <v/>
      </c>
      <c r="G113" s="48" t="str">
        <f t="shared" ca="1" si="84"/>
        <v/>
      </c>
      <c r="H113" s="48" t="str">
        <f t="shared" ca="1" si="84"/>
        <v/>
      </c>
      <c r="I113" s="48" t="str">
        <f t="shared" ca="1" si="84"/>
        <v/>
      </c>
      <c r="J113" s="48" t="str">
        <f t="shared" ca="1" si="84"/>
        <v/>
      </c>
      <c r="K113" s="48" t="str">
        <f t="shared" ca="1" si="84"/>
        <v/>
      </c>
      <c r="L113" s="149" t="str">
        <f t="shared" ca="1" si="84"/>
        <v/>
      </c>
      <c r="M113" s="150">
        <f t="shared" ca="1" si="85"/>
        <v>0</v>
      </c>
      <c r="N113" s="163"/>
    </row>
    <row r="114" spans="1:14" x14ac:dyDescent="0.35">
      <c r="A114" t="str">
        <f t="shared" si="83"/>
        <v/>
      </c>
      <c r="B114" s="1"/>
      <c r="C114" s="48" t="str">
        <f t="shared" ca="1" si="84"/>
        <v/>
      </c>
      <c r="D114" s="48" t="str">
        <f t="shared" ca="1" si="84"/>
        <v/>
      </c>
      <c r="E114" s="48" t="str">
        <f t="shared" ca="1" si="84"/>
        <v/>
      </c>
      <c r="F114" s="48" t="str">
        <f t="shared" ca="1" si="84"/>
        <v/>
      </c>
      <c r="G114" s="48" t="str">
        <f t="shared" ca="1" si="84"/>
        <v/>
      </c>
      <c r="H114" s="48" t="str">
        <f t="shared" ca="1" si="84"/>
        <v/>
      </c>
      <c r="I114" s="48" t="str">
        <f t="shared" ca="1" si="84"/>
        <v/>
      </c>
      <c r="J114" s="48" t="str">
        <f t="shared" ca="1" si="84"/>
        <v/>
      </c>
      <c r="K114" s="48" t="str">
        <f t="shared" ca="1" si="84"/>
        <v/>
      </c>
      <c r="L114" s="149" t="str">
        <f t="shared" ca="1" si="84"/>
        <v/>
      </c>
      <c r="M114" s="150" t="str">
        <f t="shared" si="85"/>
        <v/>
      </c>
      <c r="N114" s="163"/>
    </row>
    <row r="115" spans="1:14" x14ac:dyDescent="0.35">
      <c r="A115" t="str">
        <f t="shared" si="83"/>
        <v xml:space="preserve">    Shared, Reserve</v>
      </c>
      <c r="B115" s="1"/>
      <c r="C115" s="48" t="str">
        <f t="shared" ca="1" si="84"/>
        <v/>
      </c>
      <c r="D115" s="48" t="str">
        <f t="shared" ca="1" si="84"/>
        <v/>
      </c>
      <c r="E115" s="48" t="str">
        <f t="shared" ca="1" si="84"/>
        <v/>
      </c>
      <c r="F115" s="48" t="str">
        <f t="shared" ca="1" si="84"/>
        <v/>
      </c>
      <c r="G115" s="48" t="str">
        <f t="shared" ca="1" si="84"/>
        <v/>
      </c>
      <c r="H115" s="48" t="str">
        <f t="shared" ca="1" si="84"/>
        <v/>
      </c>
      <c r="I115" s="48" t="str">
        <f t="shared" ca="1" si="84"/>
        <v/>
      </c>
      <c r="J115" s="48" t="str">
        <f t="shared" ca="1" si="84"/>
        <v/>
      </c>
      <c r="K115" s="48" t="str">
        <f t="shared" ca="1" si="84"/>
        <v/>
      </c>
      <c r="L115" s="149" t="str">
        <f t="shared" ca="1" si="84"/>
        <v/>
      </c>
      <c r="M115" s="150">
        <f t="shared" ca="1" si="85"/>
        <v>0</v>
      </c>
      <c r="N115" s="163"/>
    </row>
    <row r="116" spans="1:14" x14ac:dyDescent="0.35">
      <c r="A116" t="s">
        <v>93</v>
      </c>
      <c r="B116" s="1"/>
      <c r="C116" s="35" t="str">
        <f>IF(C$28&lt;&gt;"",SUM(C110:C115),"")</f>
        <v/>
      </c>
      <c r="D116" s="35" t="str">
        <f t="shared" ref="D116:L116" si="86">IF(D$28&lt;&gt;"",SUM(D110:D115),"")</f>
        <v/>
      </c>
      <c r="E116" s="92" t="str">
        <f t="shared" si="86"/>
        <v/>
      </c>
      <c r="F116" s="35" t="str">
        <f t="shared" si="86"/>
        <v/>
      </c>
      <c r="G116" s="35" t="str">
        <f t="shared" si="86"/>
        <v/>
      </c>
      <c r="H116" s="35" t="str">
        <f t="shared" si="86"/>
        <v/>
      </c>
      <c r="I116" s="35" t="str">
        <f t="shared" si="86"/>
        <v/>
      </c>
      <c r="J116" s="35" t="str">
        <f t="shared" si="86"/>
        <v/>
      </c>
      <c r="K116" s="35" t="str">
        <f t="shared" si="86"/>
        <v/>
      </c>
      <c r="L116" s="35" t="str">
        <f t="shared" si="86"/>
        <v/>
      </c>
      <c r="M116" s="22"/>
      <c r="N116" s="165"/>
    </row>
    <row r="117" spans="1:14" x14ac:dyDescent="0.35">
      <c r="A117" s="1" t="s">
        <v>219</v>
      </c>
      <c r="B117" s="1"/>
      <c r="C117" s="37"/>
      <c r="D117" s="2"/>
      <c r="E117" s="37"/>
      <c r="F117" s="2"/>
      <c r="G117" s="2"/>
      <c r="H117" s="2"/>
      <c r="I117" s="2"/>
      <c r="J117" s="2"/>
      <c r="K117" s="2"/>
      <c r="L117" s="2"/>
      <c r="N117" s="159"/>
    </row>
    <row r="118" spans="1:14" x14ac:dyDescent="0.35">
      <c r="A118" t="str">
        <f>IF(A5="","","    "&amp;A5&amp;" - Consumptive Use and Headwaters Losses")</f>
        <v xml:space="preserve">    Upper Basin - Consumptive Use and Headwaters Losses</v>
      </c>
      <c r="C118" s="48" t="str">
        <f t="shared" ref="C118:L123" ca="1" si="87">IF(OR(C$28="",$A118=""),"",OFFSET(C$65,8*(ROW(B118)-ROW(B$118)),0))</f>
        <v/>
      </c>
      <c r="D118" s="48" t="str">
        <f t="shared" ca="1" si="87"/>
        <v/>
      </c>
      <c r="E118" s="48" t="str">
        <f t="shared" ca="1" si="87"/>
        <v/>
      </c>
      <c r="F118" s="48" t="str">
        <f t="shared" ca="1" si="87"/>
        <v/>
      </c>
      <c r="G118" s="48" t="str">
        <f t="shared" ca="1" si="87"/>
        <v/>
      </c>
      <c r="H118" s="48" t="str">
        <f t="shared" ca="1" si="87"/>
        <v/>
      </c>
      <c r="I118" s="48" t="str">
        <f t="shared" ca="1" si="87"/>
        <v/>
      </c>
      <c r="J118" s="48" t="str">
        <f t="shared" ca="1" si="87"/>
        <v/>
      </c>
      <c r="K118" s="48" t="str">
        <f t="shared" ca="1" si="87"/>
        <v/>
      </c>
      <c r="L118" s="48" t="str">
        <f t="shared" ca="1" si="87"/>
        <v/>
      </c>
      <c r="N118" s="159"/>
    </row>
    <row r="119" spans="1:14" x14ac:dyDescent="0.35">
      <c r="A119" t="str">
        <f>IF(A6="","","    "&amp;A6&amp;" - Release from Mead")</f>
        <v xml:space="preserve">    Lower Basin - Release from Mead</v>
      </c>
      <c r="C119" s="48" t="str">
        <f t="shared" ca="1" si="87"/>
        <v/>
      </c>
      <c r="D119" s="48" t="str">
        <f t="shared" ca="1" si="87"/>
        <v/>
      </c>
      <c r="E119" s="48" t="str">
        <f t="shared" ca="1" si="87"/>
        <v/>
      </c>
      <c r="F119" s="48" t="str">
        <f t="shared" ca="1" si="87"/>
        <v/>
      </c>
      <c r="G119" s="48" t="str">
        <f t="shared" ca="1" si="87"/>
        <v/>
      </c>
      <c r="H119" s="48" t="str">
        <f t="shared" ca="1" si="87"/>
        <v/>
      </c>
      <c r="I119" s="48" t="str">
        <f t="shared" ca="1" si="87"/>
        <v/>
      </c>
      <c r="J119" s="48" t="str">
        <f t="shared" ca="1" si="87"/>
        <v/>
      </c>
      <c r="K119" s="48" t="str">
        <f t="shared" ca="1" si="87"/>
        <v/>
      </c>
      <c r="L119" s="48" t="str">
        <f t="shared" ca="1" si="87"/>
        <v/>
      </c>
      <c r="N119" s="159"/>
    </row>
    <row r="120" spans="1:14" x14ac:dyDescent="0.35">
      <c r="A120" t="str">
        <f>IF(A7="","","    "&amp;A7&amp;" - Release from Mead")</f>
        <v xml:space="preserve">    Mexico - Release from Mead</v>
      </c>
      <c r="C120" s="48" t="str">
        <f t="shared" ca="1" si="87"/>
        <v/>
      </c>
      <c r="D120" s="48" t="str">
        <f t="shared" ca="1" si="87"/>
        <v/>
      </c>
      <c r="E120" s="48" t="str">
        <f t="shared" ca="1" si="87"/>
        <v/>
      </c>
      <c r="F120" s="48" t="str">
        <f t="shared" ca="1" si="87"/>
        <v/>
      </c>
      <c r="G120" s="48" t="str">
        <f t="shared" ca="1" si="87"/>
        <v/>
      </c>
      <c r="H120" s="48" t="str">
        <f t="shared" ca="1" si="87"/>
        <v/>
      </c>
      <c r="I120" s="48" t="str">
        <f t="shared" ca="1" si="87"/>
        <v/>
      </c>
      <c r="J120" s="48" t="str">
        <f t="shared" ca="1" si="87"/>
        <v/>
      </c>
      <c r="K120" s="48" t="str">
        <f t="shared" ca="1" si="87"/>
        <v/>
      </c>
      <c r="L120" s="48" t="str">
        <f t="shared" ca="1" si="87"/>
        <v/>
      </c>
      <c r="N120" s="159"/>
    </row>
    <row r="121" spans="1:14" x14ac:dyDescent="0.35">
      <c r="A121" t="str">
        <f>IF(A8="","","    "&amp;A8&amp;" - Release from Mead")</f>
        <v xml:space="preserve">    Colorado River Delta - Release from Mead</v>
      </c>
      <c r="C121" s="48" t="str">
        <f t="shared" ca="1" si="87"/>
        <v/>
      </c>
      <c r="D121" s="48" t="str">
        <f t="shared" ca="1" si="87"/>
        <v/>
      </c>
      <c r="E121" s="48" t="str">
        <f t="shared" ca="1" si="87"/>
        <v/>
      </c>
      <c r="F121" s="48" t="str">
        <f t="shared" ca="1" si="87"/>
        <v/>
      </c>
      <c r="G121" s="48" t="str">
        <f t="shared" ca="1" si="87"/>
        <v/>
      </c>
      <c r="H121" s="48" t="str">
        <f t="shared" ca="1" si="87"/>
        <v/>
      </c>
      <c r="I121" s="48" t="str">
        <f t="shared" ca="1" si="87"/>
        <v/>
      </c>
      <c r="J121" s="48" t="str">
        <f t="shared" ca="1" si="87"/>
        <v/>
      </c>
      <c r="K121" s="48" t="str">
        <f t="shared" ca="1" si="87"/>
        <v/>
      </c>
      <c r="L121" s="48" t="str">
        <f t="shared" ca="1" si="87"/>
        <v/>
      </c>
      <c r="N121" s="159"/>
    </row>
    <row r="122" spans="1:14" x14ac:dyDescent="0.35">
      <c r="A122" t="str">
        <f>IF(A9="","","    "&amp;A9&amp;" - Release from Mead")</f>
        <v/>
      </c>
      <c r="C122" s="48" t="str">
        <f t="shared" ca="1" si="87"/>
        <v/>
      </c>
      <c r="D122" s="48" t="str">
        <f t="shared" ca="1" si="87"/>
        <v/>
      </c>
      <c r="E122" s="48" t="str">
        <f t="shared" ca="1" si="87"/>
        <v/>
      </c>
      <c r="F122" s="48" t="str">
        <f t="shared" ca="1" si="87"/>
        <v/>
      </c>
      <c r="G122" s="48" t="str">
        <f t="shared" ca="1" si="87"/>
        <v/>
      </c>
      <c r="H122" s="48" t="str">
        <f t="shared" ca="1" si="87"/>
        <v/>
      </c>
      <c r="I122" s="48" t="str">
        <f t="shared" ca="1" si="87"/>
        <v/>
      </c>
      <c r="J122" s="48" t="str">
        <f t="shared" ca="1" si="87"/>
        <v/>
      </c>
      <c r="K122" s="48" t="str">
        <f t="shared" ca="1" si="87"/>
        <v/>
      </c>
      <c r="L122" s="48" t="str">
        <f t="shared" ca="1" si="87"/>
        <v/>
      </c>
      <c r="N122" s="159"/>
    </row>
    <row r="123" spans="1:14" x14ac:dyDescent="0.35">
      <c r="A123" t="str">
        <f>IF(A10="","","    "&amp;A10&amp;" - Release from Mead")</f>
        <v xml:space="preserve">    Shared, Reserve - Release from Mead</v>
      </c>
      <c r="C123" s="48" t="str">
        <f t="shared" ca="1" si="87"/>
        <v/>
      </c>
      <c r="D123" s="48" t="str">
        <f t="shared" ca="1" si="87"/>
        <v/>
      </c>
      <c r="E123" s="48" t="str">
        <f t="shared" ca="1" si="87"/>
        <v/>
      </c>
      <c r="F123" s="48" t="str">
        <f t="shared" ca="1" si="87"/>
        <v/>
      </c>
      <c r="G123" s="48" t="str">
        <f t="shared" ca="1" si="87"/>
        <v/>
      </c>
      <c r="H123" s="48" t="str">
        <f t="shared" ca="1" si="87"/>
        <v/>
      </c>
      <c r="I123" s="48" t="str">
        <f t="shared" ca="1" si="87"/>
        <v/>
      </c>
      <c r="J123" s="48" t="str">
        <f t="shared" ca="1" si="87"/>
        <v/>
      </c>
      <c r="K123" s="48" t="str">
        <f t="shared" ca="1" si="87"/>
        <v/>
      </c>
      <c r="L123" s="48" t="str">
        <f t="shared" ca="1" si="87"/>
        <v/>
      </c>
      <c r="N123" s="159"/>
    </row>
    <row r="124" spans="1:14" x14ac:dyDescent="0.35">
      <c r="A124" s="1" t="s">
        <v>90</v>
      </c>
      <c r="B124" s="1"/>
      <c r="D124" s="2"/>
      <c r="E124" s="2"/>
      <c r="F124" s="2"/>
      <c r="G124" s="2"/>
      <c r="H124" s="2"/>
      <c r="I124" s="2"/>
      <c r="J124" s="2"/>
      <c r="K124" s="2"/>
      <c r="L124" s="2"/>
      <c r="N124" s="159"/>
    </row>
    <row r="125" spans="1:14" x14ac:dyDescent="0.35">
      <c r="A125" t="str">
        <f t="shared" ref="A125:A130" si="88">IF(A5="","","    "&amp;A5)</f>
        <v xml:space="preserve">    Upper Basin</v>
      </c>
      <c r="C125" s="48" t="str">
        <f t="shared" ref="C125:L130" ca="1" si="89">IF(OR(C$28="",$A125=""),"",OFFSET(C$66,8*(ROW(B125)-ROW(B$125)),0))</f>
        <v/>
      </c>
      <c r="D125" s="48" t="str">
        <f t="shared" ca="1" si="89"/>
        <v/>
      </c>
      <c r="E125" s="48" t="str">
        <f t="shared" ca="1" si="89"/>
        <v/>
      </c>
      <c r="F125" s="48" t="str">
        <f t="shared" ca="1" si="89"/>
        <v/>
      </c>
      <c r="G125" s="48" t="str">
        <f t="shared" ca="1" si="89"/>
        <v/>
      </c>
      <c r="H125" s="48" t="str">
        <f t="shared" ca="1" si="89"/>
        <v/>
      </c>
      <c r="I125" s="48" t="str">
        <f t="shared" ca="1" si="89"/>
        <v/>
      </c>
      <c r="J125" s="48" t="str">
        <f t="shared" ca="1" si="89"/>
        <v/>
      </c>
      <c r="K125" s="48" t="str">
        <f t="shared" ca="1" si="89"/>
        <v/>
      </c>
      <c r="L125" s="48" t="str">
        <f t="shared" ca="1" si="89"/>
        <v/>
      </c>
      <c r="N125" s="159"/>
    </row>
    <row r="126" spans="1:14" x14ac:dyDescent="0.35">
      <c r="A126" t="str">
        <f t="shared" si="88"/>
        <v xml:space="preserve">    Lower Basin</v>
      </c>
      <c r="C126" s="48" t="str">
        <f t="shared" ca="1" si="89"/>
        <v/>
      </c>
      <c r="D126" s="48" t="str">
        <f t="shared" ca="1" si="89"/>
        <v/>
      </c>
      <c r="E126" s="48" t="str">
        <f t="shared" ca="1" si="89"/>
        <v/>
      </c>
      <c r="F126" s="48" t="str">
        <f t="shared" ca="1" si="89"/>
        <v/>
      </c>
      <c r="G126" s="48" t="str">
        <f t="shared" ca="1" si="89"/>
        <v/>
      </c>
      <c r="H126" s="48" t="str">
        <f t="shared" ca="1" si="89"/>
        <v/>
      </c>
      <c r="I126" s="48" t="str">
        <f t="shared" ca="1" si="89"/>
        <v/>
      </c>
      <c r="J126" s="48" t="str">
        <f t="shared" ca="1" si="89"/>
        <v/>
      </c>
      <c r="K126" s="48" t="str">
        <f t="shared" ca="1" si="89"/>
        <v/>
      </c>
      <c r="L126" s="48" t="str">
        <f t="shared" ca="1" si="89"/>
        <v/>
      </c>
      <c r="N126" s="159"/>
    </row>
    <row r="127" spans="1:14" x14ac:dyDescent="0.35">
      <c r="A127" t="str">
        <f t="shared" si="88"/>
        <v xml:space="preserve">    Mexico</v>
      </c>
      <c r="C127" s="48" t="str">
        <f t="shared" ca="1" si="89"/>
        <v/>
      </c>
      <c r="D127" s="48" t="str">
        <f t="shared" ca="1" si="89"/>
        <v/>
      </c>
      <c r="E127" s="48" t="str">
        <f t="shared" ca="1" si="89"/>
        <v/>
      </c>
      <c r="F127" s="48" t="str">
        <f t="shared" ca="1" si="89"/>
        <v/>
      </c>
      <c r="G127" s="48" t="str">
        <f t="shared" ca="1" si="89"/>
        <v/>
      </c>
      <c r="H127" s="48" t="str">
        <f t="shared" ca="1" si="89"/>
        <v/>
      </c>
      <c r="I127" s="48" t="str">
        <f t="shared" ca="1" si="89"/>
        <v/>
      </c>
      <c r="J127" s="48" t="str">
        <f t="shared" ca="1" si="89"/>
        <v/>
      </c>
      <c r="K127" s="48" t="str">
        <f t="shared" ca="1" si="89"/>
        <v/>
      </c>
      <c r="L127" s="48" t="str">
        <f t="shared" ca="1" si="89"/>
        <v/>
      </c>
      <c r="N127" s="159"/>
    </row>
    <row r="128" spans="1:14" x14ac:dyDescent="0.35">
      <c r="A128" t="str">
        <f t="shared" si="88"/>
        <v xml:space="preserve">    Colorado River Delta</v>
      </c>
      <c r="C128" s="48" t="str">
        <f t="shared" ca="1" si="89"/>
        <v/>
      </c>
      <c r="D128" s="48" t="str">
        <f t="shared" ca="1" si="89"/>
        <v/>
      </c>
      <c r="E128" s="48" t="str">
        <f t="shared" ca="1" si="89"/>
        <v/>
      </c>
      <c r="F128" s="48" t="str">
        <f t="shared" ca="1" si="89"/>
        <v/>
      </c>
      <c r="G128" s="48" t="str">
        <f t="shared" ca="1" si="89"/>
        <v/>
      </c>
      <c r="H128" s="48" t="str">
        <f t="shared" ca="1" si="89"/>
        <v/>
      </c>
      <c r="I128" s="48" t="str">
        <f t="shared" ca="1" si="89"/>
        <v/>
      </c>
      <c r="J128" s="48" t="str">
        <f t="shared" ca="1" si="89"/>
        <v/>
      </c>
      <c r="K128" s="48" t="str">
        <f t="shared" ca="1" si="89"/>
        <v/>
      </c>
      <c r="L128" s="48" t="str">
        <f t="shared" ca="1" si="89"/>
        <v/>
      </c>
      <c r="N128" s="159"/>
    </row>
    <row r="129" spans="1:15" x14ac:dyDescent="0.35">
      <c r="A129" t="str">
        <f t="shared" si="88"/>
        <v/>
      </c>
      <c r="C129" s="48" t="str">
        <f t="shared" ca="1" si="89"/>
        <v/>
      </c>
      <c r="D129" s="48" t="str">
        <f t="shared" ca="1" si="89"/>
        <v/>
      </c>
      <c r="E129" s="48" t="str">
        <f t="shared" ca="1" si="89"/>
        <v/>
      </c>
      <c r="F129" s="48" t="str">
        <f t="shared" ca="1" si="89"/>
        <v/>
      </c>
      <c r="G129" s="48" t="str">
        <f t="shared" ca="1" si="89"/>
        <v/>
      </c>
      <c r="H129" s="48" t="str">
        <f t="shared" ca="1" si="89"/>
        <v/>
      </c>
      <c r="I129" s="48" t="str">
        <f t="shared" ca="1" si="89"/>
        <v/>
      </c>
      <c r="J129" s="48" t="str">
        <f t="shared" ca="1" si="89"/>
        <v/>
      </c>
      <c r="K129" s="48" t="str">
        <f t="shared" ca="1" si="89"/>
        <v/>
      </c>
      <c r="L129" s="48" t="str">
        <f t="shared" ca="1" si="89"/>
        <v/>
      </c>
      <c r="N129" s="159"/>
    </row>
    <row r="130" spans="1:15" x14ac:dyDescent="0.35">
      <c r="A130" t="str">
        <f t="shared" si="88"/>
        <v xml:space="preserve">    Shared, Reserve</v>
      </c>
      <c r="C130" s="48" t="str">
        <f t="shared" ca="1" si="89"/>
        <v/>
      </c>
      <c r="D130" s="48" t="str">
        <f t="shared" ca="1" si="89"/>
        <v/>
      </c>
      <c r="E130" s="48" t="str">
        <f t="shared" ca="1" si="89"/>
        <v/>
      </c>
      <c r="F130" s="48" t="str">
        <f t="shared" ca="1" si="89"/>
        <v/>
      </c>
      <c r="G130" s="48" t="str">
        <f t="shared" ca="1" si="89"/>
        <v/>
      </c>
      <c r="H130" s="48" t="str">
        <f t="shared" ca="1" si="89"/>
        <v/>
      </c>
      <c r="I130" s="48" t="str">
        <f t="shared" ca="1" si="89"/>
        <v/>
      </c>
      <c r="J130" s="48" t="str">
        <f t="shared" ca="1" si="89"/>
        <v/>
      </c>
      <c r="K130" s="48" t="str">
        <f t="shared" ca="1" si="89"/>
        <v/>
      </c>
      <c r="L130" s="48" t="str">
        <f t="shared" ca="1" si="89"/>
        <v/>
      </c>
      <c r="N130" s="159"/>
    </row>
    <row r="131" spans="1:15" x14ac:dyDescent="0.35">
      <c r="A131" s="1" t="s">
        <v>220</v>
      </c>
      <c r="B131" s="1"/>
      <c r="C131" s="13" t="str">
        <f>IF(C$28&lt;&gt;"",SUM(C125:C130),"")</f>
        <v/>
      </c>
      <c r="D131" s="13" t="str">
        <f t="shared" ref="D131:L131" si="90">IF(D$28&lt;&gt;"",SUM(D125:D130),"")</f>
        <v/>
      </c>
      <c r="E131" s="13" t="str">
        <f t="shared" si="90"/>
        <v/>
      </c>
      <c r="F131" s="13" t="str">
        <f t="shared" si="90"/>
        <v/>
      </c>
      <c r="G131" s="13" t="str">
        <f t="shared" si="90"/>
        <v/>
      </c>
      <c r="H131" s="13" t="str">
        <f t="shared" si="90"/>
        <v/>
      </c>
      <c r="I131" s="13" t="str">
        <f t="shared" si="90"/>
        <v/>
      </c>
      <c r="J131" s="13" t="str">
        <f t="shared" si="90"/>
        <v/>
      </c>
      <c r="K131" s="13" t="str">
        <f t="shared" si="90"/>
        <v/>
      </c>
      <c r="L131" s="13" t="str">
        <f t="shared" si="90"/>
        <v/>
      </c>
      <c r="N131" s="158" t="s">
        <v>285</v>
      </c>
    </row>
    <row r="132" spans="1:15" ht="29.5" customHeight="1" x14ac:dyDescent="0.35">
      <c r="A132" s="260" t="s">
        <v>258</v>
      </c>
      <c r="B132" s="261"/>
      <c r="C132" s="140">
        <v>0.5</v>
      </c>
      <c r="D132" s="140">
        <v>0.5</v>
      </c>
      <c r="E132" s="140">
        <v>0.5</v>
      </c>
      <c r="F132" s="140"/>
      <c r="G132" s="140"/>
      <c r="H132" s="140"/>
      <c r="I132" s="140"/>
      <c r="J132" s="140"/>
      <c r="K132" s="140"/>
      <c r="L132" s="140"/>
      <c r="N132" s="155" t="s">
        <v>286</v>
      </c>
    </row>
    <row r="133" spans="1:15" x14ac:dyDescent="0.35">
      <c r="A133" s="1" t="s">
        <v>228</v>
      </c>
      <c r="B133" s="1"/>
      <c r="C133" s="13" t="str">
        <f>IF(C28="","",C$132*C$131)</f>
        <v/>
      </c>
      <c r="D133" s="13" t="str">
        <f t="shared" ref="D133:L133" si="91">IF(D28="","",D$132*D$131)</f>
        <v/>
      </c>
      <c r="E133" s="13" t="str">
        <f t="shared" si="91"/>
        <v/>
      </c>
      <c r="F133" s="13" t="str">
        <f t="shared" si="91"/>
        <v/>
      </c>
      <c r="G133" s="13" t="str">
        <f t="shared" si="91"/>
        <v/>
      </c>
      <c r="H133" s="13" t="str">
        <f t="shared" si="91"/>
        <v/>
      </c>
      <c r="I133" s="13" t="str">
        <f t="shared" si="91"/>
        <v/>
      </c>
      <c r="J133" s="13" t="str">
        <f t="shared" si="91"/>
        <v/>
      </c>
      <c r="K133" s="13" t="str">
        <f t="shared" si="91"/>
        <v/>
      </c>
      <c r="L133" s="13" t="str">
        <f t="shared" si="91"/>
        <v/>
      </c>
      <c r="N133" s="158" t="s">
        <v>297</v>
      </c>
    </row>
    <row r="134" spans="1:15" x14ac:dyDescent="0.35">
      <c r="A134" s="1" t="s">
        <v>229</v>
      </c>
      <c r="B134" s="1"/>
      <c r="C134" s="13" t="str">
        <f>IF(C29="","",(1-C$132)*C$131)</f>
        <v/>
      </c>
      <c r="D134" s="13" t="str">
        <f t="shared" ref="D134:L134" si="92">IF(D29="","",(1-D$132)*D$131)</f>
        <v/>
      </c>
      <c r="E134" s="13" t="str">
        <f t="shared" si="92"/>
        <v/>
      </c>
      <c r="F134" s="13" t="str">
        <f t="shared" si="92"/>
        <v/>
      </c>
      <c r="G134" s="13" t="str">
        <f t="shared" si="92"/>
        <v/>
      </c>
      <c r="H134" s="13" t="str">
        <f t="shared" si="92"/>
        <v/>
      </c>
      <c r="I134" s="13" t="str">
        <f t="shared" si="92"/>
        <v/>
      </c>
      <c r="J134" s="13" t="str">
        <f t="shared" si="92"/>
        <v/>
      </c>
      <c r="K134" s="13" t="str">
        <f t="shared" si="92"/>
        <v/>
      </c>
      <c r="L134" s="13" t="str">
        <f t="shared" si="92"/>
        <v/>
      </c>
      <c r="N134" s="158" t="s">
        <v>297</v>
      </c>
    </row>
    <row r="135" spans="1:15"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8" t="s">
        <v>297</v>
      </c>
    </row>
    <row r="136" spans="1:15"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8" t="s">
        <v>297</v>
      </c>
    </row>
    <row r="137" spans="1:15" x14ac:dyDescent="0.35">
      <c r="A137" s="1" t="s">
        <v>230</v>
      </c>
      <c r="B137" s="1"/>
      <c r="N137" s="178" t="s">
        <v>287</v>
      </c>
    </row>
    <row r="138" spans="1:15" x14ac:dyDescent="0.35">
      <c r="A138" s="21" t="s">
        <v>231</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8" t="s">
        <v>288</v>
      </c>
    </row>
    <row r="139" spans="1:15" x14ac:dyDescent="0.35">
      <c r="A139" s="21" t="s">
        <v>221</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8" t="s">
        <v>289</v>
      </c>
    </row>
    <row r="140" spans="1:15" s="65" customFormat="1" ht="62.5" customHeight="1" x14ac:dyDescent="0.35">
      <c r="A140" s="94" t="s">
        <v>222</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8" t="s">
        <v>291</v>
      </c>
      <c r="O140"/>
    </row>
    <row r="141" spans="1:15"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8" t="s">
        <v>290</v>
      </c>
      <c r="O141"/>
    </row>
    <row r="142" spans="1:15" x14ac:dyDescent="0.35">
      <c r="A142" s="151" t="s">
        <v>259</v>
      </c>
      <c r="C142" s="19"/>
      <c r="N142" s="158" t="s">
        <v>292</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81">
    <cfRule type="cellIs" dxfId="37" priority="60" operator="greaterThan">
      <formula>$H$80</formula>
    </cfRule>
  </conditionalFormatting>
  <conditionalFormatting sqref="I81">
    <cfRule type="cellIs" dxfId="36" priority="59" operator="greaterThan">
      <formula>$I$80</formula>
    </cfRule>
  </conditionalFormatting>
  <conditionalFormatting sqref="J81">
    <cfRule type="cellIs" dxfId="35" priority="58" operator="greaterThan">
      <formula>$J$80</formula>
    </cfRule>
  </conditionalFormatting>
  <conditionalFormatting sqref="K81">
    <cfRule type="cellIs" dxfId="34" priority="57" operator="greaterThan">
      <formula>$K$80</formula>
    </cfRule>
  </conditionalFormatting>
  <conditionalFormatting sqref="L81">
    <cfRule type="cellIs" dxfId="33" priority="56" operator="greaterThan">
      <formula>$L$80</formula>
    </cfRule>
  </conditionalFormatting>
  <conditionalFormatting sqref="C89:L89">
    <cfRule type="cellIs" dxfId="32" priority="55" operator="greaterThan">
      <formula>$C$88</formula>
    </cfRule>
  </conditionalFormatting>
  <conditionalFormatting sqref="H97">
    <cfRule type="cellIs" dxfId="31" priority="49" operator="greaterThan">
      <formula>$H$96</formula>
    </cfRule>
  </conditionalFormatting>
  <conditionalFormatting sqref="I97">
    <cfRule type="cellIs" dxfId="30" priority="48" operator="greaterThan">
      <formula>$I$96</formula>
    </cfRule>
  </conditionalFormatting>
  <conditionalFormatting sqref="J97">
    <cfRule type="cellIs" dxfId="29" priority="47" operator="greaterThan">
      <formula>$J$96</formula>
    </cfRule>
  </conditionalFormatting>
  <conditionalFormatting sqref="K97">
    <cfRule type="cellIs" dxfId="28" priority="46" operator="greaterThan">
      <formula>$K$96</formula>
    </cfRule>
  </conditionalFormatting>
  <conditionalFormatting sqref="L97">
    <cfRule type="cellIs" dxfId="27" priority="45" operator="greaterThan">
      <formula>$L$96</formula>
    </cfRule>
  </conditionalFormatting>
  <conditionalFormatting sqref="C105:D105">
    <cfRule type="cellIs" dxfId="26" priority="44" operator="greaterThan">
      <formula>$C$104</formula>
    </cfRule>
  </conditionalFormatting>
  <conditionalFormatting sqref="E105">
    <cfRule type="cellIs" dxfId="25" priority="42" operator="greaterThan">
      <formula>$E$104</formula>
    </cfRule>
  </conditionalFormatting>
  <conditionalFormatting sqref="F105">
    <cfRule type="cellIs" dxfId="24" priority="41" operator="greaterThan">
      <formula>$F$104</formula>
    </cfRule>
  </conditionalFormatting>
  <conditionalFormatting sqref="G105">
    <cfRule type="cellIs" dxfId="23" priority="40" operator="greaterThan">
      <formula>$G$104</formula>
    </cfRule>
  </conditionalFormatting>
  <conditionalFormatting sqref="H105">
    <cfRule type="cellIs" dxfId="22" priority="39" operator="greaterThan">
      <formula>$H$104</formula>
    </cfRule>
  </conditionalFormatting>
  <conditionalFormatting sqref="I105">
    <cfRule type="cellIs" dxfId="21" priority="38" operator="greaterThan">
      <formula>$I$104</formula>
    </cfRule>
  </conditionalFormatting>
  <conditionalFormatting sqref="J105">
    <cfRule type="cellIs" dxfId="20" priority="37" operator="greaterThan">
      <formula>$J$104</formula>
    </cfRule>
  </conditionalFormatting>
  <conditionalFormatting sqref="K105">
    <cfRule type="cellIs" dxfId="19" priority="36" operator="greaterThan">
      <formula>$K$104</formula>
    </cfRule>
  </conditionalFormatting>
  <conditionalFormatting sqref="L105">
    <cfRule type="cellIs" dxfId="18" priority="35" operator="greaterThan">
      <formula>$L$104</formula>
    </cfRule>
  </conditionalFormatting>
  <conditionalFormatting sqref="C73:L73">
    <cfRule type="cellIs" dxfId="17" priority="12" operator="greaterThan">
      <formula>$C$72</formula>
    </cfRule>
  </conditionalFormatting>
  <conditionalFormatting sqref="C81:G81">
    <cfRule type="cellIs" dxfId="16" priority="7" operator="greaterThan">
      <formula>$C$80</formula>
    </cfRule>
  </conditionalFormatting>
  <conditionalFormatting sqref="B65:L65">
    <cfRule type="cellIs" dxfId="15" priority="2" operator="greaterThan">
      <formula>$C$64</formula>
    </cfRule>
  </conditionalFormatting>
  <hyperlinks>
    <hyperlink ref="N4" r:id="rId1" location="step-1-assign-accounts-and-decide-strategies" xr:uid="{9BA5B64A-AEA2-46B4-AEE5-E7BC5F49E359}"/>
    <hyperlink ref="N12" r:id="rId2" location="1a-explain-cell-types" xr:uid="{C0290EB4-0538-486C-972D-F85DB4664E80}"/>
    <hyperlink ref="N17" r:id="rId3" location="1b-make-assumptions" xr:uid="{A1D8F053-F1BD-43FD-8CB7-847C1FEA6415}"/>
    <hyperlink ref="N18" r:id="rId4" location="i-evaporation-rates" xr:uid="{19BBB065-E8A8-415A-B800-CA4E7714FDEB}"/>
    <hyperlink ref="N19" r:id="rId5" location="ii-start-storage" xr:uid="{4C95D809-F574-4A33-86F7-FC9736F48993}"/>
    <hyperlink ref="N20" r:id="rId6" location="iii-protection-elevations" xr:uid="{46AD7C75-96F7-4CE0-A341-A62A3E733384}"/>
    <hyperlink ref="N21" r:id="rId7" location="iv-the-protection-volumes" xr:uid="{0B64C100-3CF5-4704-BB13-714A552572F5}"/>
    <hyperlink ref="N22" r:id="rId8" location="v-prior-9-year-lake-powell-release" xr:uid="{EBF6DCD4-8943-429A-AA43-0B9B8F58493D}"/>
    <hyperlink ref="N23" r:id="rId9" location="vi-prior-9-year-paria-river-flow" xr:uid="{C2049A6E-5293-4185-9925-25D0ED460084}"/>
    <hyperlink ref="N24" r:id="rId10" location="vii-delivery-to-meet-10-year-requirement" xr:uid="{037CE1AF-8BBE-431A-A158-5DB63A2D9EFF}"/>
    <hyperlink ref="N28" r:id="rId11" location="step-2-specify-natural-inflow-to-lake-powell" xr:uid="{1E418242-4ED6-42CE-9FB4-57EC5EA82E94}"/>
    <hyperlink ref="N29" r:id="rId12" location="2a-intervening-grand-canyon-flow" xr:uid="{4D4715FF-059E-4B0B-8D2F-954F643AD072}"/>
    <hyperlink ref="N30" r:id="rId13" location="2b-mead-to-imperial-dam-intervening-flow" xr:uid="{11BA9192-B464-4776-BA54-F5EF983797FF}"/>
    <hyperlink ref="N31" r:id="rId14" location="2c-havasuparker-evaporation-and-evapotranspiration" xr:uid="{0633DEB2-A0B3-498F-9D9D-D779FA4D7460}"/>
    <hyperlink ref="N32" r:id="rId15" location="step-3-split-existing-reservoir-storage-among-accounts-year-1-only" xr:uid="{E3127176-ACCD-4B4B-8FF0-9173AE5C79A0}"/>
    <hyperlink ref="N39" r:id="rId16" location="3a-begin-of-year-reservoir-storage" display="Help begin year storage" xr:uid="{5F5A400E-89BA-454B-BFF6-BB6A9255C1B7}"/>
    <hyperlink ref="N42" r:id="rId17" location="3b-calculate-powell--mead-evaporation" xr:uid="{BE7A2C6F-DCC5-4B8E-8CC9-23532B51C9E1}"/>
    <hyperlink ref="N49" r:id="rId18" location="3c-calculate-mexico-water-allocation" xr:uid="{03C8B760-2CF6-4179-89EA-966909FB4CE6}"/>
    <hyperlink ref="N50" r:id="rId19" location="split-combined-natural-inflow-among-accounts" xr:uid="{4A7F753B-79BD-4B2C-97A7-896F197DB083}"/>
    <hyperlink ref="N60" r:id="rId20" location="step-5-participant-dashboards--conserve-consume-and-trade" xr:uid="{3DEFF261-0E49-4137-B03C-469D4584B4ED}"/>
    <hyperlink ref="N62" r:id="rId21" location="ii-compensation" xr:uid="{25979614-F624-48D0-B272-C2FDDBF49AA7}"/>
    <hyperlink ref="N63" r:id="rId22" location="iii-net-trade-volume-all-participants" xr:uid="{0B3B34D0-638A-477A-904C-578AAF4CDAA1}"/>
    <hyperlink ref="N64" r:id="rId23" location="iv-available-water" xr:uid="{AD134F2D-2D2C-4355-998B-A7CC3EC505C5}"/>
    <hyperlink ref="N65" r:id="rId24" location="v-enter-withdraw-within-available-water" display="Help withdraw" xr:uid="{797F72D0-C33D-40F8-8F12-020B2C8E0BB7}"/>
    <hyperlink ref="N66" r:id="rId25" location="vi-end-of-year-balance" xr:uid="{ECCA5B4C-0CD8-4F71-BFDF-825905E9721D}"/>
    <hyperlink ref="N100" r:id="rId26" location="5a-shared-reserve-dashboard" display="Help shared, reserve" xr:uid="{23E210D1-3D84-4DDA-8772-F7F31A8A5918}"/>
    <hyperlink ref="N108" r:id="rId27" location="step-6-summary-of-participant-actions" xr:uid="{C67A088F-0005-4919-9007-E00704BF7CF2}"/>
    <hyperlink ref="N131" r:id="rId28" location="6a-combined-storage--end-of-year" xr:uid="{88483E20-F910-40AF-ADCE-14B38FB65B28}"/>
    <hyperlink ref="N132" r:id="rId29" location="step-7-assign-combined-storage-to-powell-and-mead" xr:uid="{E57D2E63-48E4-4CCE-A792-603F596DC204}"/>
    <hyperlink ref="N133" r:id="rId30" location="i-powell-and-mead-storage-volumes-and-levels" display="Help Powell and Mead storage and elevations" xr:uid="{476DAF21-D74F-4F0F-BE46-A8A9954D273B}"/>
    <hyperlink ref="N137" r:id="rId31" location="i-preserve-status-quo-for-endangered-native-fish-of-the-grand-canyon" xr:uid="{5ECE4664-D933-4B27-81C5-FECBAAD5142E}"/>
    <hyperlink ref="N138" r:id="rId32" location="ii-lake-powell-release-to-achieve-powell-and-mead-storage-volumes" xr:uid="{DD2CEE8A-1DC5-42B8-8758-824959CDDBEA}"/>
    <hyperlink ref="N139" r:id="rId33" location="iii-turbine-release-water-temperature" xr:uid="{1C2B24C1-C0C3-4D14-90FF-CCE9051FA592}"/>
    <hyperlink ref="N140" r:id="rId34" location="iv-suitability-for-native-endangered-fish-of-the-grand-canyon" xr:uid="{0BD9A769-0FAD-4E3E-BEF2-80A775E13FA2}"/>
    <hyperlink ref="N141" r:id="rId35" location="v-suitability-for-tailwater-trout" xr:uid="{CB75DBCE-773E-4417-B331-AA7DA617F545}"/>
    <hyperlink ref="N142" r:id="rId36" location="step-8-move-to-next-year" xr:uid="{6C99E107-E118-4A11-8D69-57340B7188A3}"/>
    <hyperlink ref="N134:N136" r:id="rId37" location="i-powell-and-mead-storage-volumes-and-levels" display="Help Powell and Mead storage and elevations" xr:uid="{CADA56E9-DF40-40F2-959F-F1A32EF993C9}"/>
    <hyperlink ref="N76" r:id="rId38" location="step-5-player-dashboards--conserve-consume-and-trade" xr:uid="{8067ABB5-430E-489D-9519-40B3D14B9153}"/>
    <hyperlink ref="N77" r:id="rId39" location="i-buy-or-sell-water-from-other-players" xr:uid="{70F633BB-3186-4FDA-8B14-16199421191A}"/>
    <hyperlink ref="N78" r:id="rId40" location="ii-compensation" xr:uid="{B61B6D01-CA6E-490F-8F7B-E7D9E7A13B4D}"/>
    <hyperlink ref="N80" r:id="rId41" location="iv-available-water" xr:uid="{B7D83066-8549-4282-BF78-59FA44C70ACB}"/>
    <hyperlink ref="N81" r:id="rId42" location="v-enter-withdraw-within-available-water" display="Help withdraw" xr:uid="{C576E7BA-E370-4370-AA6E-A82A756EFF07}"/>
    <hyperlink ref="N82" r:id="rId43" location="vi-end-of-year-balance" xr:uid="{03E24B77-7AC0-45CA-AFC9-0AD5AC36CBC6}"/>
    <hyperlink ref="N25" r:id="rId44" location="upper-basin-pre-1922-water-rights" xr:uid="{7F1CB863-9243-4338-8711-0CD3DD26E18C}"/>
    <hyperlink ref="N61" r:id="rId45" location="i-buy-or-sell-water-from-other-participantss" xr:uid="{290CE18D-805E-4DAF-A2E5-FCB9BF5AF0BD}"/>
    <hyperlink ref="N68" r:id="rId46" location="step-5-participant-dashboards--conserve-consume-and-trade" xr:uid="{649CA03D-38AD-433C-A112-287A023B2C53}"/>
    <hyperlink ref="N70" r:id="rId47" location="ii-compensation" xr:uid="{D28A6464-10FE-4D35-A0A0-07E2EF8B056D}"/>
    <hyperlink ref="N71" r:id="rId48" location="iii-net-trade-volume-all-participants" xr:uid="{7D79FAE6-ED00-43CB-AE7D-54B15CC7598C}"/>
    <hyperlink ref="N72" r:id="rId49" location="iv-available-water" xr:uid="{59FA0FAF-4D81-4C86-AC8C-ECB204C792B1}"/>
    <hyperlink ref="N73" r:id="rId50" location="v-enter-withdraw-within-available-water" display="Help withdraw" xr:uid="{C87FB517-A04A-4FFB-8470-947CA7DBDB13}"/>
    <hyperlink ref="N74" r:id="rId51" location="vi-end-of-year-balance" xr:uid="{530ED6C7-0B79-486F-9611-137204895715}"/>
    <hyperlink ref="N69" r:id="rId52" location="i-buy-or-sell-water-from-other-participantss" xr:uid="{524985C3-4A22-48C3-BDB7-D17214BCF79A}"/>
    <hyperlink ref="N79" r:id="rId53" location="iii-net-trade-volume-all-participants" xr:uid="{B83BA035-C6D1-46F6-9946-B3F22E550F3D}"/>
    <hyperlink ref="N84" r:id="rId54" location="step-5-player-dashboards--conserve-consume-and-trade" xr:uid="{77801A0B-4CEF-4FAD-913B-C3E4086A69C7}"/>
    <hyperlink ref="N85" r:id="rId55" location="i-buy-or-sell-water-from-other-players" xr:uid="{94E85602-338E-45A4-818E-A129A391DE8E}"/>
    <hyperlink ref="N86" r:id="rId56" location="ii-compensation" xr:uid="{C365762B-4C2C-4296-95DE-9573A7151BC7}"/>
    <hyperlink ref="N88" r:id="rId57" location="iv-available-water" xr:uid="{95AED956-1007-497F-8EF1-6C45DAAE12C0}"/>
    <hyperlink ref="N89" r:id="rId58" location="v-enter-withdraw-within-available-water" display="Help withdraw" xr:uid="{D0AE6ED0-19E0-4CB1-ADE9-58335CA96C60}"/>
    <hyperlink ref="N90" r:id="rId59" location="vi-end-of-year-balance" xr:uid="{5D47B7D7-FD2E-4CC2-BB84-5E9CDB1CB3BE}"/>
    <hyperlink ref="N87" r:id="rId60" location="iii-net-trade-volume-all-participants" xr:uid="{C8C63E45-CB56-4F63-9F3E-6E3F6AE5560B}"/>
    <hyperlink ref="N92" r:id="rId61" location="step-5-player-dashboards--conserve-consume-and-trade" xr:uid="{D5E7695A-376C-49F1-912D-534016A67571}"/>
    <hyperlink ref="N93" r:id="rId62" location="i-buy-or-sell-water-from-other-players" xr:uid="{FFDB68A1-ADDC-4CCB-8C59-A6288F4E32DD}"/>
    <hyperlink ref="N94" r:id="rId63" location="ii-compensation" xr:uid="{7DB535D6-F8AD-4CA7-A708-CDED90A5B197}"/>
    <hyperlink ref="N96" r:id="rId64" location="iv-available-water" xr:uid="{42F3B29B-47FB-45B8-8D64-8D3115897428}"/>
    <hyperlink ref="N97" r:id="rId65" location="v-enter-withdraw-within-available-water" display="Help withdraw" xr:uid="{EDF90623-FCEC-4016-8D23-5769114F8FB1}"/>
    <hyperlink ref="N98" r:id="rId66" location="vi-end-of-year-balance" xr:uid="{110917F7-EDD7-4787-8744-B16FB4D017AB}"/>
    <hyperlink ref="N95" r:id="rId67" location="iii-net-trade-volume-all-participants" xr:uid="{265E2EAB-9EAC-4CAC-B2CA-31E1E5F146E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30" operator="equal" id="{FDC729FA-5C2C-4D50-A4A7-3D6761C76856}">
            <xm:f>PowellReleaseTemperature!$B$10</xm:f>
            <x14:dxf>
              <font>
                <color auto="1"/>
              </font>
              <fill>
                <patternFill>
                  <bgColor theme="4"/>
                </patternFill>
              </fill>
            </x14:dxf>
          </x14:cfRule>
          <x14:cfRule type="cellIs" priority="31" operator="equal" id="{3A6008C5-068A-4FAB-B211-EB7C240F3DEA}">
            <xm:f>PowellReleaseTemperature!$B$9</xm:f>
            <x14:dxf>
              <font>
                <color theme="4" tint="-0.24994659260841701"/>
              </font>
              <fill>
                <patternFill>
                  <bgColor theme="8" tint="0.59996337778862885"/>
                </patternFill>
              </fill>
            </x14:dxf>
          </x14:cfRule>
          <x14:cfRule type="cellIs" priority="32" operator="equal" id="{79B8E7E8-066E-4475-A48F-5199EE3D8BFE}">
            <xm:f>PowellReleaseTemperature!$B$8</xm:f>
            <x14:dxf>
              <font>
                <color rgb="FF9C0006"/>
              </font>
              <fill>
                <patternFill>
                  <bgColor rgb="FFFFC7CE"/>
                </patternFill>
              </fill>
            </x14:dxf>
          </x14:cfRule>
          <x14:cfRule type="cellIs" priority="33"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6" operator="equal" id="{590B7319-E0E9-48A1-834F-F8AFDF2F99E1}">
            <xm:f>PowellReleaseTemperature!$E$5</xm:f>
            <x14:dxf>
              <font>
                <color auto="1"/>
              </font>
              <fill>
                <patternFill>
                  <bgColor rgb="FFFF0000"/>
                </patternFill>
              </fill>
            </x14:dxf>
          </x14:cfRule>
          <x14:cfRule type="cellIs" priority="27" operator="equal" id="{4FDD0B3C-383A-4F44-B8B9-BA5C65EA8377}">
            <xm:f>PowellReleaseTemperature!$E$8</xm:f>
            <x14:dxf>
              <font>
                <color rgb="FF9C0006"/>
              </font>
              <fill>
                <patternFill>
                  <bgColor rgb="FFFFC7CE"/>
                </patternFill>
              </fill>
            </x14:dxf>
          </x14:cfRule>
          <x14:cfRule type="cellIs" priority="28" operator="equal" id="{3CB5E7AA-B917-4E47-839A-0C85FCC34671}">
            <xm:f>PowellReleaseTemperature!$E$9</xm:f>
            <x14:dxf>
              <font>
                <color theme="4" tint="-0.24994659260841701"/>
              </font>
              <fill>
                <patternFill>
                  <bgColor theme="8" tint="0.59996337778862885"/>
                </patternFill>
              </fill>
            </x14:dxf>
          </x14:cfRule>
          <x14:cfRule type="cellIs" priority="29"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3" operator="equal" id="{4CD1BC81-F0DD-4150-AC8A-EB7D840AE113}">
            <xm:f>PowellReleaseTemperature!$F$10</xm:f>
            <x14:dxf>
              <font>
                <color auto="1"/>
              </font>
              <fill>
                <patternFill>
                  <bgColor theme="4"/>
                </patternFill>
              </fill>
            </x14:dxf>
          </x14:cfRule>
          <x14:cfRule type="cellIs" priority="24" operator="equal" id="{253607B2-DC04-4898-BC73-A255ABEF6E9B}">
            <xm:f>PowellReleaseTemperature!$F$9</xm:f>
            <x14:dxf>
              <font>
                <color theme="4" tint="-0.24994659260841701"/>
              </font>
              <fill>
                <patternFill>
                  <bgColor theme="8" tint="0.59996337778862885"/>
                </patternFill>
              </fill>
            </x14:dxf>
          </x14:cfRule>
          <x14:cfRule type="cellIs" priority="25"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 id="{28D67837-A7D1-4B30-B4FC-7F96897D3E7C}">
            <x14:iconSet iconSet="3Symbols" custom="1">
              <x14:cfvo type="percent">
                <xm:f>0</xm:f>
              </x14:cfvo>
              <x14:cfvo type="num">
                <xm:f>$C$64</xm:f>
              </x14:cfvo>
              <x14:cfvo type="num">
                <xm:f>$C$64</xm:f>
              </x14:cfvo>
              <x14:cfIcon iconSet="NoIcons" iconId="0"/>
              <x14:cfIcon iconSet="3Symbols2" iconId="0"/>
              <x14:cfIcon iconSet="3Symbols2" iconId="0"/>
            </x14:iconSet>
          </x14:cfRule>
          <xm:sqref>B65:L65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workbookViewId="0"/>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zoomScale="150" zoomScaleNormal="150" workbookViewId="0">
      <selection sqref="A1:G1"/>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57"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53" t="str">
        <f>'ReadMe-Directions'!A1</f>
        <v>Colorado River Basin Accounts: Provoke Thought and Discussion about New Operations</v>
      </c>
      <c r="B1" s="253"/>
      <c r="C1" s="253"/>
      <c r="D1" s="253"/>
      <c r="E1" s="253"/>
      <c r="F1" s="253"/>
      <c r="G1" s="253"/>
    </row>
    <row r="2" spans="1:14" x14ac:dyDescent="0.35">
      <c r="A2" s="1" t="s">
        <v>372</v>
      </c>
      <c r="B2" s="1"/>
    </row>
    <row r="3" spans="1:14" ht="32.15" customHeight="1" x14ac:dyDescent="0.35">
      <c r="A3" s="263" t="s">
        <v>365</v>
      </c>
      <c r="B3" s="263"/>
      <c r="C3" s="263"/>
      <c r="D3" s="263"/>
      <c r="E3" s="263"/>
      <c r="F3" s="263"/>
      <c r="G3" s="263"/>
      <c r="H3" s="180"/>
      <c r="I3" s="180"/>
      <c r="J3" s="180"/>
      <c r="K3" s="180"/>
      <c r="N3" s="153" t="s">
        <v>296</v>
      </c>
    </row>
    <row r="4" spans="1:14" x14ac:dyDescent="0.35">
      <c r="A4" s="141" t="s">
        <v>235</v>
      </c>
      <c r="B4" s="141" t="s">
        <v>31</v>
      </c>
      <c r="C4" s="264" t="s">
        <v>32</v>
      </c>
      <c r="D4" s="265"/>
      <c r="E4" s="265"/>
      <c r="F4" s="265"/>
      <c r="G4" s="266"/>
      <c r="N4" s="155" t="s">
        <v>260</v>
      </c>
    </row>
    <row r="5" spans="1:14" x14ac:dyDescent="0.35">
      <c r="A5" s="204" t="s">
        <v>28</v>
      </c>
      <c r="B5" s="181"/>
      <c r="C5" s="267"/>
      <c r="D5" s="262"/>
      <c r="E5" s="262"/>
      <c r="F5" s="262"/>
      <c r="G5" s="262"/>
      <c r="N5" s="159"/>
    </row>
    <row r="6" spans="1:14" x14ac:dyDescent="0.35">
      <c r="A6" s="204" t="s">
        <v>29</v>
      </c>
      <c r="B6" s="181"/>
      <c r="C6" s="267"/>
      <c r="D6" s="262"/>
      <c r="E6" s="262"/>
      <c r="F6" s="262"/>
      <c r="G6" s="262"/>
      <c r="N6" s="159"/>
    </row>
    <row r="7" spans="1:14" x14ac:dyDescent="0.35">
      <c r="A7" s="204" t="s">
        <v>30</v>
      </c>
      <c r="B7" s="181"/>
      <c r="C7" s="267"/>
      <c r="D7" s="262"/>
      <c r="E7" s="262"/>
      <c r="F7" s="262"/>
      <c r="G7" s="262"/>
      <c r="N7" s="159"/>
    </row>
    <row r="8" spans="1:14" x14ac:dyDescent="0.35">
      <c r="A8" s="181" t="s">
        <v>94</v>
      </c>
      <c r="B8" s="204"/>
      <c r="C8" s="262"/>
      <c r="D8" s="262"/>
      <c r="E8" s="262"/>
      <c r="F8" s="262"/>
      <c r="G8" s="262"/>
      <c r="N8" s="159"/>
    </row>
    <row r="9" spans="1:14" x14ac:dyDescent="0.35">
      <c r="A9" s="181" t="s">
        <v>334</v>
      </c>
      <c r="B9" s="204"/>
      <c r="C9" s="268"/>
      <c r="D9" s="268"/>
      <c r="E9" s="268"/>
      <c r="F9" s="268"/>
      <c r="G9" s="268"/>
      <c r="N9" s="159"/>
    </row>
    <row r="10" spans="1:14" x14ac:dyDescent="0.35">
      <c r="A10" s="182" t="s">
        <v>97</v>
      </c>
      <c r="B10" s="182"/>
      <c r="C10" s="269"/>
      <c r="D10" s="269"/>
      <c r="E10" s="269"/>
      <c r="F10" s="269"/>
      <c r="G10" s="269"/>
      <c r="N10" s="159"/>
    </row>
    <row r="11" spans="1:14" x14ac:dyDescent="0.35">
      <c r="A11" s="14"/>
      <c r="B11" s="2"/>
      <c r="C11"/>
      <c r="N11" s="159"/>
    </row>
    <row r="12" spans="1:14" x14ac:dyDescent="0.35">
      <c r="A12" s="16" t="s">
        <v>236</v>
      </c>
      <c r="B12" s="270" t="s">
        <v>238</v>
      </c>
      <c r="C12" s="271"/>
      <c r="D12" s="272"/>
      <c r="N12" s="158" t="s">
        <v>261</v>
      </c>
    </row>
    <row r="13" spans="1:14" x14ac:dyDescent="0.35">
      <c r="B13" s="273" t="s">
        <v>239</v>
      </c>
      <c r="C13" s="274"/>
      <c r="D13" s="275"/>
      <c r="N13" s="159"/>
    </row>
    <row r="14" spans="1:14" x14ac:dyDescent="0.35">
      <c r="B14" s="254" t="s">
        <v>240</v>
      </c>
      <c r="C14" s="255"/>
      <c r="D14" s="256"/>
      <c r="N14" s="159"/>
    </row>
    <row r="15" spans="1:14" x14ac:dyDescent="0.35">
      <c r="B15" s="257" t="s">
        <v>33</v>
      </c>
      <c r="C15" s="258"/>
      <c r="D15" s="259"/>
      <c r="N15" s="159"/>
    </row>
    <row r="16" spans="1:14" x14ac:dyDescent="0.35">
      <c r="N16" s="159"/>
    </row>
    <row r="17" spans="1:14" x14ac:dyDescent="0.35">
      <c r="A17" s="1" t="s">
        <v>237</v>
      </c>
      <c r="B17" s="1" t="s">
        <v>81</v>
      </c>
      <c r="C17" s="12" t="s">
        <v>82</v>
      </c>
      <c r="N17" s="158" t="s">
        <v>262</v>
      </c>
    </row>
    <row r="18" spans="1:14" x14ac:dyDescent="0.35">
      <c r="A18" t="s">
        <v>80</v>
      </c>
      <c r="B18" s="122">
        <v>5.73</v>
      </c>
      <c r="C18" s="122">
        <v>6</v>
      </c>
      <c r="D18" s="17"/>
      <c r="N18" s="158" t="s">
        <v>264</v>
      </c>
    </row>
    <row r="19" spans="1:14" x14ac:dyDescent="0.35">
      <c r="A19" t="s">
        <v>257</v>
      </c>
      <c r="B19" s="122">
        <v>7.2</v>
      </c>
      <c r="C19" s="122">
        <v>9</v>
      </c>
      <c r="D19" s="143" t="s">
        <v>243</v>
      </c>
      <c r="F19" s="143"/>
      <c r="N19" s="158" t="s">
        <v>263</v>
      </c>
    </row>
    <row r="20" spans="1:14" x14ac:dyDescent="0.35">
      <c r="A20" t="s">
        <v>118</v>
      </c>
      <c r="B20" s="177">
        <v>3525</v>
      </c>
      <c r="C20" s="177">
        <v>1020</v>
      </c>
      <c r="D20" s="11"/>
      <c r="N20" s="158" t="s">
        <v>265</v>
      </c>
    </row>
    <row r="21" spans="1:14" x14ac:dyDescent="0.35">
      <c r="A21" t="s">
        <v>110</v>
      </c>
      <c r="B21" s="122">
        <f>VLOOKUP(B20,'Powell-Elevation-Area'!$A$5:$B$689,2)/1000000</f>
        <v>5.9265762500000001</v>
      </c>
      <c r="C21" s="122">
        <f>VLOOKUP(C20,'Mead-Elevation-Area'!$A$5:$B$689,2)/1000000</f>
        <v>5.664593</v>
      </c>
      <c r="D21" s="11"/>
      <c r="E21" s="30"/>
      <c r="N21" s="158" t="s">
        <v>267</v>
      </c>
    </row>
    <row r="22" spans="1:14" x14ac:dyDescent="0.35">
      <c r="A22" t="s">
        <v>249</v>
      </c>
      <c r="B22" s="122">
        <f>78.1</f>
        <v>78.099999999999994</v>
      </c>
      <c r="C22"/>
      <c r="D22" s="123"/>
      <c r="E22" s="30"/>
      <c r="N22" s="158" t="s">
        <v>266</v>
      </c>
    </row>
    <row r="23" spans="1:14" x14ac:dyDescent="0.35">
      <c r="A23" t="s">
        <v>250</v>
      </c>
      <c r="B23" s="144">
        <v>0.17</v>
      </c>
      <c r="C23"/>
      <c r="D23" s="123"/>
      <c r="E23" s="30"/>
      <c r="N23" s="158" t="s">
        <v>268</v>
      </c>
    </row>
    <row r="24" spans="1:14" x14ac:dyDescent="0.35">
      <c r="A24" t="s">
        <v>248</v>
      </c>
      <c r="B24" s="122">
        <f>10*(7.5+1.5/2)-B22-B23</f>
        <v>4.2300000000000058</v>
      </c>
      <c r="C24"/>
      <c r="D24" s="123"/>
      <c r="E24" s="30"/>
      <c r="N24" s="158" t="s">
        <v>269</v>
      </c>
    </row>
    <row r="25" spans="1:14" x14ac:dyDescent="0.35">
      <c r="A25" t="s">
        <v>307</v>
      </c>
      <c r="B25" s="122">
        <f>2.3 - IF(A9&lt;&gt;"",1.06,0)</f>
        <v>1.2399999999999998</v>
      </c>
      <c r="C25"/>
      <c r="D25" s="123"/>
      <c r="E25" s="30"/>
      <c r="N25" s="178" t="s">
        <v>314</v>
      </c>
    </row>
    <row r="26" spans="1:14" x14ac:dyDescent="0.35">
      <c r="B26" s="30"/>
      <c r="N26" s="159"/>
    </row>
    <row r="27" spans="1:14" s="1" customFormat="1" hidden="1" x14ac:dyDescent="0.35">
      <c r="A27" s="113" t="s">
        <v>227</v>
      </c>
      <c r="B27" s="114" t="s">
        <v>34</v>
      </c>
      <c r="C27" s="114" t="s">
        <v>0</v>
      </c>
      <c r="D27" s="114" t="s">
        <v>1</v>
      </c>
      <c r="E27" s="114" t="s">
        <v>2</v>
      </c>
      <c r="F27" s="114" t="s">
        <v>3</v>
      </c>
      <c r="G27" s="114" t="s">
        <v>4</v>
      </c>
      <c r="H27" s="114" t="s">
        <v>5</v>
      </c>
      <c r="I27" s="114" t="s">
        <v>6</v>
      </c>
      <c r="J27" s="114" t="s">
        <v>7</v>
      </c>
      <c r="K27" s="114" t="s">
        <v>26</v>
      </c>
      <c r="L27" s="114" t="s">
        <v>27</v>
      </c>
      <c r="M27" s="114" t="s">
        <v>79</v>
      </c>
      <c r="N27" s="154" t="str">
        <f>N3</f>
        <v>HELP, CONTEXT, and SUGGESTIONS</v>
      </c>
    </row>
    <row r="28" spans="1:14" x14ac:dyDescent="0.35">
      <c r="A28" s="138" t="s">
        <v>223</v>
      </c>
      <c r="B28" s="1"/>
      <c r="C28" s="108">
        <v>0</v>
      </c>
      <c r="D28" s="108">
        <v>0</v>
      </c>
      <c r="E28" s="108">
        <v>0.2</v>
      </c>
      <c r="F28" s="108">
        <v>2.1</v>
      </c>
      <c r="G28" s="108">
        <v>3.5</v>
      </c>
      <c r="H28" s="108">
        <v>6</v>
      </c>
      <c r="I28" s="108">
        <v>8</v>
      </c>
      <c r="J28" s="108">
        <v>11.26</v>
      </c>
      <c r="K28" s="108">
        <v>12.5</v>
      </c>
      <c r="L28" s="108">
        <v>16</v>
      </c>
      <c r="N28" s="155" t="s">
        <v>270</v>
      </c>
    </row>
    <row r="29" spans="1:14" x14ac:dyDescent="0.35">
      <c r="A29" s="1" t="s">
        <v>86</v>
      </c>
      <c r="B29" s="1"/>
      <c r="C29" s="107">
        <v>0</v>
      </c>
      <c r="D29" s="107">
        <v>0.5</v>
      </c>
      <c r="E29" s="107">
        <f t="shared" ref="E29:L29" si="0">IF(E$28&lt;&gt;"",0.8,"")</f>
        <v>0.8</v>
      </c>
      <c r="F29" s="107">
        <f t="shared" si="0"/>
        <v>0.8</v>
      </c>
      <c r="G29" s="107">
        <f t="shared" si="0"/>
        <v>0.8</v>
      </c>
      <c r="H29" s="107">
        <f t="shared" si="0"/>
        <v>0.8</v>
      </c>
      <c r="I29" s="107">
        <f t="shared" si="0"/>
        <v>0.8</v>
      </c>
      <c r="J29" s="107">
        <f t="shared" si="0"/>
        <v>0.8</v>
      </c>
      <c r="K29" s="107">
        <f t="shared" si="0"/>
        <v>0.8</v>
      </c>
      <c r="L29" s="107">
        <f t="shared" si="0"/>
        <v>0.8</v>
      </c>
      <c r="N29" s="158" t="s">
        <v>271</v>
      </c>
    </row>
    <row r="30" spans="1:14" x14ac:dyDescent="0.35">
      <c r="A30" s="1" t="s">
        <v>203</v>
      </c>
      <c r="B30" s="1"/>
      <c r="C30" s="107">
        <v>0</v>
      </c>
      <c r="D30" s="107">
        <v>0.1</v>
      </c>
      <c r="E30" s="107">
        <f t="shared" ref="E30:L30" si="1">IF(E$28&lt;&gt;"",0.2,"")</f>
        <v>0.2</v>
      </c>
      <c r="F30" s="107">
        <f t="shared" si="1"/>
        <v>0.2</v>
      </c>
      <c r="G30" s="107">
        <f t="shared" si="1"/>
        <v>0.2</v>
      </c>
      <c r="H30" s="107">
        <f t="shared" si="1"/>
        <v>0.2</v>
      </c>
      <c r="I30" s="107">
        <f t="shared" si="1"/>
        <v>0.2</v>
      </c>
      <c r="J30" s="107">
        <f t="shared" si="1"/>
        <v>0.2</v>
      </c>
      <c r="K30" s="107">
        <f t="shared" si="1"/>
        <v>0.2</v>
      </c>
      <c r="L30" s="107">
        <f t="shared" si="1"/>
        <v>0.2</v>
      </c>
      <c r="N30" s="158" t="s">
        <v>272</v>
      </c>
    </row>
    <row r="31" spans="1:14" x14ac:dyDescent="0.35">
      <c r="A31" s="1" t="s">
        <v>182</v>
      </c>
      <c r="B31" s="1"/>
      <c r="C31" s="107">
        <f>IF(C$28&lt;&gt;"",0.6,"")</f>
        <v>0.6</v>
      </c>
      <c r="D31" s="107">
        <f t="shared" ref="D31:L31" si="2">IF(D$28&lt;&gt;"",0.6,"")</f>
        <v>0.6</v>
      </c>
      <c r="E31" s="107">
        <f t="shared" si="2"/>
        <v>0.6</v>
      </c>
      <c r="F31" s="107">
        <f t="shared" si="2"/>
        <v>0.6</v>
      </c>
      <c r="G31" s="107">
        <f t="shared" si="2"/>
        <v>0.6</v>
      </c>
      <c r="H31" s="107">
        <f t="shared" si="2"/>
        <v>0.6</v>
      </c>
      <c r="I31" s="107">
        <f t="shared" si="2"/>
        <v>0.6</v>
      </c>
      <c r="J31" s="107">
        <f t="shared" si="2"/>
        <v>0.6</v>
      </c>
      <c r="K31" s="107">
        <f t="shared" si="2"/>
        <v>0.6</v>
      </c>
      <c r="L31" s="107">
        <f t="shared" si="2"/>
        <v>0.6</v>
      </c>
      <c r="N31" s="158" t="s">
        <v>273</v>
      </c>
    </row>
    <row r="32" spans="1:14" x14ac:dyDescent="0.35">
      <c r="A32" s="1" t="s">
        <v>367</v>
      </c>
      <c r="C32"/>
      <c r="N32" s="158" t="s">
        <v>294</v>
      </c>
    </row>
    <row r="33" spans="1:16" x14ac:dyDescent="0.35">
      <c r="A33" t="s">
        <v>83</v>
      </c>
      <c r="C33" s="13">
        <f>IF(C$28&lt;&gt;"",IF(COLUMN(C27)=COLUMN($C27),$B$19,#REF!),"")</f>
        <v>7.2</v>
      </c>
      <c r="D33" s="13">
        <f>C33</f>
        <v>7.2</v>
      </c>
      <c r="E33" s="13">
        <f t="shared" ref="E33:L35" si="3">D33</f>
        <v>7.2</v>
      </c>
      <c r="F33" s="13">
        <f t="shared" si="3"/>
        <v>7.2</v>
      </c>
      <c r="G33" s="13">
        <f t="shared" si="3"/>
        <v>7.2</v>
      </c>
      <c r="H33" s="13">
        <f t="shared" si="3"/>
        <v>7.2</v>
      </c>
      <c r="I33" s="13">
        <f t="shared" si="3"/>
        <v>7.2</v>
      </c>
      <c r="J33" s="13">
        <f t="shared" si="3"/>
        <v>7.2</v>
      </c>
      <c r="K33" s="13">
        <f t="shared" si="3"/>
        <v>7.2</v>
      </c>
      <c r="L33" s="13">
        <f t="shared" si="3"/>
        <v>7.2</v>
      </c>
      <c r="N33" s="159"/>
    </row>
    <row r="34" spans="1:16" x14ac:dyDescent="0.35">
      <c r="A34" t="s">
        <v>84</v>
      </c>
      <c r="C34" s="13">
        <f>IF(C$28&lt;&gt;"",IF(COLUMN(C28)=COLUMN($C28),$C$19,#REF!),"")</f>
        <v>9</v>
      </c>
      <c r="D34" s="13">
        <f>C34</f>
        <v>9</v>
      </c>
      <c r="E34" s="13">
        <f t="shared" si="3"/>
        <v>9</v>
      </c>
      <c r="F34" s="13">
        <f t="shared" si="3"/>
        <v>9</v>
      </c>
      <c r="G34" s="13">
        <f t="shared" si="3"/>
        <v>9</v>
      </c>
      <c r="H34" s="13">
        <f t="shared" si="3"/>
        <v>9</v>
      </c>
      <c r="I34" s="13">
        <f t="shared" si="3"/>
        <v>9</v>
      </c>
      <c r="J34" s="13">
        <f t="shared" si="3"/>
        <v>9</v>
      </c>
      <c r="K34" s="13">
        <f t="shared" si="3"/>
        <v>9</v>
      </c>
      <c r="L34" s="13">
        <f t="shared" si="3"/>
        <v>9</v>
      </c>
      <c r="N34" s="159"/>
    </row>
    <row r="35" spans="1:16" x14ac:dyDescent="0.35">
      <c r="A35" s="1" t="s">
        <v>368</v>
      </c>
      <c r="B35" s="53"/>
      <c r="C35" s="13">
        <f>SUM(B21:C21)</f>
        <v>11.59116925</v>
      </c>
      <c r="D35" s="13">
        <f>C35</f>
        <v>11.59116925</v>
      </c>
      <c r="E35" s="13">
        <f t="shared" si="3"/>
        <v>11.59116925</v>
      </c>
      <c r="F35" s="13">
        <f t="shared" si="3"/>
        <v>11.59116925</v>
      </c>
      <c r="G35" s="13">
        <f t="shared" si="3"/>
        <v>11.59116925</v>
      </c>
      <c r="H35" s="13">
        <f t="shared" si="3"/>
        <v>11.59116925</v>
      </c>
      <c r="I35" s="13">
        <f t="shared" si="3"/>
        <v>11.59116925</v>
      </c>
      <c r="J35" s="13">
        <f t="shared" si="3"/>
        <v>11.59116925</v>
      </c>
      <c r="K35" s="13">
        <f t="shared" si="3"/>
        <v>11.59116925</v>
      </c>
      <c r="L35" s="13">
        <f t="shared" si="3"/>
        <v>11.59116925</v>
      </c>
      <c r="N35" s="159"/>
    </row>
    <row r="36" spans="1:16" x14ac:dyDescent="0.35">
      <c r="A36" s="1" t="s">
        <v>225</v>
      </c>
      <c r="B36" s="1"/>
      <c r="C36" s="13">
        <f>IF(C$28&lt;&gt;"",VLOOKUP(C33*1000000,'Powell-Elevation-Area'!$B$5:$D$689,3)*$B$18/1000000 + VLOOKUP(C34*1000000,'Mead-Elevation-Area'!$B$5:$D$676,3)*$C$18/1000000,"")</f>
        <v>0.86659952010057295</v>
      </c>
      <c r="D36" s="13">
        <f>IF(D$28&lt;&gt;"",VLOOKUP(D33*1000000,'Powell-Elevation-Area'!$B$5:$D$689,3)*$B$18/1000000 + VLOOKUP(D34*1000000,'Mead-Elevation-Area'!$B$5:$D$676,3)*$C$18/1000000,"")</f>
        <v>0.86659952010057295</v>
      </c>
      <c r="E36" s="13">
        <f>IF(E$28&lt;&gt;"",VLOOKUP(E33*1000000,'Powell-Elevation-Area'!$B$5:$D$689,3)*$B$18/1000000 + VLOOKUP(E34*1000000,'Mead-Elevation-Area'!$B$5:$D$676,3)*$C$18/1000000,"")</f>
        <v>0.86659952010057295</v>
      </c>
      <c r="F36" s="13">
        <f>IF(F$28&lt;&gt;"",VLOOKUP(F33*1000000,'Powell-Elevation-Area'!$B$5:$D$689,3)*$B$18/1000000 + VLOOKUP(F34*1000000,'Mead-Elevation-Area'!$B$5:$D$676,3)*$C$18/1000000,"")</f>
        <v>0.86659952010057295</v>
      </c>
      <c r="G36" s="13">
        <f>IF(G$28&lt;&gt;"",VLOOKUP(G33*1000000,'Powell-Elevation-Area'!$B$5:$D$689,3)*$B$18/1000000 + VLOOKUP(G34*1000000,'Mead-Elevation-Area'!$B$5:$D$676,3)*$C$18/1000000,"")</f>
        <v>0.86659952010057295</v>
      </c>
      <c r="H36" s="13">
        <f>IF(H$28&lt;&gt;"",VLOOKUP(H33*1000000,'Powell-Elevation-Area'!$B$5:$D$689,3)*$B$18/1000000 + VLOOKUP(H34*1000000,'Mead-Elevation-Area'!$B$5:$D$676,3)*$C$18/1000000,"")</f>
        <v>0.86659952010057295</v>
      </c>
      <c r="I36" s="13">
        <f>IF(I$28&lt;&gt;"",VLOOKUP(I33*1000000,'Powell-Elevation-Area'!$B$5:$D$689,3)*$B$18/1000000 + VLOOKUP(I34*1000000,'Mead-Elevation-Area'!$B$5:$D$676,3)*$C$18/1000000,"")</f>
        <v>0.86659952010057295</v>
      </c>
      <c r="J36" s="13">
        <f>IF(J$28&lt;&gt;"",VLOOKUP(J33*1000000,'Powell-Elevation-Area'!$B$5:$D$689,3)*$B$18/1000000 + VLOOKUP(J34*1000000,'Mead-Elevation-Area'!$B$5:$D$676,3)*$C$18/1000000,"")</f>
        <v>0.86659952010057295</v>
      </c>
      <c r="K36" s="13">
        <f>IF(K$28&lt;&gt;"",VLOOKUP(K33*1000000,'Powell-Elevation-Area'!$B$5:$D$689,3)*$B$18/1000000 + VLOOKUP(K34*1000000,'Mead-Elevation-Area'!$B$5:$D$676,3)*$C$18/1000000,"")</f>
        <v>0.86659952010057295</v>
      </c>
      <c r="L36" s="13">
        <f>IF(L$28&lt;&gt;"",VLOOKUP(L33*1000000,'Powell-Elevation-Area'!$B$5:$D$689,3)*$B$18/1000000 + VLOOKUP(L34*1000000,'Mead-Elevation-Area'!$B$5:$D$676,3)*$C$18/1000000,"")</f>
        <v>0.86659952010057295</v>
      </c>
      <c r="N36" s="158" t="s">
        <v>275</v>
      </c>
    </row>
    <row r="37" spans="1:16" x14ac:dyDescent="0.35">
      <c r="A37" t="str">
        <f>IF(A10="","","    "&amp;A10&amp;" Share")</f>
        <v xml:space="preserve">    Shared, Reserve Share</v>
      </c>
      <c r="B37" s="1"/>
      <c r="C37" s="13">
        <f>IF(OR(C$28="",$A37=""),"",C$36*C35/SUM(C33:C34))</f>
        <v>0.62005566107743937</v>
      </c>
      <c r="D37" s="13">
        <f t="shared" ref="D37:L37" si="4">IF(OR(D$28="",$A37=""),"",D$36*D35/SUM(D33:D34))</f>
        <v>0.62005566107743937</v>
      </c>
      <c r="E37" s="13">
        <f t="shared" si="4"/>
        <v>0.62005566107743937</v>
      </c>
      <c r="F37" s="13">
        <f t="shared" si="4"/>
        <v>0.62005566107743937</v>
      </c>
      <c r="G37" s="13">
        <f t="shared" si="4"/>
        <v>0.62005566107743937</v>
      </c>
      <c r="H37" s="13">
        <f t="shared" si="4"/>
        <v>0.62005566107743937</v>
      </c>
      <c r="I37" s="13">
        <f t="shared" si="4"/>
        <v>0.62005566107743937</v>
      </c>
      <c r="J37" s="13">
        <f t="shared" si="4"/>
        <v>0.62005566107743937</v>
      </c>
      <c r="K37" s="13">
        <f t="shared" si="4"/>
        <v>0.62005566107743937</v>
      </c>
      <c r="L37" s="13">
        <f t="shared" si="4"/>
        <v>0.62005566107743937</v>
      </c>
      <c r="N37" s="159"/>
    </row>
    <row r="38" spans="1:16" x14ac:dyDescent="0.35">
      <c r="A38" s="1" t="s">
        <v>226</v>
      </c>
      <c r="B38" s="54"/>
      <c r="C38" s="33">
        <f>IF(C$28&lt;&gt;"",1.5-0.21/9/2-VLOOKUP(C34,MandatoryConservation!$C$5:$P$13,13)-C31*(1.5/8.7),"")</f>
        <v>1.3048850574712643</v>
      </c>
      <c r="D38" s="33">
        <f>IF(D$28&lt;&gt;"",1.5-0.21/9/2-VLOOKUP(D34,MandatoryConservation!$C$5:$P$13,13)-D31*(1.5/8.7),"")</f>
        <v>1.3048850574712643</v>
      </c>
      <c r="E38" s="33">
        <f>IF(E$28&lt;&gt;"",1.5-0.21/9/2-VLOOKUP(E34,MandatoryConservation!$C$5:$P$13,13)-E31*(1.5/8.7),"")</f>
        <v>1.3048850574712643</v>
      </c>
      <c r="F38" s="33">
        <f>IF(F$28&lt;&gt;"",1.5-0.21/9/2-VLOOKUP(F34,MandatoryConservation!$C$5:$P$13,13)-F31*(1.5/8.7),"")</f>
        <v>1.3048850574712643</v>
      </c>
      <c r="G38" s="33">
        <f>IF(G$28&lt;&gt;"",1.5-0.21/9/2-VLOOKUP(G34,MandatoryConservation!$C$5:$P$13,13)-G31*(1.5/8.7),"")</f>
        <v>1.3048850574712643</v>
      </c>
      <c r="H38" s="33">
        <f>IF(H$28&lt;&gt;"",1.5-0.21/9/2-VLOOKUP(H34,MandatoryConservation!$C$5:$P$13,13)-H31*(1.5/8.7),"")</f>
        <v>1.3048850574712643</v>
      </c>
      <c r="I38" s="33">
        <f>IF(I$28&lt;&gt;"",1.5-0.21/9/2-VLOOKUP(I34,MandatoryConservation!$C$5:$P$13,13)-I31*(1.5/8.7),"")</f>
        <v>1.3048850574712643</v>
      </c>
      <c r="J38" s="33">
        <f>IF(J$28&lt;&gt;"",1.5-0.21/9/2-VLOOKUP(J34,MandatoryConservation!$C$5:$P$13,13)-J31*(1.5/8.7),"")</f>
        <v>1.3048850574712643</v>
      </c>
      <c r="K38" s="33">
        <f>IF(K$28&lt;&gt;"",1.5-0.21/9/2-VLOOKUP(K34,MandatoryConservation!$C$5:$P$13,13)-K31*(1.5/8.7),"")</f>
        <v>1.3048850574712643</v>
      </c>
      <c r="L38" s="33">
        <f>IF(L$28&lt;&gt;"",1.5-0.21/9/2-VLOOKUP(L34,MandatoryConservation!$C$5:$P$13,13)-L31*(1.5/8.7),"")</f>
        <v>1.3048850574712643</v>
      </c>
      <c r="M38">
        <v>16</v>
      </c>
      <c r="N38" s="158" t="s">
        <v>276</v>
      </c>
    </row>
    <row r="39" spans="1:16" x14ac:dyDescent="0.35">
      <c r="A39" s="138" t="s">
        <v>251</v>
      </c>
      <c r="B39" s="1"/>
      <c r="C39" s="13">
        <f t="shared" ref="C39:L39" si="5">IF(C28="","",SUM(C28:C30))</f>
        <v>0</v>
      </c>
      <c r="D39" s="13">
        <f t="shared" si="5"/>
        <v>0.6</v>
      </c>
      <c r="E39" s="13">
        <f t="shared" si="5"/>
        <v>1.2</v>
      </c>
      <c r="F39" s="13">
        <f t="shared" si="5"/>
        <v>3.1000000000000005</v>
      </c>
      <c r="G39" s="13">
        <f t="shared" si="5"/>
        <v>4.5</v>
      </c>
      <c r="H39" s="13">
        <f t="shared" si="5"/>
        <v>7</v>
      </c>
      <c r="I39" s="13">
        <f t="shared" si="5"/>
        <v>9</v>
      </c>
      <c r="J39" s="13">
        <f t="shared" si="5"/>
        <v>12.26</v>
      </c>
      <c r="K39" s="13">
        <f t="shared" si="5"/>
        <v>13.5</v>
      </c>
      <c r="L39" s="13">
        <f t="shared" si="5"/>
        <v>17</v>
      </c>
      <c r="M39" s="30" t="str">
        <f>Master!C50</f>
        <v/>
      </c>
      <c r="N39" s="156" t="s">
        <v>277</v>
      </c>
    </row>
    <row r="40" spans="1:16" x14ac:dyDescent="0.35">
      <c r="A40" t="str">
        <f t="shared" ref="A40:A45" si="6">IF(A5="","","    To "&amp;A5)</f>
        <v xml:space="preserve">    To Upper Basin</v>
      </c>
      <c r="B40" s="105" t="s">
        <v>308</v>
      </c>
      <c r="C40" s="87">
        <f>IF(OR(C$28="",$A41=""),"",MAX(0,C39-SUM(C41:C46)))</f>
        <v>0</v>
      </c>
      <c r="D40" s="87">
        <f t="shared" ref="D40:L40" si="7">IF(OR(D$28="",$A41=""),"",MAX(0,D39-SUM(D41:D46)))</f>
        <v>0</v>
      </c>
      <c r="E40" s="87">
        <f t="shared" si="7"/>
        <v>0</v>
      </c>
      <c r="F40" s="87">
        <f t="shared" si="7"/>
        <v>0</v>
      </c>
      <c r="G40" s="87">
        <f t="shared" si="7"/>
        <v>7.5104836375254891E-3</v>
      </c>
      <c r="H40" s="87">
        <f t="shared" si="7"/>
        <v>1.2399999999999993</v>
      </c>
      <c r="I40" s="87">
        <f t="shared" si="7"/>
        <v>1.2399999999999993</v>
      </c>
      <c r="J40" s="87">
        <f t="shared" si="7"/>
        <v>1.6638332278114518</v>
      </c>
      <c r="K40" s="87">
        <f t="shared" si="7"/>
        <v>2.903833227811452</v>
      </c>
      <c r="L40" s="87">
        <f t="shared" si="7"/>
        <v>6.403833227811452</v>
      </c>
      <c r="M40" s="30" t="str">
        <f>Master!C51</f>
        <v/>
      </c>
      <c r="N40" s="160"/>
      <c r="P40" s="87"/>
    </row>
    <row r="41" spans="1:16" x14ac:dyDescent="0.35">
      <c r="A41" t="str">
        <f t="shared" si="6"/>
        <v xml:space="preserve">    To Lower Basin</v>
      </c>
      <c r="B41" s="106">
        <f>7.5-IF($A$9="",0,0.95)-IF(C31="",0.6,C31)*IF($A$9="",(7.2/8.7),(7.2-0.95)/8.7)-B43/2</f>
        <v>6.1111877394636007</v>
      </c>
      <c r="C41" s="87">
        <f>IF(OR(C$28="",$A41=""),"",IF(C39&lt;=SUM(C42:C46),0,IF(C39&lt;=SUM(C42:C46)+2*$B$25,(C39-SUM(C42:C46))/2,IF(C39&lt;=SUM(C42:C46)+2*$B$25+$B$41-$B$25,C39-SUM(C42:C46)-$B$25,$B$41))))</f>
        <v>0</v>
      </c>
      <c r="D41" s="87">
        <f t="shared" ref="D41:L41" si="8">IF(OR(D$28="",$A41=""),"",IF(D39&lt;=SUM(D42:D46),0,IF(D39&lt;=SUM(D42:D46)+2*$B$25,(D39-SUM(D42:D46))/2,IF(D39&lt;=SUM(D42:D46)+2*$B$25+$B$41-$B$25,D39-SUM(D42:D46)-$B$25,$B$41))))</f>
        <v>0</v>
      </c>
      <c r="E41" s="87">
        <f t="shared" si="8"/>
        <v>0</v>
      </c>
      <c r="F41" s="87">
        <f t="shared" si="8"/>
        <v>0</v>
      </c>
      <c r="G41" s="87">
        <f t="shared" si="8"/>
        <v>7.5104836375259332E-3</v>
      </c>
      <c r="H41" s="87">
        <f t="shared" si="8"/>
        <v>1.2750209672750521</v>
      </c>
      <c r="I41" s="87">
        <f>IF(OR(I$28="",$A41=""),"",IF(I39&lt;=SUM(I42:I46),0,IF(I39&lt;=SUM(I42:I46)+2*$B$25,(I39-SUM(I42:I46))/2,IF(I39&lt;=SUM(I42:I46)+2*$B$25+$B$41-$B$25,I39-SUM(I42:I46)-$B$25,$B$41))))</f>
        <v>3.2750209672750521</v>
      </c>
      <c r="J41" s="87">
        <f t="shared" si="8"/>
        <v>6.1111877394636007</v>
      </c>
      <c r="K41" s="87">
        <f t="shared" si="8"/>
        <v>6.1111877394636007</v>
      </c>
      <c r="L41" s="87">
        <f t="shared" si="8"/>
        <v>6.1111877394636007</v>
      </c>
      <c r="M41" s="30" t="str">
        <f>Master!C52</f>
        <v/>
      </c>
      <c r="N41" s="160"/>
      <c r="P41" s="87"/>
    </row>
    <row r="42" spans="1:16" x14ac:dyDescent="0.35">
      <c r="A42" t="str">
        <f t="shared" si="6"/>
        <v xml:space="preserve">    To Mexico</v>
      </c>
      <c r="B42" s="106" t="s">
        <v>395</v>
      </c>
      <c r="C42" s="88">
        <f>IF(OR(C$28="",$A42=""),"",MIN(C38,C$39-SUM(C43:C46)))</f>
        <v>0</v>
      </c>
      <c r="D42" s="88">
        <f t="shared" ref="D42:L42" si="9">IF(OR(D$28="",$A42=""),"",MIN(D38,D$39-SUM(D43:D46)))</f>
        <v>0</v>
      </c>
      <c r="E42" s="88">
        <f t="shared" si="9"/>
        <v>0</v>
      </c>
      <c r="F42" s="88">
        <f t="shared" si="9"/>
        <v>0</v>
      </c>
      <c r="G42" s="88">
        <f t="shared" si="9"/>
        <v>1.3048850574712643</v>
      </c>
      <c r="H42" s="88">
        <f t="shared" si="9"/>
        <v>1.3048850574712643</v>
      </c>
      <c r="I42" s="87">
        <f t="shared" si="9"/>
        <v>1.3048850574712643</v>
      </c>
      <c r="J42" s="87">
        <f t="shared" si="9"/>
        <v>1.3048850574712643</v>
      </c>
      <c r="K42" s="87">
        <f t="shared" si="9"/>
        <v>1.3048850574712643</v>
      </c>
      <c r="L42" s="87">
        <f t="shared" si="9"/>
        <v>1.3048850574712643</v>
      </c>
      <c r="M42" s="30" t="str">
        <f>Master!C53</f>
        <v/>
      </c>
      <c r="N42" s="160"/>
    </row>
    <row r="43" spans="1:16" x14ac:dyDescent="0.35">
      <c r="A43" t="str">
        <f t="shared" si="6"/>
        <v xml:space="preserve">    To Colorado River Delta</v>
      </c>
      <c r="B43" s="115">
        <f>0.21/9*(2/3)</f>
        <v>1.5555555555555553E-2</v>
      </c>
      <c r="C43" s="116">
        <f>IF(OR(C$28="",$A43=""),"",MIN($B43,C$39-SUM(C44:C46)))</f>
        <v>0</v>
      </c>
      <c r="D43" s="116">
        <f t="shared" ref="D43:L43" si="10">IF(OR(D$28="",$A43=""),"",MIN($B43,D$39-SUM(D44:D46)))</f>
        <v>0</v>
      </c>
      <c r="E43" s="116">
        <f t="shared" si="10"/>
        <v>0</v>
      </c>
      <c r="F43" s="116">
        <f t="shared" si="10"/>
        <v>0</v>
      </c>
      <c r="G43" s="116">
        <f t="shared" si="10"/>
        <v>1.5555555555555553E-2</v>
      </c>
      <c r="H43" s="116">
        <f t="shared" si="10"/>
        <v>1.5555555555555553E-2</v>
      </c>
      <c r="I43" s="116">
        <f t="shared" si="10"/>
        <v>1.5555555555555553E-2</v>
      </c>
      <c r="J43" s="116">
        <f t="shared" si="10"/>
        <v>1.5555555555555553E-2</v>
      </c>
      <c r="K43" s="116">
        <f t="shared" si="10"/>
        <v>1.5555555555555553E-2</v>
      </c>
      <c r="L43" s="116">
        <f t="shared" si="10"/>
        <v>1.5555555555555553E-2</v>
      </c>
      <c r="M43" s="209" t="str">
        <f>Master!C54</f>
        <v/>
      </c>
      <c r="N43" s="160"/>
    </row>
    <row r="44" spans="1:16" x14ac:dyDescent="0.35">
      <c r="A44" t="str">
        <f t="shared" si="6"/>
        <v xml:space="preserve">    To First Nations</v>
      </c>
      <c r="B44" s="106">
        <f>IF($A$9&lt;&gt;"",2.01-C31*0.95/8.7,"")</f>
        <v>1.9444827586206894</v>
      </c>
      <c r="C44" s="87">
        <f>IF(OR(C$28="",$A44=""),"",MIN($B44,C$39-SUM(C45:C46)))</f>
        <v>0</v>
      </c>
      <c r="D44" s="87">
        <f t="shared" ref="D44:F44" si="11">IF(OR(D$28="",$A44=""),"",MIN($B44,D$39-SUM(D45:D46)))</f>
        <v>0</v>
      </c>
      <c r="E44" s="87">
        <f>IF(OR(E$28="",$A44=""),"",MIN($B44,E$39-SUM(E45:E46)))</f>
        <v>0</v>
      </c>
      <c r="F44" s="87">
        <f t="shared" si="11"/>
        <v>1.8799443389225612</v>
      </c>
      <c r="G44" s="87">
        <f>IF(OR(G$28="",$A44=""),"",MIN($B44,G$39-SUM(G45:G46)))</f>
        <v>1.9444827586206894</v>
      </c>
      <c r="H44" s="87">
        <f t="shared" ref="H44:L44" si="12">IF(OR(H$28="",$A44=""),"",MIN($B44,H$39-SUM(H45:H46)))</f>
        <v>1.9444827586206894</v>
      </c>
      <c r="I44" s="87">
        <f t="shared" si="12"/>
        <v>1.9444827586206894</v>
      </c>
      <c r="J44" s="87">
        <f t="shared" si="12"/>
        <v>1.9444827586206894</v>
      </c>
      <c r="K44" s="87">
        <f t="shared" si="12"/>
        <v>1.9444827586206894</v>
      </c>
      <c r="L44" s="87">
        <f t="shared" si="12"/>
        <v>1.9444827586206894</v>
      </c>
      <c r="M44" s="30" t="str">
        <f>Master!C55</f>
        <v/>
      </c>
      <c r="N44" s="160"/>
    </row>
    <row r="45" spans="1:16" x14ac:dyDescent="0.35">
      <c r="A45" t="str">
        <f t="shared" si="6"/>
        <v xml:space="preserve">    To Shared, Reserve</v>
      </c>
      <c r="B45" s="106" t="s">
        <v>213</v>
      </c>
      <c r="C45" s="210">
        <f>IF(OR(C$28="",$A45=""),"",IF(C$39&gt;C37,C37,C39))</f>
        <v>0</v>
      </c>
      <c r="D45" s="170">
        <f t="shared" ref="D45:L45" si="13">IF(OR(D$28="",$A45=""),"",IF(D$39&gt;D37,D37,D39))</f>
        <v>0.6</v>
      </c>
      <c r="E45" s="170">
        <f t="shared" si="13"/>
        <v>0.62005566107743937</v>
      </c>
      <c r="F45" s="170">
        <f t="shared" si="13"/>
        <v>0.62005566107743937</v>
      </c>
      <c r="G45" s="170">
        <f t="shared" si="13"/>
        <v>0.62005566107743937</v>
      </c>
      <c r="H45" s="170">
        <f t="shared" si="13"/>
        <v>0.62005566107743937</v>
      </c>
      <c r="I45" s="170">
        <f t="shared" si="13"/>
        <v>0.62005566107743937</v>
      </c>
      <c r="J45" s="170">
        <f t="shared" si="13"/>
        <v>0.62005566107743937</v>
      </c>
      <c r="K45" s="170">
        <f t="shared" si="13"/>
        <v>0.62005566107743937</v>
      </c>
      <c r="L45" s="170">
        <f t="shared" si="13"/>
        <v>0.62005566107743937</v>
      </c>
      <c r="M45" s="30" t="str">
        <f>Master!C56</f>
        <v/>
      </c>
      <c r="N45" s="160"/>
    </row>
    <row r="46" spans="1:16" x14ac:dyDescent="0.35">
      <c r="A46" t="str">
        <f>IF(A31="","","    To "&amp;A31)</f>
        <v xml:space="preserve">    To Havasu / Parker evaporation and ET</v>
      </c>
      <c r="B46" s="169" t="s">
        <v>309</v>
      </c>
      <c r="C46" s="211">
        <f>IF(OR(C$28="",$A46=""),"",MIN(C31,C39-C45))</f>
        <v>0</v>
      </c>
      <c r="D46" s="171">
        <f>IF(OR(D$28="",$A46=""),"",MIN(D31,D39-D45))</f>
        <v>0</v>
      </c>
      <c r="E46" s="171">
        <f t="shared" ref="E46:L46" si="14">IF(OR(E$28="",$A46=""),"",MIN(E31,E39-E45))</f>
        <v>0.57994433892256059</v>
      </c>
      <c r="F46" s="171">
        <f t="shared" si="14"/>
        <v>0.6</v>
      </c>
      <c r="G46" s="171">
        <f t="shared" si="14"/>
        <v>0.6</v>
      </c>
      <c r="H46" s="171">
        <f t="shared" si="14"/>
        <v>0.6</v>
      </c>
      <c r="I46" s="171">
        <f t="shared" si="14"/>
        <v>0.6</v>
      </c>
      <c r="J46" s="171">
        <f t="shared" si="14"/>
        <v>0.6</v>
      </c>
      <c r="K46" s="171">
        <f t="shared" si="14"/>
        <v>0.6</v>
      </c>
      <c r="L46" s="171">
        <f t="shared" si="14"/>
        <v>0.6</v>
      </c>
      <c r="M46" s="30" t="str">
        <f>Master!C57</f>
        <v/>
      </c>
      <c r="N46" s="160"/>
    </row>
    <row r="47" spans="1:16" x14ac:dyDescent="0.35">
      <c r="B47" s="20"/>
      <c r="C47" s="19"/>
      <c r="D47" s="19"/>
      <c r="E47" s="19"/>
      <c r="F47" s="129"/>
      <c r="G47" s="30"/>
      <c r="N47" s="159"/>
    </row>
    <row r="48" spans="1:16" x14ac:dyDescent="0.35">
      <c r="B48" t="s">
        <v>389</v>
      </c>
      <c r="C48" s="209">
        <f>SUM(C40:C46)</f>
        <v>0</v>
      </c>
      <c r="D48" s="209">
        <f>SUM(D40:D46)</f>
        <v>0.6</v>
      </c>
      <c r="E48" s="209">
        <f t="shared" ref="E48:L48" si="15">SUM(E40:E46)</f>
        <v>1.2</v>
      </c>
      <c r="F48" s="209">
        <f t="shared" si="15"/>
        <v>3.1000000000000005</v>
      </c>
      <c r="G48" s="209">
        <f t="shared" si="15"/>
        <v>4.5</v>
      </c>
      <c r="H48" s="209">
        <f t="shared" si="15"/>
        <v>7</v>
      </c>
      <c r="I48" s="209">
        <f t="shared" si="15"/>
        <v>8.9999999999999982</v>
      </c>
      <c r="J48" s="209">
        <f t="shared" si="15"/>
        <v>12.26</v>
      </c>
      <c r="K48" s="209">
        <f t="shared" si="15"/>
        <v>13.5</v>
      </c>
      <c r="L48" s="209">
        <f t="shared" si="15"/>
        <v>17.000000000000004</v>
      </c>
    </row>
    <row r="49" spans="1:8" x14ac:dyDescent="0.35">
      <c r="D49" s="15"/>
    </row>
    <row r="50" spans="1:8" x14ac:dyDescent="0.35">
      <c r="B50" s="2"/>
      <c r="H50" s="129">
        <f>SUM(I42:I46)</f>
        <v>4.4849790327249481</v>
      </c>
    </row>
    <row r="53" spans="1:8" x14ac:dyDescent="0.35">
      <c r="A53" t="s">
        <v>390</v>
      </c>
      <c r="B53">
        <v>8.1999999999999993</v>
      </c>
    </row>
    <row r="54" spans="1:8" x14ac:dyDescent="0.35">
      <c r="A54" t="s">
        <v>391</v>
      </c>
      <c r="B54">
        <v>1.2</v>
      </c>
    </row>
    <row r="55" spans="1:8" x14ac:dyDescent="0.35">
      <c r="A55" t="s">
        <v>392</v>
      </c>
      <c r="B55">
        <v>0.95</v>
      </c>
    </row>
    <row r="56" spans="1:8" x14ac:dyDescent="0.35">
      <c r="A56" t="s">
        <v>393</v>
      </c>
      <c r="B56">
        <f>1.5/2</f>
        <v>0.75</v>
      </c>
    </row>
    <row r="57" spans="1:8" x14ac:dyDescent="0.35">
      <c r="A57" t="s">
        <v>394</v>
      </c>
      <c r="B57">
        <f>B53-SUM(B54:B56)</f>
        <v>5.2999999999999989</v>
      </c>
    </row>
    <row r="58" spans="1:8" x14ac:dyDescent="0.35">
      <c r="B58" s="212"/>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79" t="s">
        <v>138</v>
      </c>
      <c r="E3" s="279"/>
      <c r="F3" s="279" t="s">
        <v>139</v>
      </c>
      <c r="G3" s="279"/>
      <c r="H3" s="279"/>
      <c r="I3" s="279" t="s">
        <v>140</v>
      </c>
      <c r="J3" s="279"/>
      <c r="K3" s="279"/>
      <c r="L3" s="148"/>
      <c r="M3" s="279" t="s">
        <v>30</v>
      </c>
      <c r="N3" s="279"/>
      <c r="O3" s="279"/>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6">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7">
        <f t="shared" ref="P5:P13" si="5">SUM(L5,O5)</f>
        <v>1.375</v>
      </c>
    </row>
    <row r="6" spans="1:16" x14ac:dyDescent="0.35">
      <c r="A6" s="26">
        <v>1030</v>
      </c>
      <c r="B6" s="27">
        <v>6.305377</v>
      </c>
      <c r="C6" s="28">
        <f t="shared" ref="C6:C12" si="6">B5</f>
        <v>5.981122</v>
      </c>
      <c r="D6" s="24">
        <v>400</v>
      </c>
      <c r="E6" s="24">
        <v>17</v>
      </c>
      <c r="F6" s="24">
        <v>240</v>
      </c>
      <c r="G6" s="24">
        <v>10</v>
      </c>
      <c r="H6" s="24">
        <v>350</v>
      </c>
      <c r="I6" s="146">
        <f t="shared" si="0"/>
        <v>640</v>
      </c>
      <c r="J6" s="24">
        <f t="shared" si="1"/>
        <v>27</v>
      </c>
      <c r="K6" s="24">
        <f t="shared" si="2"/>
        <v>350</v>
      </c>
      <c r="L6" s="32">
        <f t="shared" si="3"/>
        <v>1.0169999999999999</v>
      </c>
      <c r="M6" s="24">
        <v>70</v>
      </c>
      <c r="N6" s="24">
        <v>101</v>
      </c>
      <c r="O6" s="24">
        <f t="shared" si="4"/>
        <v>0.17100000000000001</v>
      </c>
      <c r="P6" s="147">
        <f t="shared" si="5"/>
        <v>1.1879999999999999</v>
      </c>
    </row>
    <row r="7" spans="1:16" x14ac:dyDescent="0.35">
      <c r="A7" s="26">
        <v>1035</v>
      </c>
      <c r="B7" s="27">
        <v>6.6375080000000004</v>
      </c>
      <c r="C7" s="28">
        <f t="shared" si="6"/>
        <v>6.305377</v>
      </c>
      <c r="D7" s="24">
        <v>400</v>
      </c>
      <c r="E7" s="24">
        <v>17</v>
      </c>
      <c r="F7" s="24">
        <v>240</v>
      </c>
      <c r="G7" s="24">
        <v>10</v>
      </c>
      <c r="H7" s="24">
        <v>300</v>
      </c>
      <c r="I7" s="146">
        <f t="shared" si="0"/>
        <v>640</v>
      </c>
      <c r="J7" s="24">
        <f t="shared" si="1"/>
        <v>27</v>
      </c>
      <c r="K7" s="24">
        <f t="shared" si="2"/>
        <v>300</v>
      </c>
      <c r="L7" s="32">
        <f t="shared" si="3"/>
        <v>0.96699999999999997</v>
      </c>
      <c r="M7" s="24">
        <v>70</v>
      </c>
      <c r="N7" s="24">
        <v>92</v>
      </c>
      <c r="O7" s="24">
        <f t="shared" si="4"/>
        <v>0.16200000000000001</v>
      </c>
      <c r="P7" s="147">
        <f t="shared" si="5"/>
        <v>1.129</v>
      </c>
    </row>
    <row r="8" spans="1:16" x14ac:dyDescent="0.35">
      <c r="A8" s="26">
        <v>1040</v>
      </c>
      <c r="B8" s="27">
        <v>6.977665</v>
      </c>
      <c r="C8" s="28">
        <f t="shared" si="6"/>
        <v>6.6375080000000004</v>
      </c>
      <c r="D8" s="24">
        <v>400</v>
      </c>
      <c r="E8" s="24">
        <v>17</v>
      </c>
      <c r="F8" s="24">
        <v>240</v>
      </c>
      <c r="G8" s="24">
        <v>10</v>
      </c>
      <c r="H8" s="24">
        <v>250</v>
      </c>
      <c r="I8" s="146">
        <f t="shared" si="0"/>
        <v>640</v>
      </c>
      <c r="J8" s="24">
        <f t="shared" si="1"/>
        <v>27</v>
      </c>
      <c r="K8" s="24">
        <f t="shared" si="2"/>
        <v>250</v>
      </c>
      <c r="L8" s="32">
        <f t="shared" si="3"/>
        <v>0.91700000000000004</v>
      </c>
      <c r="M8" s="24">
        <v>70</v>
      </c>
      <c r="N8" s="24">
        <v>84</v>
      </c>
      <c r="O8" s="24">
        <f t="shared" si="4"/>
        <v>0.154</v>
      </c>
      <c r="P8" s="147">
        <f t="shared" si="5"/>
        <v>1.071</v>
      </c>
    </row>
    <row r="9" spans="1:16" x14ac:dyDescent="0.35">
      <c r="A9" s="26">
        <v>1045</v>
      </c>
      <c r="B9" s="27">
        <v>7.3260519999999998</v>
      </c>
      <c r="C9" s="28">
        <f t="shared" si="6"/>
        <v>6.977665</v>
      </c>
      <c r="D9" s="24">
        <v>400</v>
      </c>
      <c r="E9" s="24">
        <v>17</v>
      </c>
      <c r="F9" s="24">
        <v>240</v>
      </c>
      <c r="G9" s="24">
        <v>10</v>
      </c>
      <c r="H9" s="24">
        <v>200</v>
      </c>
      <c r="I9" s="146">
        <f t="shared" si="0"/>
        <v>640</v>
      </c>
      <c r="J9" s="24">
        <f t="shared" si="1"/>
        <v>27</v>
      </c>
      <c r="K9" s="24">
        <f t="shared" si="2"/>
        <v>200</v>
      </c>
      <c r="L9" s="32">
        <f t="shared" si="3"/>
        <v>0.86699999999999999</v>
      </c>
      <c r="M9" s="24">
        <v>70</v>
      </c>
      <c r="N9" s="24">
        <v>76</v>
      </c>
      <c r="O9" s="24">
        <f t="shared" si="4"/>
        <v>0.14599999999999999</v>
      </c>
      <c r="P9" s="147">
        <f t="shared" si="5"/>
        <v>1.0129999999999999</v>
      </c>
    </row>
    <row r="10" spans="1:16" x14ac:dyDescent="0.35">
      <c r="A10" s="26">
        <v>1050</v>
      </c>
      <c r="B10" s="27">
        <v>7.6828779999999997</v>
      </c>
      <c r="C10" s="28">
        <f t="shared" si="6"/>
        <v>7.3260519999999998</v>
      </c>
      <c r="D10" s="24">
        <v>400</v>
      </c>
      <c r="E10" s="24">
        <v>17</v>
      </c>
      <c r="F10" s="24">
        <v>192</v>
      </c>
      <c r="G10" s="24">
        <v>8</v>
      </c>
      <c r="H10" s="24">
        <v>0</v>
      </c>
      <c r="I10" s="146">
        <f t="shared" si="0"/>
        <v>592</v>
      </c>
      <c r="J10" s="24">
        <f t="shared" si="1"/>
        <v>25</v>
      </c>
      <c r="K10" s="24">
        <f t="shared" si="2"/>
        <v>0</v>
      </c>
      <c r="L10" s="32">
        <f t="shared" si="3"/>
        <v>0.61699999999999999</v>
      </c>
      <c r="M10" s="24">
        <v>70</v>
      </c>
      <c r="N10" s="24">
        <v>34</v>
      </c>
      <c r="O10" s="24">
        <f t="shared" si="4"/>
        <v>0.104</v>
      </c>
      <c r="P10" s="147">
        <f t="shared" si="5"/>
        <v>0.72099999999999997</v>
      </c>
    </row>
    <row r="11" spans="1:16" x14ac:dyDescent="0.35">
      <c r="A11" s="26">
        <v>1075</v>
      </c>
      <c r="B11" s="27">
        <v>9.6009879999900001</v>
      </c>
      <c r="C11" s="28">
        <f t="shared" si="6"/>
        <v>7.6828779999999997</v>
      </c>
      <c r="D11" s="24">
        <v>320</v>
      </c>
      <c r="E11" s="24">
        <v>13</v>
      </c>
      <c r="F11" s="24">
        <v>192</v>
      </c>
      <c r="G11" s="24">
        <v>8</v>
      </c>
      <c r="H11" s="24">
        <v>0</v>
      </c>
      <c r="I11" s="146">
        <f t="shared" si="0"/>
        <v>512</v>
      </c>
      <c r="J11" s="24">
        <f t="shared" si="1"/>
        <v>21</v>
      </c>
      <c r="K11" s="24">
        <f t="shared" si="2"/>
        <v>0</v>
      </c>
      <c r="L11" s="32">
        <f t="shared" si="3"/>
        <v>0.53300000000000003</v>
      </c>
      <c r="M11" s="24">
        <v>50</v>
      </c>
      <c r="N11" s="24">
        <v>30</v>
      </c>
      <c r="O11" s="147">
        <f t="shared" si="4"/>
        <v>0.08</v>
      </c>
      <c r="P11" s="147">
        <f t="shared" si="5"/>
        <v>0.61299999999999999</v>
      </c>
    </row>
    <row r="12" spans="1:16" x14ac:dyDescent="0.35">
      <c r="A12" s="26">
        <v>1090</v>
      </c>
      <c r="B12" s="27">
        <v>10.857008</v>
      </c>
      <c r="C12" s="28">
        <f t="shared" si="6"/>
        <v>9.6009879999900001</v>
      </c>
      <c r="D12" s="24">
        <v>0</v>
      </c>
      <c r="E12" s="24">
        <v>0</v>
      </c>
      <c r="F12" s="24">
        <v>192</v>
      </c>
      <c r="G12" s="24">
        <v>8</v>
      </c>
      <c r="H12" s="24">
        <v>0</v>
      </c>
      <c r="I12" s="146">
        <f t="shared" si="0"/>
        <v>192</v>
      </c>
      <c r="J12" s="24">
        <f t="shared" si="1"/>
        <v>8</v>
      </c>
      <c r="K12" s="24">
        <f t="shared" si="2"/>
        <v>0</v>
      </c>
      <c r="L12" s="32">
        <f t="shared" si="3"/>
        <v>0.2</v>
      </c>
      <c r="M12" s="24">
        <v>0</v>
      </c>
      <c r="N12" s="24">
        <v>41</v>
      </c>
      <c r="O12" s="24">
        <f t="shared" si="4"/>
        <v>4.1000000000000002E-2</v>
      </c>
      <c r="P12" s="147">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253</v>
      </c>
    </row>
    <row r="4" spans="1:9" s="58" customFormat="1" ht="43.5" x14ac:dyDescent="0.35">
      <c r="A4" s="39" t="s">
        <v>166</v>
      </c>
      <c r="B4" s="39" t="s">
        <v>171</v>
      </c>
      <c r="C4" s="39" t="s">
        <v>172</v>
      </c>
      <c r="D4" s="40" t="s">
        <v>167</v>
      </c>
      <c r="E4" s="39" t="s">
        <v>186</v>
      </c>
      <c r="F4" s="39" t="s">
        <v>187</v>
      </c>
      <c r="G4" s="133" t="s">
        <v>217</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Master-LawOfRiver</vt:lpstr>
      <vt:lpstr>Master-Plots</vt:lpstr>
      <vt:lpstr>SplitInflow</vt:lpstr>
      <vt:lpstr>MandatoryConservation</vt:lpstr>
      <vt:lpstr>HydrologicScenarios</vt:lpstr>
      <vt:lpstr>PowellReleaseTemperature</vt:lpstr>
      <vt:lpstr>Powell-Elevation-Area</vt:lpstr>
      <vt:lpstr>Mead-Elevation-Area</vt:lpstr>
      <vt:lpstr>CellType</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2022-05-21T00:09:10Z</dcterms:modified>
</cp:coreProperties>
</file>