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3327D79-8955-48FF-98FE-63DFF88FF30F}"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47" l="1"/>
  <c r="N66" i="47"/>
  <c r="A61" i="47" l="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G118" i="52" l="1"/>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67" i="47"/>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8" i="47"/>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3" i="47" l="1"/>
  <c r="A87" i="47"/>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9" i="47"/>
  <c r="N77" i="47" s="1"/>
  <c r="N85" i="47" s="1"/>
  <c r="F61" i="47"/>
  <c r="M61" i="47"/>
  <c r="E61" i="47"/>
  <c r="L61" i="47"/>
  <c r="D61" i="47"/>
  <c r="K61" i="47"/>
  <c r="C61" i="47"/>
  <c r="J61" i="47"/>
  <c r="N94" i="47"/>
  <c r="N102" i="47" s="1"/>
  <c r="N70" i="47"/>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4" i="47" s="1"/>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72" i="47"/>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<sst xmlns="http://schemas.openxmlformats.org/spreadsheetml/2006/main" count="1182" uniqueCount="455">
  <si>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</si>
  <si>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</si>
  <si>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</si>
  <si>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</si>
  <si>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</si>
  <si>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</si>
  <si>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</si>
  <si>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</si>
  <si>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</si>
  <si>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</si>
  <si>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</si>
  <si>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</si>
  <si>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</si>
  <si>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</si>
  <si>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</si>
  <si>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</si>
  <si>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</si>
  <si>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</si>
  <si>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</si>
  <si>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</si>
  <si>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</si>
  <si>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</si>
  <si>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</si>
  <si>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</si>
  <si>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</si>
  <si>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</si>
  <si>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</si>
  <si>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</si>
  <si>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</si>
  <si>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</si>
  <si>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</si>
  <si>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</si>
  <si>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</si>
  <si>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</si>
  <si>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</si>
  <si>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</si>
  <si>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</si>
  <si>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</si>
  <si>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</si>
  <si>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</si>
  <si>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</si>
  <si>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</si>
  <si>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</si>
  <si>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</si>
  <si>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</si>
  <si>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</si>
  <si>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</si>
  <si>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</si>
  <si>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</si>
  <si>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</si>
  <si>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</si>
  <si>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</si>
  <si>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</si>
  <si>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</si>
  <si>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</si>
  <si>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</si>
  <si>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</si>
  <si>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</si>
  <si>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</si>
  <si>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</si>
  <si>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</si>
  <si>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</si>
  <si>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</si>
  <si>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</si>
  <si>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</si>
  <si>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</si>
  <si>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</si>
  <si>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</si>
  <si>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</si>
  <si>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</si>
  <si>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</si>
  <si>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</si>
  <si>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</si>
  <si>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</si>
  <si>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</si>
  <si>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</si>
  <si>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</si>
  <si>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</si>
  <si>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</si>
  <si>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</si>
  <si>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</si>
  <si>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</si>
  <si>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</si>
  <si>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</si>
  <si>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</si>
  <si>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</si>
  <si>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</si>
  <si>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</si>
  <si>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</si>
  <si>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</si>
  <si>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</si>
  <si>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</si>
  <si>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</si>
  <si>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</si>
  <si>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</si>
  <si>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</si>
  <si>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</si>
  <si>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</si>
  <si>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</si>
  <si>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</si>
  <si>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</si>
  <si>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</si>
  <si>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</si>
  <si>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</si>
  <si>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</si>
  <si>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</si>
  <si>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</si>
  <si>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</si>
  <si>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</si>
  <si>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</si>
  <si>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</si>
  <si>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</si>
  <si>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</si>
  <si>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</si>
  <si>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</si>
  <si>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</si>
  <si>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</si>
  <si>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</si>
  <si>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</si>
  <si>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</si>
  <si>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</si>
  <si>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</si>
  <si>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</si>
  <si>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</si>
  <si>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</si>
  <si>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</si>
  <si>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</si>
  <si>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</si>
  <si>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</si>
  <si>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</si>
  <si>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</si>
  <si>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</si>
  <si>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</si>
  <si>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</si>
  <si>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</si>
  <si>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</si>
  <si>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</si>
  <si>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</si>
  <si>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</si>
  <si>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</si>
  <si>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</si>
  <si>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</si>
  <si>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</si>
  <si>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</si>
  <si>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</si>
  <si>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</si>
  <si>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</si>
  <si>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</si>
  <si>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</si>
  <si>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</si>
  <si>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</si>
  <si>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</si>
  <si>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</si>
  <si>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</si>
  <si>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</si>
  <si>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</si>
  <si>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</si>
  <si>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</si>
  <si>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</si>
  <si>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</si>
  <si>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</si>
  <si>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</si>
  <si>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</si>
  <si>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</si>
  <si>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</si>
  <si>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</si>
  <si>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</si>
  <si>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</si>
  <si>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</si>
  <si>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</si>
  <si>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</si>
  <si>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</si>
  <si>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</si>
  <si>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</si>
  <si>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</si>
  <si>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</si>
  <si>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</si>
  <si>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</si>
  <si>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</si>
  <si>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</si>
  <si>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</si>
  <si>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</si>
  <si>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</si>
  <si>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</si>
  <si>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</si>
  <si>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</si>
  <si>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</si>
  <si>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</si>
  <si>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</si>
  <si>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</si>
  <si>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</si>
  <si>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</si>
  <si>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</si>
  <si>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</si>
  <si>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</si>
  <si>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</si>
  <si>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</si>
  <si>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</si>
  <si>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</si>
  <si>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</si>
  <si>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</si>
  <si>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</si>
  <si>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</si>
  <si>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</si>
  <si>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</si>
  <si>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</si>
  <si>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</si>
  <si>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</si>
  <si>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</si>
  <si>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</si>
  <si>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</si>
  <si>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</si>
  <si>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</si>
  <si>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</si>
  <si>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</si>
  <si>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</si>
  <si>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</si>
  <si>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</si>
  <si>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</si>
  <si>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</si>
  <si>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</si>
  <si>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</si>
  <si>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</si>
  <si>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</si>
  <si>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</si>
  <si>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</si>
  <si>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</si>
  <si>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</si>
  <si>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</si>
  <si>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</si>
  <si>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</si>
  <si>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</si>
  <si>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</si>
  <si>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</si>
  <si>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</si>
  <si>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</si>
  <si>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</si>
  <si>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</si>
  <si>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</si>
  <si>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</si>
  <si>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</si>
  <si>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</si>
  <si>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</si>
  <si>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</si>
  <si>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</si>
  <si>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</si>
  <si>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</si>
  <si>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</si>
  <si>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</si>
  <si>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</si>
  <si>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</si>
  <si>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</si>
  <si>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</si>
  <si>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</si>
  <si>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</si>
  <si>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</si>
  <si>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</si>
  <si>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</si>
  <si>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</si>
  <si>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</si>
  <si>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</si>
  <si>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</si>
  <si>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</si>
  <si>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</si>
  <si>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</si>
  <si>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</si>
  <si>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</si>
  <si>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</si>
  <si>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</si>
  <si>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</si>
  <si>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</si>
  <si>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</si>
  <si>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</si>
  <si>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</si>
  <si>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</si>
  <si>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</si>
  <si>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</si>
  <si>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</si>
  <si>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</si>
  <si>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</si>
  <si>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</si>
  <si>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</si>
  <si>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</si>
  <si>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</si>
  <si>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</si>
  <si>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</si>
  <si>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</si>
  <si>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</si>
  <si>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</si>
  <si>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</si>
  <si>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</si>
  <si>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</si>
  <si>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</si>
  <si>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</si>
  <si>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</si>
  <si>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</si>
  <si>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</si>
  <si>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</si>
  <si>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</si>
  <si>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</si>
  <si>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</si>
  <si>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</si>
  <si>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</si>
  <si>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</si>
  <si>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</si>
  <si>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</si>
  <si>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</si>
  <si>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</si>
  <si>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</si>
  <si>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</si>
  <si>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</si>
  <si>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</si>
  <si>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</si>
  <si>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</si>
  <si>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</si>
  <si>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</si>
  <si>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</si>
  <si>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</si>
  <si>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</si>
  <si>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</si>
  <si>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</si>
  <si>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</si>
  <si>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</si>
  <si>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</si>
  <si>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</si>
  <si>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</si>
  <si>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</si>
  <si>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</si>
  <si>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</si>
  <si>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</si>
  <si>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</si>
  <si>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</si>
  <si>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</si>
  <si>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</si>
  <si>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</si>
  <si>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</si>
  <si>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</si>
  <si>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</si>
  <si>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</si>
  <si>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</si>
  <si>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</si>
  <si>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</si>
  <si>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</si>
  <si>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</si>
  <si>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</si>
  <si>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</si>
  <si>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</si>
  <si>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</si>
  <si>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</si>
  <si>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</si>
  <si>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</si>
  <si>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</si>
  <si>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</si>
  <si>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</si>
  <si>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</si>
  <si>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</si>
  <si>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</si>
  <si>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</si>
  <si>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</si>
  <si>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</si>
  <si>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</si>
  <si>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</si>
  <si>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</si>
  <si>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</si>
  <si>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</si>
  <si>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</si>
  <si>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</si>
  <si>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</si>
  <si>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</si>
  <si>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</si>
  <si>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</si>
  <si>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</si>
  <si>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</si>
  <si>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</si>
  <si>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</si>
  <si>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</si>
  <si>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</si>
  <si>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</si>
  <si>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</si>
  <si>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</si>
  <si>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</si>
  <si>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</si>
  <si>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</si>
  <si>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</si>
  <si>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</si>
  <si>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</si>
  <si>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</si>
  <si>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</si>
  <si>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</si>
  <si>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</si>
  <si>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</si>
  <si>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</si>
  <si>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</si>
  <si>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</si>
  <si>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</si>
  <si>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</si>
  <si>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</si>
  <si>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</si>
  <si>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</si>
  <si>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</si>
  <si>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</si>
  <si>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</si>
  <si>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</si>
  <si>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</si>
  <si>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</si>
  <si>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</si>
  <si>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</si>
  <si>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</si>
  <si>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</si>
  <si>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</si>
  <si>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</si>
  <si>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</si>
  <si>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</si>
  <si>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</si>
  <si>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</si>
  <si>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https://github.com/dzeke/ColoradoRiverCoding/blob/main/ModelMusings/Support/ModelGuide/ModelGuide-CombinedLakePowellLakeMead.md#step-1-assign-parties-person-playing-and-strategies</t>
  </si>
  <si>
    <t>https://github.com/dzeke/ColoradoRiverCoding/blob/main/ModelMusings/Support/ModelGuide/ModelGuide-CombinedLakePowellLakeMead.md#1a-explain-cell-types</t>
  </si>
  <si>
    <t>https://github.com/dzeke/ColoradoRiverCoding/blob/main/ModelMusings/Support/ModelGuide/ModelGuide-CombinedLakePowellLakeMead.md#1b-make-assumptions</t>
  </si>
  <si>
    <t>https://github.com/dzeke/ColoradoRiverCoding/blob/main/ModelMusings/Support/ModelGuide/ModelGuide-CombinedLakePowellLakeMead.md#i-evaporation-rates</t>
  </si>
  <si>
    <t>https://github.com/dzeke/ColoradoRiverCoding/blob/main/ModelMusings/Support/ModelGuide/ModelGuide-CombinedLakePowellLakeMead.md#ii-start-storage</t>
  </si>
  <si>
    <t xml:space="preserve">   Start storage (million acre feet)</t>
  </si>
  <si>
    <t>https://github.com/dzeke/ColoradoRiverCoding/blob/main/ModelMusings/Support/ModelGuide/ModelGuide-CombinedLakePowellLakeMead.md#iv-the-protection-volumes</t>
  </si>
  <si>
    <t>https://github.com/dzeke/ColoradoRiverCoding/blob/main/ModelMusings/Support/ModelGuide/ModelGuide-CombinedLakePowellLakeMead.md#v-prior-9-year-lake-powell-release</t>
  </si>
  <si>
    <t>https://github.com/dzeke/ColoradoRiverCoding/blob/main/ModelMusings/Support/ModelGuide/ModelGuide-CombinedLakePowellLakeMead.md#vi-prior-9-year-paria-river-flow</t>
  </si>
  <si>
    <t>https://github.com/dzeke/ColoradoRiverCoding/blob/main/ModelMusings/Support/ModelGuide/ModelGuide-CombinedLakePowellLakeMead.md#vii-delivery-to-meet-10-year-requirement</t>
  </si>
  <si>
    <t>https://github.com/dzeke/ColoradoRiverCoding/blob/main/ModelMusings/Support/ModelGuide/ModelGuide-CombinedLakePowellLakeMead.md#iii-protection-elevations</t>
  </si>
  <si>
    <t>Help</t>
  </si>
  <si>
    <t>https://github.com/dzeke/ColoradoRiverCoding/blob/main/ModelMusings/Support/ModelGuide/ModelGuide-CombinedLakePowellLakeMead.md#step-2-specify-natural-inflow-to-lake-powell</t>
  </si>
  <si>
    <t>https://github.com/dzeke/ColoradoRiverCoding/blob/main/ModelMusings/Support/ModelGuide/ModelGuide-CombinedLakePowellLakeMead.md#2a-intervening-grand-canyon-flow</t>
  </si>
  <si>
    <t>https://github.com/dzeke/ColoradoRiverCoding/blob/main/ModelMusings/Support/ModelGuide/ModelGuide-CombinedLakePowellLakeMead.md#2b-mead-to-imperial-dam-intervening-flow</t>
  </si>
  <si>
    <t>https://github.com/dzeke/ColoradoRiverCoding/blob/main/ModelMusings/Support/ModelGuide/ModelGuide-CombinedLakePowellLakeMead.md#2c-havasuparker-evaporation-and-evapotranspiration</t>
  </si>
  <si>
    <t>https://github.com/dzeke/ColoradoRiverCoding/blob/main/ModelMusings/Support/ModelGuide/ModelGuide-CombinedLakePowellLakeMead.md#step-3-split-existing-reservoir-storage-among-parties-year-1-only</t>
  </si>
  <si>
    <t>https://github.com/dzeke/ColoradoRiverCoding/blob/main/ModelMusings/Support/ModelGuide/ModelGuide-CombinedLakePowellLakeMead.md#3a-begin-of-year-reservoir-storage</t>
  </si>
  <si>
    <t>https://github.com/dzeke/ColoradoRiverCoding/blob/main/ModelMusings/Support/ModelGuide/ModelGuide-CombinedLakePowellLakeMead.md#3b-calculate-powell--mead-evaporation</t>
  </si>
  <si>
    <t>https://github.com/dzeke/ColoradoRiverCoding/blob/main/ModelMusings/Support/ModelGuide/ModelGuide-CombinedLakePowellLakeMead.md#split-combined-natural-inflow-among-parties</t>
  </si>
  <si>
    <t>https://github.com/dzeke/ColoradoRiverCoding/blob/main/ModelMusings/Support/ModelGuide/ModelGuide-CombinedLakePowellLakeMead.md#3c-calculate-mexico-water-allocation</t>
  </si>
  <si>
    <t>https://github.com/dzeke/ColoradoRiverCoding/blob/main/ModelMusings/Support/ModelGuide/ModelGuide-CombinedLakePowellLakeMead.md#step-5-player-dashboards--conserve-consume-and-trade</t>
  </si>
  <si>
    <t>https://github.com/dzeke/ColoradoRiverCoding/blob/main/ModelMusings/Support/ModelGuide/ModelGuide-CombinedLakePowellLakeMead.md#5a-shared-reserve-dashboard</t>
  </si>
  <si>
    <t>https://github.com/dzeke/ColoradoRiverCoding/blob/main/ModelMusings/Support/ModelGuide/ModelGuide-CombinedLakePowellLakeMead.md#step-6-summary-of-player-actions</t>
  </si>
  <si>
    <t>6. SUMMARY of PLAYER ACTIONS</t>
  </si>
  <si>
    <r>
      <t xml:space="preserve">7. Assign combined storage to Powell and Mead </t>
    </r>
    <r>
      <rPr>
        <sz val="11"/>
        <color rgb="FF0000FF"/>
        <rFont val="Calibri"/>
        <family val="2"/>
        <scheme val="minor"/>
      </rPr>
      <t>(Equalize = 50%; 75% = more in Powell)</t>
    </r>
  </si>
  <si>
    <t>https://github.com/dzeke/ColoradoRiverCoding/blob/main/ModelMusings/Support/ModelGuide/ModelGuide-CombinedLakePowellLakeMead.md#step-7-assign-combined-storage-to-powell-and-mead</t>
  </si>
  <si>
    <t>8. Move to next year (next Column). Goto Step 2. Specify Lake Powell natural inflow.</t>
  </si>
  <si>
    <t>https://github.com/dzeke/ColoradoRiverCoding/blob/main/ModelMusings/Support/ModelGuide/ModelGuide-CombinedLakePowellLakeMead.md#i-protect-endangered-native-fish-of-the-grand-canyon</t>
  </si>
  <si>
    <t>https://github.com/dzeke/ColoradoRiverCoding/blob/main/ModelMusings/Support/ModelGuide/ModelGuide-CombinedLakePowellLakeMead.md#6a-combined-storage--end-of-year</t>
  </si>
  <si>
    <t>https://github.com/dzeke/ColoradoRiverCoding/blob/main/ModelMusings/Support/ModelGuide/ModelGuide-CombinedLakePowellLakeMead.md#step-8-move-to-next-year</t>
  </si>
  <si>
    <t>https://github.com/dzeke/ColoradoRiverCoding/blob/main/ModelMusings/Support/ModelGuide/ModelGuide-CombinedLakePowellLakeMead.md#i-powell-and-mead-storage-volumes-and-levels</t>
  </si>
  <si>
    <t>https://github.com/dzeke/ColoradoRiverCoding/blob/main/ModelMusings/Support/ModelGuide/ModelGuide-CombinedLakePowellLakeMead.md#ii-lake-powell-release-to-achieve-powell-and-mead-storage-volumes</t>
  </si>
  <si>
    <t>https://github.com/dzeke/ColoradoRiverCoding/blob/main/ModelMusings/Support/ModelGuide/ModelGuide-CombinedLakePowellLakeMead.md#iv-suitability-of-native-endangered-fish-of-the-grand-canyon</t>
  </si>
  <si>
    <t>https://github.com/dzeke/ColoradoRiverCoding/blob/main/ModelMusings/Support/ModelGuide/ModelGuide-CombinedLakePowellLakeMead.md#v-suitability-for-tailwater-trout</t>
  </si>
  <si>
    <t>https://github.com/dzeke/ColoradoRiverCoding/blob/main/ModelMusings/Support/ModelGuide/ModelGuide-CombinedLakePowellLakeMead.md#buy-or-sell-water-from-other-players</t>
  </si>
  <si>
    <t>https://github.com/dzeke/ColoradoRiverCoding/blob/main/ModelMusings/Support/ModelGuide/ModelGuide-CombinedLakePowellLakeMead.md#compensation</t>
  </si>
  <si>
    <t>https://github.com/dzeke/ColoradoRiverCoding/blob/main/ModelMusings/Support/ModelGuide/ModelGuide-CombinedLakePowellLakeMead.md#net-trade-volume-all-players</t>
  </si>
  <si>
    <t>https://github.com/dzeke/ColoradoRiverCoding/blob/main/ModelMusings/Support/ModelGuide/ModelGuide-CombinedLakePowellLakeMead.md#available-water</t>
  </si>
  <si>
    <t>https://github.com/dzeke/ColoradoRiverCoding/blob/main/ModelMusings/Support/ModelGuide/ModelGuide-CombinedLakePowellLakeMead.md#enter-withdraw-within-available-water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</si>
</sst>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0" xfId="14" applyAlignment="1">
      <alignment vertical="top"/>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1" fillId="0" borderId="0" xfId="0" applyFont="1" applyAlignment="1">
      <alignment horizontal="left" wrapText="1"/>
    </xf>
    <xf numFmtId="0" fontId="14" fillId="19" borderId="0" xfId="14" applyFont="1" applyAlignment="1">
      <alignment horizontal="center" wrapText="1"/>
    </xf>
    <xf numFmtId="0" fontId="14" fillId="19" borderId="9" xfId="14" applyFont="1" applyBorder="1" applyAlignment="1">
      <alignment horizontal="center"/>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7" fillId="19" borderId="0" xfId="7" applyNumberFormat="1" applyFill="1"/>
    <xf numFmtId="164" fontId="4" fillId="3" borderId="20" xfId="4" applyNumberFormat="1" applyFont="1" applyFill="1" applyBorder="1" applyAlignment="1">
      <alignment horizontal="center"/>
    </xf>
    <xf numFmtId="167" fontId="2" fillId="19" borderId="0" xfId="14" applyNumberFormat="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0" t="s">
        <v>198</v>
      </c>
      <c r="B1" s="190"/>
      <c r="C1" s="190"/>
      <c r="D1" s="190"/>
      <c r="E1" s="190"/>
      <c r="F1" s="190"/>
      <c r="G1" s="190"/>
      <c r="H1" s="190"/>
      <c r="I1" s="190"/>
      <c r="J1" s="190"/>
      <c r="K1" s="190"/>
      <c r="L1" s="190"/>
    </row>
    <row r="2" spans="1:18" x14ac:dyDescent="0.25">
      <c r="A2" s="1"/>
      <c r="B2" s="1"/>
      <c r="C2" s="2"/>
      <c r="D2"/>
    </row>
    <row r="3" spans="1:18" x14ac:dyDescent="0.25">
      <c r="A3" s="1" t="s">
        <v>403</v>
      </c>
      <c r="B3" s="1"/>
      <c r="C3" s="2"/>
      <c r="D3"/>
      <c r="N3" s="1" t="s">
        <v>308</v>
      </c>
    </row>
    <row r="4" spans="1:18" s="77" customFormat="1" ht="66" customHeight="1" x14ac:dyDescent="0.25">
      <c r="A4" s="207" t="s">
        <v>399</v>
      </c>
      <c r="B4" s="207"/>
      <c r="C4" s="207"/>
      <c r="D4" s="207"/>
      <c r="E4" s="207"/>
      <c r="F4" s="207"/>
      <c r="G4" s="207"/>
      <c r="H4" s="207"/>
      <c r="I4" s="207"/>
      <c r="J4" s="207"/>
      <c r="K4" s="207"/>
      <c r="L4" s="207"/>
      <c r="N4" s="206" t="s">
        <v>309</v>
      </c>
      <c r="O4" s="206"/>
      <c r="P4" s="206"/>
      <c r="Q4" s="206"/>
      <c r="R4" s="206"/>
    </row>
    <row r="5" spans="1:18" s="115" customFormat="1" ht="15.95" customHeight="1" x14ac:dyDescent="0.25">
      <c r="A5" s="207" t="s">
        <v>342</v>
      </c>
      <c r="B5" s="207"/>
      <c r="C5" s="207"/>
      <c r="D5" s="207"/>
      <c r="E5" s="207"/>
      <c r="F5" s="207"/>
      <c r="G5" s="207"/>
      <c r="H5" s="207"/>
      <c r="I5" s="207"/>
      <c r="J5" s="207"/>
      <c r="K5" s="207"/>
      <c r="L5" s="207"/>
    </row>
    <row r="6" spans="1:18" s="115" customFormat="1" ht="32.450000000000003" customHeight="1" x14ac:dyDescent="0.25">
      <c r="A6" s="191" t="s">
        <v>222</v>
      </c>
      <c r="B6" s="191"/>
      <c r="C6" s="191"/>
      <c r="D6" s="191"/>
      <c r="E6" s="191"/>
      <c r="F6" s="191"/>
      <c r="G6" s="191"/>
      <c r="H6" s="191"/>
      <c r="I6" s="191"/>
      <c r="J6" s="191"/>
      <c r="K6" s="191"/>
      <c r="L6" s="191"/>
      <c r="N6" s="141" t="s">
        <v>401</v>
      </c>
    </row>
    <row r="7" spans="1:18" s="115" customFormat="1" ht="20.25" customHeight="1" x14ac:dyDescent="0.25">
      <c r="A7" s="191" t="s">
        <v>343</v>
      </c>
      <c r="B7" s="191"/>
      <c r="C7" s="191"/>
      <c r="D7" s="191"/>
      <c r="E7" s="191"/>
      <c r="F7" s="191"/>
      <c r="G7" s="191"/>
      <c r="H7" s="191"/>
      <c r="I7" s="191"/>
      <c r="J7" s="191"/>
      <c r="K7" s="191"/>
      <c r="L7" s="191"/>
    </row>
    <row r="8" spans="1:18" s="115" customFormat="1" ht="16.5" customHeight="1" x14ac:dyDescent="0.25">
      <c r="A8" s="191" t="s">
        <v>344</v>
      </c>
      <c r="B8" s="191"/>
      <c r="C8" s="191"/>
      <c r="D8" s="191"/>
      <c r="E8" s="191"/>
      <c r="F8" s="191"/>
      <c r="G8" s="191"/>
      <c r="H8" s="191"/>
      <c r="I8" s="191"/>
      <c r="J8" s="191"/>
      <c r="K8" s="191"/>
      <c r="L8" s="191"/>
      <c r="N8" s="141" t="s">
        <v>402</v>
      </c>
    </row>
    <row r="9" spans="1:18" s="115" customFormat="1" ht="15" customHeight="1" x14ac:dyDescent="0.25">
      <c r="A9" s="191" t="s">
        <v>345</v>
      </c>
      <c r="B9" s="191"/>
      <c r="C9" s="191"/>
      <c r="D9" s="191"/>
      <c r="E9" s="191"/>
      <c r="F9" s="191"/>
      <c r="G9" s="191"/>
      <c r="H9" s="191"/>
      <c r="I9" s="191"/>
      <c r="J9" s="191"/>
      <c r="K9" s="191"/>
      <c r="L9" s="191"/>
    </row>
    <row r="10" spans="1:18" s="115" customFormat="1" ht="32.1" customHeight="1" x14ac:dyDescent="0.25">
      <c r="A10" s="191" t="s">
        <v>368</v>
      </c>
      <c r="B10" s="191"/>
      <c r="C10" s="191"/>
      <c r="D10" s="191"/>
      <c r="E10" s="191"/>
      <c r="F10" s="191"/>
      <c r="G10" s="191"/>
      <c r="H10" s="191"/>
      <c r="I10" s="191"/>
      <c r="J10" s="191"/>
      <c r="K10" s="191"/>
      <c r="L10" s="191"/>
      <c r="N10" s="115" t="s">
        <v>346</v>
      </c>
    </row>
    <row r="11" spans="1:18" s="83" customFormat="1" ht="15" customHeight="1" x14ac:dyDescent="0.25">
      <c r="A11" s="191" t="s">
        <v>369</v>
      </c>
      <c r="B11" s="191"/>
      <c r="C11" s="191"/>
      <c r="D11" s="191"/>
      <c r="E11" s="191"/>
      <c r="F11" s="191"/>
      <c r="G11" s="191"/>
      <c r="H11" s="191"/>
      <c r="I11" s="191"/>
      <c r="J11" s="191"/>
      <c r="K11" s="191"/>
      <c r="L11" s="191"/>
    </row>
    <row r="12" spans="1:18" s="83" customFormat="1" ht="17.25" customHeight="1" x14ac:dyDescent="0.25">
      <c r="A12" s="191" t="s">
        <v>370</v>
      </c>
      <c r="B12" s="191"/>
      <c r="C12" s="191"/>
      <c r="D12" s="191"/>
      <c r="E12" s="191"/>
      <c r="F12" s="191"/>
      <c r="G12" s="191"/>
      <c r="H12" s="191"/>
      <c r="I12" s="191"/>
      <c r="J12" s="191"/>
      <c r="K12" s="191"/>
      <c r="L12" s="191"/>
    </row>
    <row r="13" spans="1:18" ht="20.25" customHeight="1" x14ac:dyDescent="0.25">
      <c r="A13" s="152"/>
      <c r="B13" s="152"/>
      <c r="C13" s="152"/>
      <c r="D13" s="152"/>
      <c r="E13" s="152"/>
      <c r="F13" s="152"/>
      <c r="G13" s="152"/>
      <c r="H13" s="152"/>
      <c r="I13" s="152"/>
      <c r="J13" s="152"/>
      <c r="K13" s="152"/>
      <c r="L13" s="152"/>
    </row>
    <row r="14" spans="1:18" ht="20.25" customHeight="1" x14ac:dyDescent="0.25">
      <c r="A14" s="202" t="s">
        <v>404</v>
      </c>
      <c r="B14" s="203"/>
      <c r="C14" s="203"/>
      <c r="D14" s="203"/>
      <c r="E14" s="203"/>
      <c r="F14" s="203"/>
      <c r="G14" s="203"/>
      <c r="H14" s="203"/>
      <c r="I14" s="203"/>
      <c r="J14" s="203"/>
      <c r="K14" s="203"/>
      <c r="L14" s="204"/>
      <c r="N14" s="1" t="s">
        <v>409</v>
      </c>
    </row>
    <row r="15" spans="1:18" ht="50.45" customHeight="1" x14ac:dyDescent="0.25">
      <c r="A15" s="199" t="s">
        <v>405</v>
      </c>
      <c r="B15" s="200"/>
      <c r="C15" s="200"/>
      <c r="D15" s="200"/>
      <c r="E15" s="200"/>
      <c r="F15" s="200"/>
      <c r="G15" s="200"/>
      <c r="H15" s="200"/>
      <c r="I15" s="200"/>
      <c r="J15" s="200"/>
      <c r="K15" s="200"/>
      <c r="L15" s="201"/>
      <c r="N15" s="141" t="s">
        <v>410</v>
      </c>
    </row>
    <row r="16" spans="1:18" ht="15" customHeight="1" x14ac:dyDescent="0.25">
      <c r="A16" s="199" t="s">
        <v>406</v>
      </c>
      <c r="B16" s="200"/>
      <c r="C16" s="200"/>
      <c r="D16" s="200"/>
      <c r="E16" s="200"/>
      <c r="F16" s="200"/>
      <c r="G16" s="200"/>
      <c r="H16" s="200"/>
      <c r="I16" s="200"/>
      <c r="J16" s="200"/>
      <c r="K16" s="200"/>
      <c r="L16" s="201"/>
    </row>
    <row r="17" spans="1:12" ht="36.75" customHeight="1" x14ac:dyDescent="0.25">
      <c r="A17" s="205" t="s">
        <v>400</v>
      </c>
      <c r="B17" s="200"/>
      <c r="C17" s="200"/>
      <c r="D17" s="200"/>
      <c r="E17" s="200"/>
      <c r="F17" s="200"/>
      <c r="G17" s="200"/>
      <c r="H17" s="200"/>
      <c r="I17" s="200"/>
      <c r="J17" s="200"/>
      <c r="K17" s="200"/>
      <c r="L17" s="201"/>
    </row>
    <row r="18" spans="1:12" s="82" customFormat="1" ht="20.25" customHeight="1" x14ac:dyDescent="0.25">
      <c r="A18" s="193" t="s">
        <v>407</v>
      </c>
      <c r="B18" s="194"/>
      <c r="C18" s="194"/>
      <c r="D18" s="194"/>
      <c r="E18" s="194"/>
      <c r="F18" s="194"/>
      <c r="G18" s="194"/>
      <c r="H18" s="194"/>
      <c r="I18" s="194"/>
      <c r="J18" s="194"/>
      <c r="K18" s="194"/>
      <c r="L18" s="195"/>
    </row>
    <row r="19" spans="1:12" s="83" customFormat="1" x14ac:dyDescent="0.25">
      <c r="A19" s="196" t="s">
        <v>408</v>
      </c>
      <c r="B19" s="197"/>
      <c r="C19" s="197"/>
      <c r="D19" s="197"/>
      <c r="E19" s="197"/>
      <c r="F19" s="197"/>
      <c r="G19" s="197"/>
      <c r="H19" s="197"/>
      <c r="I19" s="197"/>
      <c r="J19" s="197"/>
      <c r="K19" s="197"/>
      <c r="L19" s="198"/>
    </row>
    <row r="20" spans="1:12" x14ac:dyDescent="0.25">
      <c r="B20" s="179"/>
      <c r="C20" s="179"/>
      <c r="D20" s="179"/>
      <c r="E20" s="179"/>
      <c r="F20" s="179"/>
      <c r="G20" s="179"/>
      <c r="H20" s="179"/>
      <c r="I20" s="179"/>
      <c r="J20" s="179"/>
      <c r="K20" s="179"/>
      <c r="L20" s="179"/>
    </row>
    <row r="21" spans="1:12" x14ac:dyDescent="0.25">
      <c r="A21" s="1" t="s">
        <v>411</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388</v>
      </c>
      <c r="C38" t="s">
        <v>389</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92" t="s">
        <v>223</v>
      </c>
      <c r="B50" s="192"/>
      <c r="C50" s="192"/>
      <c r="D50" s="192"/>
      <c r="E50" s="192"/>
      <c r="F50" s="192"/>
      <c r="G50" s="192"/>
      <c r="H50" s="192"/>
      <c r="I50" s="192"/>
      <c r="J50" s="192"/>
      <c r="K50" s="192"/>
      <c r="L50" s="192"/>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40" t="s">
        <v>40</v>
      </c>
      <c r="Q1" s="240"/>
      <c r="R1" s="240"/>
      <c r="S1" s="240"/>
      <c r="T1" s="240"/>
      <c r="U1" s="240"/>
      <c r="V1" s="240"/>
      <c r="W1" s="240"/>
      <c r="X1" s="240"/>
      <c r="Y1" s="240"/>
      <c r="AA1" s="240" t="s">
        <v>200</v>
      </c>
      <c r="AB1" s="240"/>
      <c r="AC1" s="240"/>
      <c r="AD1" s="240"/>
      <c r="AE1" s="240"/>
      <c r="AF1" s="240"/>
      <c r="AG1" s="240"/>
      <c r="AH1" s="240"/>
      <c r="AI1" s="240"/>
      <c r="AJ1" s="24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6" t="s">
        <v>145</v>
      </c>
      <c r="B9" s="122"/>
      <c r="C9" s="216" t="s">
        <v>209</v>
      </c>
      <c r="D9" s="216"/>
      <c r="E9" s="216"/>
      <c r="F9" s="216"/>
      <c r="G9" s="216"/>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304</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1" t="s">
        <v>226</v>
      </c>
      <c r="E3" s="241"/>
      <c r="F3" s="241" t="s">
        <v>227</v>
      </c>
      <c r="G3" s="241"/>
      <c r="H3" s="241"/>
      <c r="I3" s="241" t="s">
        <v>228</v>
      </c>
      <c r="J3" s="241"/>
      <c r="K3" s="241"/>
      <c r="L3" s="184"/>
      <c r="M3" s="241" t="s">
        <v>41</v>
      </c>
      <c r="N3" s="241"/>
      <c r="O3" s="241"/>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82">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83">
        <f t="shared" ref="P5:P13" si="5">SUM(L5,O5)</f>
        <v>1.375</v>
      </c>
    </row>
    <row r="6" spans="1:16" x14ac:dyDescent="0.25">
      <c r="A6" s="37">
        <v>1030</v>
      </c>
      <c r="B6" s="38">
        <v>6.305377</v>
      </c>
      <c r="C6" s="39">
        <f t="shared" ref="C6:C12" si="6">B5</f>
        <v>5.981122</v>
      </c>
      <c r="D6" s="35">
        <v>400</v>
      </c>
      <c r="E6" s="35">
        <v>17</v>
      </c>
      <c r="F6" s="35">
        <v>240</v>
      </c>
      <c r="G6" s="35">
        <v>10</v>
      </c>
      <c r="H6" s="35">
        <v>350</v>
      </c>
      <c r="I6" s="182">
        <f t="shared" si="0"/>
        <v>640</v>
      </c>
      <c r="J6" s="35">
        <f t="shared" si="1"/>
        <v>27</v>
      </c>
      <c r="K6" s="35">
        <f t="shared" si="2"/>
        <v>350</v>
      </c>
      <c r="L6" s="46">
        <f t="shared" si="3"/>
        <v>1.0169999999999999</v>
      </c>
      <c r="M6" s="35">
        <v>70</v>
      </c>
      <c r="N6" s="35">
        <v>101</v>
      </c>
      <c r="O6" s="35">
        <f t="shared" si="4"/>
        <v>0.17100000000000001</v>
      </c>
      <c r="P6" s="183">
        <f t="shared" si="5"/>
        <v>1.1879999999999999</v>
      </c>
    </row>
    <row r="7" spans="1:16" x14ac:dyDescent="0.25">
      <c r="A7" s="37">
        <v>1035</v>
      </c>
      <c r="B7" s="38">
        <v>6.6375080000000004</v>
      </c>
      <c r="C7" s="39">
        <f t="shared" si="6"/>
        <v>6.305377</v>
      </c>
      <c r="D7" s="35">
        <v>400</v>
      </c>
      <c r="E7" s="35">
        <v>17</v>
      </c>
      <c r="F7" s="35">
        <v>240</v>
      </c>
      <c r="G7" s="35">
        <v>10</v>
      </c>
      <c r="H7" s="35">
        <v>300</v>
      </c>
      <c r="I7" s="182">
        <f t="shared" si="0"/>
        <v>640</v>
      </c>
      <c r="J7" s="35">
        <f t="shared" si="1"/>
        <v>27</v>
      </c>
      <c r="K7" s="35">
        <f t="shared" si="2"/>
        <v>300</v>
      </c>
      <c r="L7" s="46">
        <f t="shared" si="3"/>
        <v>0.96699999999999997</v>
      </c>
      <c r="M7" s="35">
        <v>70</v>
      </c>
      <c r="N7" s="35">
        <v>92</v>
      </c>
      <c r="O7" s="35">
        <f t="shared" si="4"/>
        <v>0.16200000000000001</v>
      </c>
      <c r="P7" s="183">
        <f t="shared" si="5"/>
        <v>1.129</v>
      </c>
    </row>
    <row r="8" spans="1:16" x14ac:dyDescent="0.25">
      <c r="A8" s="37">
        <v>1040</v>
      </c>
      <c r="B8" s="38">
        <v>6.977665</v>
      </c>
      <c r="C8" s="39">
        <f t="shared" si="6"/>
        <v>6.6375080000000004</v>
      </c>
      <c r="D8" s="35">
        <v>400</v>
      </c>
      <c r="E8" s="35">
        <v>17</v>
      </c>
      <c r="F8" s="35">
        <v>240</v>
      </c>
      <c r="G8" s="35">
        <v>10</v>
      </c>
      <c r="H8" s="35">
        <v>250</v>
      </c>
      <c r="I8" s="182">
        <f t="shared" si="0"/>
        <v>640</v>
      </c>
      <c r="J8" s="35">
        <f t="shared" si="1"/>
        <v>27</v>
      </c>
      <c r="K8" s="35">
        <f t="shared" si="2"/>
        <v>250</v>
      </c>
      <c r="L8" s="46">
        <f t="shared" si="3"/>
        <v>0.91700000000000004</v>
      </c>
      <c r="M8" s="35">
        <v>70</v>
      </c>
      <c r="N8" s="35">
        <v>84</v>
      </c>
      <c r="O8" s="35">
        <f t="shared" si="4"/>
        <v>0.154</v>
      </c>
      <c r="P8" s="183">
        <f t="shared" si="5"/>
        <v>1.071</v>
      </c>
    </row>
    <row r="9" spans="1:16" x14ac:dyDescent="0.25">
      <c r="A9" s="37">
        <v>1045</v>
      </c>
      <c r="B9" s="38">
        <v>7.3260519999999998</v>
      </c>
      <c r="C9" s="39">
        <f t="shared" si="6"/>
        <v>6.977665</v>
      </c>
      <c r="D9" s="35">
        <v>400</v>
      </c>
      <c r="E9" s="35">
        <v>17</v>
      </c>
      <c r="F9" s="35">
        <v>240</v>
      </c>
      <c r="G9" s="35">
        <v>10</v>
      </c>
      <c r="H9" s="35">
        <v>200</v>
      </c>
      <c r="I9" s="182">
        <f t="shared" si="0"/>
        <v>640</v>
      </c>
      <c r="J9" s="35">
        <f t="shared" si="1"/>
        <v>27</v>
      </c>
      <c r="K9" s="35">
        <f t="shared" si="2"/>
        <v>200</v>
      </c>
      <c r="L9" s="46">
        <f t="shared" si="3"/>
        <v>0.86699999999999999</v>
      </c>
      <c r="M9" s="35">
        <v>70</v>
      </c>
      <c r="N9" s="35">
        <v>76</v>
      </c>
      <c r="O9" s="35">
        <f t="shared" si="4"/>
        <v>0.14599999999999999</v>
      </c>
      <c r="P9" s="183">
        <f t="shared" si="5"/>
        <v>1.0129999999999999</v>
      </c>
    </row>
    <row r="10" spans="1:16" x14ac:dyDescent="0.25">
      <c r="A10" s="37">
        <v>1050</v>
      </c>
      <c r="B10" s="38">
        <v>7.6828779999999997</v>
      </c>
      <c r="C10" s="39">
        <f t="shared" si="6"/>
        <v>7.3260519999999998</v>
      </c>
      <c r="D10" s="35">
        <v>400</v>
      </c>
      <c r="E10" s="35">
        <v>17</v>
      </c>
      <c r="F10" s="35">
        <v>192</v>
      </c>
      <c r="G10" s="35">
        <v>8</v>
      </c>
      <c r="H10" s="35">
        <v>0</v>
      </c>
      <c r="I10" s="182">
        <f t="shared" si="0"/>
        <v>592</v>
      </c>
      <c r="J10" s="35">
        <f t="shared" si="1"/>
        <v>25</v>
      </c>
      <c r="K10" s="35">
        <f t="shared" si="2"/>
        <v>0</v>
      </c>
      <c r="L10" s="46">
        <f t="shared" si="3"/>
        <v>0.61699999999999999</v>
      </c>
      <c r="M10" s="35">
        <v>70</v>
      </c>
      <c r="N10" s="35">
        <v>34</v>
      </c>
      <c r="O10" s="35">
        <f t="shared" si="4"/>
        <v>0.104</v>
      </c>
      <c r="P10" s="183">
        <f t="shared" si="5"/>
        <v>0.72099999999999997</v>
      </c>
    </row>
    <row r="11" spans="1:16" x14ac:dyDescent="0.25">
      <c r="A11" s="37">
        <v>1075</v>
      </c>
      <c r="B11" s="38">
        <v>9.6009879999900001</v>
      </c>
      <c r="C11" s="39">
        <f t="shared" si="6"/>
        <v>7.6828779999999997</v>
      </c>
      <c r="D11" s="35">
        <v>320</v>
      </c>
      <c r="E11" s="35">
        <v>13</v>
      </c>
      <c r="F11" s="35">
        <v>192</v>
      </c>
      <c r="G11" s="35">
        <v>8</v>
      </c>
      <c r="H11" s="35">
        <v>0</v>
      </c>
      <c r="I11" s="182">
        <f t="shared" si="0"/>
        <v>512</v>
      </c>
      <c r="J11" s="35">
        <f t="shared" si="1"/>
        <v>21</v>
      </c>
      <c r="K11" s="35">
        <f t="shared" si="2"/>
        <v>0</v>
      </c>
      <c r="L11" s="46">
        <f t="shared" si="3"/>
        <v>0.53300000000000003</v>
      </c>
      <c r="M11" s="35">
        <v>50</v>
      </c>
      <c r="N11" s="35">
        <v>30</v>
      </c>
      <c r="O11" s="183">
        <f t="shared" si="4"/>
        <v>0.08</v>
      </c>
      <c r="P11" s="183">
        <f t="shared" si="5"/>
        <v>0.61299999999999999</v>
      </c>
    </row>
    <row r="12" spans="1:16" x14ac:dyDescent="0.25">
      <c r="A12" s="37">
        <v>1090</v>
      </c>
      <c r="B12" s="38">
        <v>10.857008</v>
      </c>
      <c r="C12" s="39">
        <f t="shared" si="6"/>
        <v>9.6009879999900001</v>
      </c>
      <c r="D12" s="35">
        <v>0</v>
      </c>
      <c r="E12" s="35">
        <v>0</v>
      </c>
      <c r="F12" s="35">
        <v>192</v>
      </c>
      <c r="G12" s="35">
        <v>8</v>
      </c>
      <c r="H12" s="35">
        <v>0</v>
      </c>
      <c r="I12" s="182">
        <f t="shared" si="0"/>
        <v>192</v>
      </c>
      <c r="J12" s="35">
        <f t="shared" si="1"/>
        <v>8</v>
      </c>
      <c r="K12" s="35">
        <f t="shared" si="2"/>
        <v>0</v>
      </c>
      <c r="L12" s="46">
        <f t="shared" si="3"/>
        <v>0.2</v>
      </c>
      <c r="M12" s="35">
        <v>0</v>
      </c>
      <c r="N12" s="35">
        <v>41</v>
      </c>
      <c r="O12" s="35">
        <f t="shared" si="4"/>
        <v>4.1000000000000002E-2</v>
      </c>
      <c r="P12" s="183">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396</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42"/>
      <c r="D5" s="242"/>
      <c r="E5" s="242"/>
      <c r="F5" s="242"/>
      <c r="G5" s="242"/>
      <c r="H5" s="242"/>
    </row>
    <row r="6" spans="1:11" x14ac:dyDescent="0.25">
      <c r="A6" s="15" t="s">
        <v>39</v>
      </c>
      <c r="B6" s="44"/>
      <c r="C6" s="242"/>
      <c r="D6" s="242"/>
      <c r="E6" s="242"/>
      <c r="F6" s="242"/>
      <c r="G6" s="242"/>
      <c r="H6" s="242"/>
    </row>
    <row r="7" spans="1:11" x14ac:dyDescent="0.25">
      <c r="A7" s="15" t="s">
        <v>40</v>
      </c>
      <c r="B7" s="44"/>
      <c r="C7" s="242"/>
      <c r="D7" s="242"/>
      <c r="E7" s="242"/>
      <c r="F7" s="242"/>
      <c r="G7" s="242"/>
      <c r="H7" s="242"/>
    </row>
    <row r="8" spans="1:11" x14ac:dyDescent="0.25">
      <c r="A8" s="15" t="s">
        <v>41</v>
      </c>
      <c r="B8" s="44"/>
      <c r="C8" s="242"/>
      <c r="D8" s="242"/>
      <c r="E8" s="242"/>
      <c r="F8" s="242"/>
      <c r="G8" s="242"/>
      <c r="H8" s="242"/>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387</v>
      </c>
    </row>
    <row r="3" spans="1:4" s="1" customFormat="1" x14ac:dyDescent="0.25">
      <c r="A3" s="247" t="s">
        <v>384</v>
      </c>
      <c r="B3" s="247"/>
      <c r="C3" s="247"/>
      <c r="D3" s="174" t="s">
        <v>383</v>
      </c>
    </row>
    <row r="4" spans="1:4" ht="45" x14ac:dyDescent="0.25">
      <c r="A4" s="243" t="s">
        <v>376</v>
      </c>
      <c r="B4" s="243"/>
      <c r="C4" s="243"/>
      <c r="D4" s="56" t="s">
        <v>382</v>
      </c>
    </row>
    <row r="5" spans="1:4" ht="45" x14ac:dyDescent="0.25">
      <c r="A5" s="244" t="s">
        <v>377</v>
      </c>
      <c r="B5" s="244"/>
      <c r="C5" s="244"/>
      <c r="D5" s="56" t="s">
        <v>398</v>
      </c>
    </row>
    <row r="6" spans="1:4" ht="75" x14ac:dyDescent="0.25">
      <c r="A6" s="245" t="s">
        <v>378</v>
      </c>
      <c r="B6" s="245"/>
      <c r="C6" s="245"/>
      <c r="D6" s="56" t="s">
        <v>381</v>
      </c>
    </row>
    <row r="7" spans="1:4" ht="30" x14ac:dyDescent="0.25">
      <c r="A7" s="246" t="s">
        <v>46</v>
      </c>
      <c r="B7" s="246"/>
      <c r="C7" s="246"/>
      <c r="D7" s="56" t="s">
        <v>380</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opLeftCell="B1" zoomScale="150" zoomScaleNormal="150" workbookViewId="0">
      <selection activeCell="H3" sqref="H3:J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412</v>
      </c>
      <c r="D3" s="78" t="s">
        <v>150</v>
      </c>
      <c r="E3" s="78" t="s">
        <v>413</v>
      </c>
      <c r="F3" s="80" t="s">
        <v>414</v>
      </c>
      <c r="H3" s="56"/>
      <c r="I3" s="56"/>
      <c r="J3" s="58"/>
    </row>
    <row r="4" spans="1:10" ht="57" customHeight="1" x14ac:dyDescent="0.25">
      <c r="A4" s="78">
        <v>3.6</v>
      </c>
      <c r="B4" s="80">
        <v>44474</v>
      </c>
      <c r="C4" s="79" t="s">
        <v>390</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A50" zoomScale="150" zoomScaleNormal="150" workbookViewId="0">
      <selection activeCell="N63" sqref="N63"/>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41" style="172"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c r="N1"/>
    </row>
    <row r="2" spans="1:14" x14ac:dyDescent="0.25">
      <c r="A2" s="1" t="s">
        <v>371</v>
      </c>
      <c r="B2" s="1"/>
      <c r="N2"/>
    </row>
    <row r="3" spans="1:14" ht="32.1" customHeight="1" x14ac:dyDescent="0.25">
      <c r="A3" s="217" t="s">
        <v>397</v>
      </c>
      <c r="B3" s="217"/>
      <c r="C3" s="217"/>
      <c r="D3" s="217"/>
      <c r="E3" s="217"/>
      <c r="F3" s="217"/>
      <c r="G3" s="217"/>
      <c r="H3" s="112"/>
      <c r="I3" s="112"/>
      <c r="J3" s="112"/>
      <c r="K3" s="112"/>
      <c r="N3" s="180" t="s">
        <v>379</v>
      </c>
    </row>
    <row r="4" spans="1:14" x14ac:dyDescent="0.25">
      <c r="A4" s="171" t="s">
        <v>373</v>
      </c>
      <c r="B4" s="171" t="s">
        <v>42</v>
      </c>
      <c r="C4" s="218" t="s">
        <v>43</v>
      </c>
      <c r="D4" s="219"/>
      <c r="E4" s="219"/>
      <c r="F4" s="219"/>
      <c r="G4" s="220"/>
      <c r="N4" s="178" t="s">
        <v>415</v>
      </c>
    </row>
    <row r="5" spans="1:14" x14ac:dyDescent="0.25">
      <c r="A5" s="122" t="s">
        <v>39</v>
      </c>
      <c r="B5" s="122"/>
      <c r="C5" s="221"/>
      <c r="D5" s="216"/>
      <c r="E5" s="216"/>
      <c r="F5" s="216"/>
      <c r="G5" s="216"/>
    </row>
    <row r="6" spans="1:14" x14ac:dyDescent="0.25">
      <c r="A6" s="122" t="s">
        <v>40</v>
      </c>
      <c r="B6" s="122"/>
      <c r="C6" s="221"/>
      <c r="D6" s="216"/>
      <c r="E6" s="216"/>
      <c r="F6" s="216"/>
      <c r="G6" s="216"/>
    </row>
    <row r="7" spans="1:14" x14ac:dyDescent="0.25">
      <c r="A7" s="122" t="s">
        <v>41</v>
      </c>
      <c r="B7" s="122"/>
      <c r="C7" s="221"/>
      <c r="D7" s="216"/>
      <c r="E7" s="216"/>
      <c r="F7" s="216"/>
      <c r="G7" s="216"/>
    </row>
    <row r="8" spans="1:14" x14ac:dyDescent="0.25">
      <c r="A8" s="154" t="s">
        <v>145</v>
      </c>
      <c r="B8" s="153"/>
      <c r="C8" s="216"/>
      <c r="D8" s="216"/>
      <c r="E8" s="216"/>
      <c r="F8" s="216"/>
      <c r="G8" s="216"/>
    </row>
    <row r="9" spans="1:14" x14ac:dyDescent="0.25">
      <c r="A9" s="122"/>
      <c r="B9" s="122"/>
      <c r="C9" s="222"/>
      <c r="D9" s="222"/>
      <c r="E9" s="222"/>
      <c r="F9" s="222"/>
      <c r="G9" s="222"/>
    </row>
    <row r="10" spans="1:14" x14ac:dyDescent="0.25">
      <c r="A10" s="155" t="s">
        <v>154</v>
      </c>
      <c r="B10" s="155"/>
      <c r="C10" s="223"/>
      <c r="D10" s="223"/>
      <c r="E10" s="223"/>
      <c r="F10" s="223"/>
      <c r="G10" s="223"/>
    </row>
    <row r="11" spans="1:14" x14ac:dyDescent="0.25">
      <c r="A11" s="15"/>
      <c r="B11" s="2"/>
      <c r="C11"/>
    </row>
    <row r="12" spans="1:14" x14ac:dyDescent="0.25">
      <c r="A12" s="18" t="s">
        <v>374</v>
      </c>
      <c r="B12" s="224" t="s">
        <v>376</v>
      </c>
      <c r="C12" s="225"/>
      <c r="D12" s="226"/>
      <c r="N12" s="178" t="s">
        <v>416</v>
      </c>
    </row>
    <row r="13" spans="1:14" x14ac:dyDescent="0.25">
      <c r="B13" s="227" t="s">
        <v>377</v>
      </c>
      <c r="C13" s="228"/>
      <c r="D13" s="229"/>
    </row>
    <row r="14" spans="1:14" x14ac:dyDescent="0.25">
      <c r="B14" s="208" t="s">
        <v>378</v>
      </c>
      <c r="C14" s="209"/>
      <c r="D14" s="210"/>
    </row>
    <row r="15" spans="1:14" x14ac:dyDescent="0.25">
      <c r="B15" s="211" t="s">
        <v>46</v>
      </c>
      <c r="C15" s="212"/>
      <c r="D15" s="213"/>
    </row>
    <row r="17" spans="1:14" x14ac:dyDescent="0.25">
      <c r="A17" s="1" t="s">
        <v>375</v>
      </c>
      <c r="B17" s="1" t="s">
        <v>108</v>
      </c>
      <c r="C17" s="13" t="s">
        <v>109</v>
      </c>
      <c r="N17" s="178" t="s">
        <v>417</v>
      </c>
    </row>
    <row r="18" spans="1:14" x14ac:dyDescent="0.25">
      <c r="A18" t="s">
        <v>107</v>
      </c>
      <c r="B18" s="148">
        <v>5.73</v>
      </c>
      <c r="C18" s="148">
        <v>6</v>
      </c>
      <c r="D18" s="22"/>
      <c r="N18" s="178" t="s">
        <v>418</v>
      </c>
    </row>
    <row r="19" spans="1:14" x14ac:dyDescent="0.25">
      <c r="A19" t="s">
        <v>420</v>
      </c>
      <c r="B19" s="148">
        <v>7.2</v>
      </c>
      <c r="C19" s="148">
        <v>9</v>
      </c>
      <c r="D19" s="175" t="s">
        <v>386</v>
      </c>
      <c r="F19" s="43"/>
      <c r="N19" s="178" t="s">
        <v>419</v>
      </c>
    </row>
    <row r="20" spans="1:14" x14ac:dyDescent="0.25">
      <c r="A20" t="s">
        <v>186</v>
      </c>
      <c r="B20" s="149">
        <v>3525</v>
      </c>
      <c r="C20" s="149">
        <v>1020</v>
      </c>
      <c r="D20" s="11"/>
      <c r="N20" s="178" t="s">
        <v>425</v>
      </c>
    </row>
    <row r="21" spans="1:14" x14ac:dyDescent="0.25">
      <c r="A21" t="s">
        <v>172</v>
      </c>
      <c r="B21" s="148">
        <f>VLOOKUP(B20,'Powell-Elevation-Area'!$A$5:$B$689,2)/1000000</f>
        <v>5.9265762500000001</v>
      </c>
      <c r="C21" s="148">
        <f>VLOOKUP(C20,'Mead-Elevation-Area'!$A$5:$B$689,2)/1000000</f>
        <v>5.664593</v>
      </c>
      <c r="D21" s="11"/>
      <c r="E21" s="43"/>
      <c r="N21" s="178" t="s">
        <v>421</v>
      </c>
    </row>
    <row r="22" spans="1:14" x14ac:dyDescent="0.25">
      <c r="A22" t="s">
        <v>392</v>
      </c>
      <c r="B22" s="148">
        <f>78.1</f>
        <v>78.099999999999994</v>
      </c>
      <c r="C22"/>
      <c r="D22" s="150"/>
      <c r="E22" s="43"/>
      <c r="N22" s="178" t="s">
        <v>422</v>
      </c>
    </row>
    <row r="23" spans="1:14" x14ac:dyDescent="0.25">
      <c r="A23" t="s">
        <v>393</v>
      </c>
      <c r="B23" s="176">
        <v>0.17</v>
      </c>
      <c r="C23"/>
      <c r="D23" s="150"/>
      <c r="E23" s="43"/>
      <c r="N23" s="178" t="s">
        <v>423</v>
      </c>
    </row>
    <row r="24" spans="1:14" x14ac:dyDescent="0.25">
      <c r="A24" t="s">
        <v>391</v>
      </c>
      <c r="B24" s="148">
        <f>10*(7.5+1.5/2)-B22-B23</f>
        <v>4.2300000000000058</v>
      </c>
      <c r="C24"/>
      <c r="D24" s="150"/>
      <c r="E24" s="43"/>
      <c r="N24" s="178" t="s">
        <v>424</v>
      </c>
    </row>
    <row r="25" spans="1:14" x14ac:dyDescent="0.25">
      <c r="B25" s="43"/>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181" t="s">
        <v>426</v>
      </c>
    </row>
    <row r="27" spans="1:14" x14ac:dyDescent="0.25">
      <c r="A27" s="168" t="s">
        <v>358</v>
      </c>
      <c r="B27" s="1"/>
      <c r="C27" s="130"/>
      <c r="D27" s="130"/>
      <c r="E27" s="130"/>
      <c r="F27" s="130"/>
      <c r="G27" s="130"/>
      <c r="H27" s="130"/>
      <c r="I27" s="130"/>
      <c r="J27" s="130"/>
      <c r="K27" s="130"/>
      <c r="L27" s="130"/>
      <c r="N27" s="178" t="s">
        <v>427</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78" t="s">
        <v>428</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78" t="s">
        <v>429</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78" t="s">
        <v>430</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78" t="s">
        <v>431</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8" t="s">
        <v>431</v>
      </c>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8" t="s">
        <v>431</v>
      </c>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78" t="s">
        <v>431</v>
      </c>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8" t="s">
        <v>431</v>
      </c>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78" t="s">
        <v>431</v>
      </c>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8" t="s">
        <v>431</v>
      </c>
    </row>
    <row r="38" spans="1:14" x14ac:dyDescent="0.25">
      <c r="A38" s="1" t="s">
        <v>372</v>
      </c>
      <c r="C38"/>
      <c r="N38" s="178" t="s">
        <v>432</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78" t="s">
        <v>433</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78" t="s">
        <v>435</v>
      </c>
    </row>
    <row r="49" spans="1:14" x14ac:dyDescent="0.25">
      <c r="A49" s="168" t="s">
        <v>394</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185" t="s">
        <v>434</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185" t="s">
        <v>434</v>
      </c>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185" t="s">
        <v>434</v>
      </c>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185" t="s">
        <v>434</v>
      </c>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185" t="s">
        <v>434</v>
      </c>
    </row>
    <row r="54" spans="1:14" x14ac:dyDescent="0.25">
      <c r="A54" t="str">
        <f t="shared" si="18"/>
        <v/>
      </c>
      <c r="B54" s="128"/>
      <c r="C54" s="106"/>
      <c r="D54" s="106"/>
      <c r="E54" s="106"/>
      <c r="F54" s="106"/>
      <c r="G54" s="106"/>
      <c r="H54" s="106"/>
      <c r="I54" s="106"/>
      <c r="J54" s="106"/>
      <c r="K54" s="106"/>
      <c r="L54" s="106"/>
      <c r="M54" s="27"/>
      <c r="N54" s="185" t="s">
        <v>434</v>
      </c>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185" t="s">
        <v>434</v>
      </c>
    </row>
    <row r="56" spans="1:14" x14ac:dyDescent="0.25">
      <c r="B56" s="157"/>
      <c r="C56" s="27"/>
      <c r="D56" s="27"/>
      <c r="E56" s="27"/>
      <c r="F56" s="157"/>
      <c r="G56" s="43"/>
      <c r="N56" s="181"/>
    </row>
    <row r="57" spans="1:14" x14ac:dyDescent="0.25">
      <c r="A57" s="134" t="s">
        <v>395</v>
      </c>
      <c r="B57" s="131"/>
      <c r="C57" s="131"/>
      <c r="D57" s="131"/>
      <c r="E57" s="131"/>
      <c r="F57" s="131"/>
      <c r="G57" s="131"/>
      <c r="H57" s="131"/>
      <c r="I57" s="131"/>
      <c r="J57" s="131"/>
      <c r="K57" s="131"/>
      <c r="L57" s="131"/>
      <c r="M57" s="131"/>
      <c r="N57" s="181" t="s">
        <v>426</v>
      </c>
    </row>
    <row r="58" spans="1:14" x14ac:dyDescent="0.25">
      <c r="A58" s="160" t="str">
        <f>IF(A$5="[Unused]","",A5)</f>
        <v>Upper Basin</v>
      </c>
      <c r="B58" s="132"/>
      <c r="C58" s="132"/>
      <c r="D58" s="132"/>
      <c r="E58" s="132"/>
      <c r="F58" s="132"/>
      <c r="G58" s="132"/>
      <c r="H58" s="132"/>
      <c r="I58" s="132"/>
      <c r="J58" s="132"/>
      <c r="K58" s="132"/>
      <c r="L58" s="132"/>
      <c r="M58" s="133" t="s">
        <v>105</v>
      </c>
      <c r="N58" s="178" t="s">
        <v>436</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72" t="s">
        <v>450</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72" t="s">
        <v>451</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72" t="s">
        <v>452</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2" t="s">
        <v>453</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172" t="s">
        <v>454</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72" t="str">
        <f>IF(A64="","","Available water - Account Withdraw")</f>
        <v>Available water - Account Withdraw</v>
      </c>
    </row>
    <row r="65" spans="1:14" x14ac:dyDescent="0.25">
      <c r="C65"/>
    </row>
    <row r="66" spans="1:14" x14ac:dyDescent="0.25">
      <c r="A66" s="160" t="str">
        <f>IF(A$6="","[Unused]",A6)</f>
        <v>Lower Basin</v>
      </c>
      <c r="B66" s="132"/>
      <c r="C66" s="132"/>
      <c r="D66" s="132"/>
      <c r="E66" s="132"/>
      <c r="F66" s="132"/>
      <c r="G66" s="132"/>
      <c r="H66" s="132"/>
      <c r="I66" s="132"/>
      <c r="J66" s="132"/>
      <c r="K66" s="132"/>
      <c r="L66" s="132"/>
      <c r="M66" s="133" t="s">
        <v>105</v>
      </c>
      <c r="N66" s="172" t="str">
        <f>IF(A66="","",N58)</f>
        <v>https://github.com/dzeke/ColoradoRiverCoding/blob/main/ModelMusings/Support/ModelGuide/ModelGuide-CombinedLakePowellLakeMead.md#step-5-player-dashboards--conserve-consume-and-trade</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72" t="str">
        <f>IF(A67="","",N59)</f>
        <v>https://github.com/dzeke/ColoradoRiverCoding/blob/main/ModelMusings/Support/ModelGuide/ModelGuide-CombinedLakePowellLakeMead.md#buy-or-sell-water-from-other-players</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72" t="str">
        <f t="shared" ref="N68:N72" si="27">IF(A68="","",N60)</f>
        <v>https://github.com/dzeke/ColoradoRiverCoding/blob/main/ModelMusings/Support/ModelGuide/ModelGuide-CombinedLakePowellLakeMead.md#compensation</v>
      </c>
    </row>
    <row r="69" spans="1:14" x14ac:dyDescent="0.25">
      <c r="A69" s="177" t="str">
        <f>IF(A68="","",$A$61)</f>
        <v xml:space="preserve">   Net trade volume all players (should be zero)</v>
      </c>
      <c r="C69" s="65" t="str">
        <f t="shared" ref="C69:M69" si="28">IF(OR(C$27="",$A69=""),"",C$114)</f>
        <v/>
      </c>
      <c r="D69" s="65" t="str">
        <f t="shared" si="28"/>
        <v/>
      </c>
      <c r="E69" s="65" t="str">
        <f t="shared" si="28"/>
        <v/>
      </c>
      <c r="F69" s="65" t="str">
        <f t="shared" si="28"/>
        <v/>
      </c>
      <c r="G69" s="65" t="str">
        <f t="shared" si="28"/>
        <v/>
      </c>
      <c r="H69" s="65" t="str">
        <f t="shared" si="28"/>
        <v/>
      </c>
      <c r="I69" s="65" t="str">
        <f t="shared" si="28"/>
        <v/>
      </c>
      <c r="J69" s="65" t="str">
        <f t="shared" si="28"/>
        <v/>
      </c>
      <c r="K69" s="65" t="str">
        <f t="shared" si="28"/>
        <v/>
      </c>
      <c r="L69" s="65" t="str">
        <f t="shared" si="28"/>
        <v/>
      </c>
      <c r="M69" t="str">
        <f t="shared" si="28"/>
        <v/>
      </c>
      <c r="N69" s="172" t="str">
        <f t="shared" si="27"/>
        <v>https://github.com/dzeke/ColoradoRiverCoding/blob/main/ModelMusings/Support/ModelGuide/ModelGuide-CombinedLakePowellLakeMead.md#net-trade-volume-all-players</v>
      </c>
    </row>
    <row r="70" spans="1:14" x14ac:dyDescent="0.2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2" t="str">
        <f t="shared" si="27"/>
        <v>https://github.com/dzeke/ColoradoRiverCoding/blob/main/ModelMusings/Support/ModelGuide/ModelGuide-CombinedLakePowellLakeMead.md#available-water</v>
      </c>
    </row>
    <row r="71" spans="1:14" x14ac:dyDescent="0.25">
      <c r="A71" s="168" t="str">
        <f>IF(A70="","",$A$63)</f>
        <v xml:space="preserve">   Enter withdraw [maf] within available water</v>
      </c>
      <c r="C71" s="125"/>
      <c r="D71" s="125"/>
      <c r="E71" s="125"/>
      <c r="F71" s="125"/>
      <c r="G71" s="125"/>
      <c r="H71" s="125"/>
      <c r="I71" s="125"/>
      <c r="J71" s="125"/>
      <c r="K71" s="125"/>
      <c r="L71" s="125"/>
      <c r="N71" s="172" t="str">
        <f t="shared" si="27"/>
        <v>https://github.com/dzeke/ColoradoRiverCoding/blob/main/ModelMusings/Support/ModelGuide/ModelGuide-CombinedLakePowellLakeMead.md#enter-withdraw-within-available-water</v>
      </c>
    </row>
    <row r="72" spans="1:14" x14ac:dyDescent="0.25">
      <c r="A72" s="30" t="str">
        <f>IF(A71="","","   End of Year Balance [maf]")</f>
        <v xml:space="preserve">   End of Year Balance [maf]</v>
      </c>
      <c r="C72" s="64" t="str">
        <f>IF(OR(C$27="",$A72=""),"",C70-C71)</f>
        <v/>
      </c>
      <c r="D72" s="64" t="str">
        <f t="shared" ref="D72:L72" si="30">IF(OR(D$27="",$A72=""),"",D70-D71)</f>
        <v/>
      </c>
      <c r="E72" s="64" t="str">
        <f t="shared" si="30"/>
        <v/>
      </c>
      <c r="F72" s="64" t="str">
        <f t="shared" si="30"/>
        <v/>
      </c>
      <c r="G72" s="64" t="str">
        <f t="shared" si="30"/>
        <v/>
      </c>
      <c r="H72" s="64" t="str">
        <f t="shared" si="30"/>
        <v/>
      </c>
      <c r="I72" s="64" t="str">
        <f t="shared" si="30"/>
        <v/>
      </c>
      <c r="J72" s="64" t="str">
        <f t="shared" si="30"/>
        <v/>
      </c>
      <c r="K72" s="64" t="str">
        <f t="shared" si="30"/>
        <v/>
      </c>
      <c r="L72" s="64" t="str">
        <f t="shared" si="30"/>
        <v/>
      </c>
      <c r="N72" s="172" t="str">
        <f t="shared" si="27"/>
        <v>Available water - Account Withdraw</v>
      </c>
    </row>
    <row r="73" spans="1:14" x14ac:dyDescent="0.25">
      <c r="C73"/>
    </row>
    <row r="74" spans="1:14" x14ac:dyDescent="0.25">
      <c r="A74" s="160" t="str">
        <f>IF(A$7="","[Unused]",A7)</f>
        <v>Mexico</v>
      </c>
      <c r="B74" s="132"/>
      <c r="C74" s="132"/>
      <c r="D74" s="132"/>
      <c r="E74" s="132"/>
      <c r="F74" s="132"/>
      <c r="G74" s="132"/>
      <c r="H74" s="132"/>
      <c r="I74" s="132"/>
      <c r="J74" s="132"/>
      <c r="K74" s="132"/>
      <c r="L74" s="132"/>
      <c r="M74" s="133" t="s">
        <v>105</v>
      </c>
      <c r="N74" s="172" t="s">
        <v>169</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72" t="str">
        <f>IF(A75="","",N67)</f>
        <v>https://github.com/dzeke/ColoradoRiverCoding/blob/main/ModelMusings/Support/ModelGuide/ModelGuide-CombinedLakePowellLakeMead.md#buy-or-sell-water-from-other-players</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72" t="str">
        <f t="shared" ref="N76:N80" si="31">IF(A76="","",N68)</f>
        <v>https://github.com/dzeke/ColoradoRiverCoding/blob/main/ModelMusings/Support/ModelGuide/ModelGuide-CombinedLakePowellLakeMead.md#compensation</v>
      </c>
    </row>
    <row r="77" spans="1:14" x14ac:dyDescent="0.25">
      <c r="A77" s="177" t="str">
        <f>IF(A76="","",$A$61)</f>
        <v xml:space="preserve">   Net trade volume all players (should be zero)</v>
      </c>
      <c r="C77" s="65" t="str">
        <f t="shared" ref="C77:M77" si="32">IF(OR(C$27="",$A77=""),"",C$114)</f>
        <v/>
      </c>
      <c r="D77" s="65" t="str">
        <f t="shared" si="32"/>
        <v/>
      </c>
      <c r="E77" s="65" t="str">
        <f t="shared" si="32"/>
        <v/>
      </c>
      <c r="F77" s="65" t="str">
        <f t="shared" si="32"/>
        <v/>
      </c>
      <c r="G77" s="65" t="str">
        <f t="shared" si="32"/>
        <v/>
      </c>
      <c r="H77" s="65" t="str">
        <f t="shared" si="32"/>
        <v/>
      </c>
      <c r="I77" s="65" t="str">
        <f t="shared" si="32"/>
        <v/>
      </c>
      <c r="J77" s="65" t="str">
        <f t="shared" si="32"/>
        <v/>
      </c>
      <c r="K77" s="65" t="str">
        <f t="shared" si="32"/>
        <v/>
      </c>
      <c r="L77" s="65" t="str">
        <f t="shared" si="32"/>
        <v/>
      </c>
      <c r="M77" t="str">
        <f t="shared" si="32"/>
        <v/>
      </c>
      <c r="N77" s="172" t="str">
        <f t="shared" si="31"/>
        <v>https://github.com/dzeke/ColoradoRiverCoding/blob/main/ModelMusings/Support/ModelGuide/ModelGuide-CombinedLakePowellLakeMead.md#net-trade-volume-all-players</v>
      </c>
    </row>
    <row r="78" spans="1:14" x14ac:dyDescent="0.2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2" t="str">
        <f t="shared" si="31"/>
        <v>https://github.com/dzeke/ColoradoRiverCoding/blob/main/ModelMusings/Support/ModelGuide/ModelGuide-CombinedLakePowellLakeMead.md#available-water</v>
      </c>
    </row>
    <row r="79" spans="1:14" x14ac:dyDescent="0.25">
      <c r="A79" s="168" t="str">
        <f>IF(A78="","",$A$63)</f>
        <v xml:space="preserve">   Enter withdraw [maf] within available water</v>
      </c>
      <c r="C79" s="125"/>
      <c r="D79" s="125"/>
      <c r="E79" s="125"/>
      <c r="F79" s="125"/>
      <c r="G79" s="125"/>
      <c r="H79" s="125"/>
      <c r="I79" s="125"/>
      <c r="J79" s="125"/>
      <c r="K79" s="125"/>
      <c r="L79" s="125"/>
      <c r="N79" s="172" t="str">
        <f t="shared" si="31"/>
        <v>https://github.com/dzeke/ColoradoRiverCoding/blob/main/ModelMusings/Support/ModelGuide/ModelGuide-CombinedLakePowellLakeMead.md#enter-withdraw-within-available-water</v>
      </c>
    </row>
    <row r="80" spans="1:14" x14ac:dyDescent="0.25">
      <c r="A80" s="30" t="str">
        <f>IF(A79="","","   End of Year Balance [maf]")</f>
        <v xml:space="preserve">   End of Year Balance [maf]</v>
      </c>
      <c r="C80" s="64" t="str">
        <f>IF(OR(C$27="",$A80=""),"",C78-C79)</f>
        <v/>
      </c>
      <c r="D80" s="64" t="str">
        <f t="shared" ref="D80:L80" si="34">IF(OR(D$27="",$A80=""),"",D78-D79)</f>
        <v/>
      </c>
      <c r="E80" s="64" t="str">
        <f t="shared" si="34"/>
        <v/>
      </c>
      <c r="F80" s="64" t="str">
        <f t="shared" si="34"/>
        <v/>
      </c>
      <c r="G80" s="64" t="str">
        <f t="shared" si="34"/>
        <v/>
      </c>
      <c r="H80" s="64" t="str">
        <f t="shared" si="34"/>
        <v/>
      </c>
      <c r="I80" s="64" t="str">
        <f t="shared" si="34"/>
        <v/>
      </c>
      <c r="J80" s="64" t="str">
        <f t="shared" si="34"/>
        <v/>
      </c>
      <c r="K80" s="64" t="str">
        <f t="shared" si="34"/>
        <v/>
      </c>
      <c r="L80" s="64" t="str">
        <f t="shared" si="34"/>
        <v/>
      </c>
      <c r="N80" s="172" t="str">
        <f t="shared" si="31"/>
        <v>Available water - Account Withdraw</v>
      </c>
    </row>
    <row r="81" spans="1:14" x14ac:dyDescent="0.25">
      <c r="C81"/>
    </row>
    <row r="82" spans="1:14" x14ac:dyDescent="0.25">
      <c r="A82" s="160" t="str">
        <f>IF(A$8="","[Unused]",A8)</f>
        <v>Colorado River Delta</v>
      </c>
      <c r="B82" s="132"/>
      <c r="C82" s="132"/>
      <c r="D82" s="132"/>
      <c r="E82" s="132"/>
      <c r="F82" s="132"/>
      <c r="G82" s="132"/>
      <c r="H82" s="132"/>
      <c r="I82" s="132"/>
      <c r="J82" s="132"/>
      <c r="K82" s="132"/>
      <c r="L82" s="132"/>
      <c r="M82" s="133" t="s">
        <v>105</v>
      </c>
      <c r="N82" s="172" t="s">
        <v>169</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72" t="str">
        <f>IF(A83="","",N75)</f>
        <v>https://github.com/dzeke/ColoradoRiverCoding/blob/main/ModelMusings/Support/ModelGuide/ModelGuide-CombinedLakePowellLakeMead.md#buy-or-sell-water-from-other-players</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72" t="str">
        <f>IF(A84="","","Parties may choose to make these transactions without money to help poor, struggling parties")</f>
        <v>Parties may choose to make these transactions without money to help poor, struggling parties</v>
      </c>
    </row>
    <row r="85" spans="1:14" x14ac:dyDescent="0.25">
      <c r="A85" s="177" t="str">
        <f>IF(A84="","",$A$61)</f>
        <v xml:space="preserve">   Net trade volume all players (should be zero)</v>
      </c>
      <c r="C85" s="65" t="str">
        <f t="shared" ref="C85:M85" si="35">IF(OR(C$27="",$A85=""),"",C$114)</f>
        <v/>
      </c>
      <c r="D85" s="65" t="str">
        <f t="shared" si="35"/>
        <v/>
      </c>
      <c r="E85" s="65" t="str">
        <f t="shared" si="35"/>
        <v/>
      </c>
      <c r="F85" s="65" t="str">
        <f t="shared" si="35"/>
        <v/>
      </c>
      <c r="G85" s="65" t="str">
        <f t="shared" si="35"/>
        <v/>
      </c>
      <c r="H85" s="65" t="str">
        <f t="shared" si="35"/>
        <v/>
      </c>
      <c r="I85" s="65" t="str">
        <f t="shared" si="35"/>
        <v/>
      </c>
      <c r="J85" s="65" t="str">
        <f t="shared" si="35"/>
        <v/>
      </c>
      <c r="K85" s="65" t="str">
        <f t="shared" si="35"/>
        <v/>
      </c>
      <c r="L85" s="65" t="str">
        <f t="shared" si="35"/>
        <v/>
      </c>
      <c r="M85" t="str">
        <f t="shared" si="35"/>
        <v/>
      </c>
      <c r="N85" s="172" t="str">
        <f t="shared" ref="N85:N88" si="36">IF(A85="","",N77)</f>
        <v>https://github.com/dzeke/ColoradoRiverCoding/blob/main/ModelMusings/Support/ModelGuide/ModelGuide-CombinedLakePowellLakeMead.md#net-trade-volume-all-players</v>
      </c>
    </row>
    <row r="86" spans="1:14" x14ac:dyDescent="0.25">
      <c r="A86" s="1" t="str">
        <f>IF(A84="","","   Available Water [maf]")</f>
        <v xml:space="preserve">   Available Water [maf]</v>
      </c>
      <c r="C86" s="158" t="str">
        <f>IF(OR(C$27="",$A86=""),"",C35+C53-C45+C83)</f>
        <v/>
      </c>
      <c r="D86" s="158" t="str">
        <f t="shared" ref="D86:L86" si="37">IF(OR(D$27="",$A86=""),"",D35+D53-D45+D83)</f>
        <v/>
      </c>
      <c r="E86" s="158" t="str">
        <f t="shared" si="37"/>
        <v/>
      </c>
      <c r="F86" s="158" t="str">
        <f t="shared" si="37"/>
        <v/>
      </c>
      <c r="G86" s="158" t="str">
        <f t="shared" si="37"/>
        <v/>
      </c>
      <c r="H86" s="158" t="str">
        <f t="shared" si="37"/>
        <v/>
      </c>
      <c r="I86" s="158" t="str">
        <f t="shared" si="37"/>
        <v/>
      </c>
      <c r="J86" s="158" t="str">
        <f t="shared" si="37"/>
        <v/>
      </c>
      <c r="K86" s="158" t="str">
        <f t="shared" si="37"/>
        <v/>
      </c>
      <c r="L86" s="158" t="str">
        <f t="shared" si="37"/>
        <v/>
      </c>
      <c r="N86" s="172" t="str">
        <f t="shared" si="36"/>
        <v>https://github.com/dzeke/ColoradoRiverCoding/blob/main/ModelMusings/Support/ModelGuide/ModelGuide-CombinedLakePowellLakeMead.md#available-water</v>
      </c>
    </row>
    <row r="87" spans="1:14" x14ac:dyDescent="0.25">
      <c r="A87" s="168" t="str">
        <f>IF(A86="","",$A$63)</f>
        <v xml:space="preserve">   Enter withdraw [maf] within available water</v>
      </c>
      <c r="C87" s="159"/>
      <c r="D87" s="159"/>
      <c r="E87" s="159"/>
      <c r="F87" s="159"/>
      <c r="G87" s="159"/>
      <c r="H87" s="159"/>
      <c r="I87" s="159"/>
      <c r="J87" s="159"/>
      <c r="K87" s="159"/>
      <c r="L87" s="159"/>
      <c r="N87" s="172" t="str">
        <f t="shared" si="36"/>
        <v>https://github.com/dzeke/ColoradoRiverCoding/blob/main/ModelMusings/Support/ModelGuide/ModelGuide-CombinedLakePowellLakeMead.md#enter-withdraw-within-available-water</v>
      </c>
    </row>
    <row r="88" spans="1:14" x14ac:dyDescent="0.25">
      <c r="A88" s="30" t="str">
        <f>IF(A87="","","   End of Year Balance [maf]")</f>
        <v xml:space="preserve">   End of Year Balance [maf]</v>
      </c>
      <c r="C88" s="64" t="str">
        <f>IF(OR(C$27="",$A88=""),"",C86-C87)</f>
        <v/>
      </c>
      <c r="D88" s="64" t="str">
        <f t="shared" ref="D88:L88" si="38">IF(OR(D$27="",$A88=""),"",D86-D87)</f>
        <v/>
      </c>
      <c r="E88" s="64" t="str">
        <f t="shared" si="38"/>
        <v/>
      </c>
      <c r="F88" s="64" t="str">
        <f t="shared" si="38"/>
        <v/>
      </c>
      <c r="G88" s="64" t="str">
        <f t="shared" si="38"/>
        <v/>
      </c>
      <c r="H88" s="64" t="str">
        <f t="shared" si="38"/>
        <v/>
      </c>
      <c r="I88" s="64" t="str">
        <f t="shared" si="38"/>
        <v/>
      </c>
      <c r="J88" s="64" t="str">
        <f t="shared" si="38"/>
        <v/>
      </c>
      <c r="K88" s="64" t="str">
        <f t="shared" si="38"/>
        <v/>
      </c>
      <c r="L88" s="64" t="str">
        <f t="shared" si="38"/>
        <v/>
      </c>
      <c r="N88" s="172" t="str">
        <f t="shared" si="36"/>
        <v>Available water - Account Withdraw</v>
      </c>
    </row>
    <row r="89" spans="1:14" x14ac:dyDescent="0.25">
      <c r="C89"/>
    </row>
    <row r="90" spans="1:14" x14ac:dyDescent="0.25">
      <c r="A90" s="160" t="str">
        <f>IF(A$9="","[Unused]",A9)</f>
        <v>[Unused]</v>
      </c>
      <c r="B90" s="132"/>
      <c r="C90" s="132"/>
      <c r="D90" s="132"/>
      <c r="E90" s="132"/>
      <c r="F90" s="132"/>
      <c r="G90" s="132"/>
      <c r="H90" s="132"/>
      <c r="I90" s="132"/>
      <c r="J90" s="132"/>
      <c r="K90" s="132"/>
      <c r="L90" s="132"/>
      <c r="M90" s="133" t="s">
        <v>105</v>
      </c>
      <c r="N90" s="172" t="s">
        <v>169</v>
      </c>
    </row>
    <row r="91" spans="1:14" x14ac:dyDescent="0.25">
      <c r="A91" s="30" t="str">
        <f>IF(A90="[Unused]","",$A$59)</f>
        <v/>
      </c>
      <c r="C91" s="123"/>
      <c r="D91" s="123"/>
      <c r="E91" s="123"/>
      <c r="F91" s="123"/>
      <c r="G91" s="123"/>
      <c r="H91" s="123"/>
      <c r="I91" s="123"/>
      <c r="J91" s="123"/>
      <c r="K91" s="123"/>
      <c r="L91" s="123"/>
      <c r="M91" s="65">
        <f>SUM(C91:L91)</f>
        <v>0</v>
      </c>
      <c r="N91" s="172" t="str">
        <f>IF(A91="","",N83)</f>
        <v/>
      </c>
    </row>
    <row r="92" spans="1:14" x14ac:dyDescent="0.25">
      <c r="A92" s="30" t="str">
        <f>IF(A91="","",$A$60)</f>
        <v/>
      </c>
      <c r="C92" s="124"/>
      <c r="D92" s="124"/>
      <c r="E92" s="124"/>
      <c r="F92" s="124"/>
      <c r="G92" s="124"/>
      <c r="H92" s="124"/>
      <c r="I92" s="124"/>
      <c r="J92" s="124"/>
      <c r="K92" s="124"/>
      <c r="L92" s="124"/>
      <c r="M92" s="63">
        <f>SUM(C92:L92)</f>
        <v>0</v>
      </c>
      <c r="N92" s="172" t="str">
        <f t="shared" ref="N92:N96" si="39">IF(A92="","",N84)</f>
        <v/>
      </c>
    </row>
    <row r="93" spans="1:14" x14ac:dyDescent="0.25">
      <c r="A93" s="177" t="str">
        <f>IF(A92="","",$A$61)</f>
        <v/>
      </c>
      <c r="C93" s="65" t="str">
        <f t="shared" ref="C93:M93" si="40">IF(OR(C$27="",$A93=""),"",C$114)</f>
        <v/>
      </c>
      <c r="D93" s="65" t="str">
        <f t="shared" si="40"/>
        <v/>
      </c>
      <c r="E93" s="65" t="str">
        <f t="shared" si="40"/>
        <v/>
      </c>
      <c r="F93" s="65" t="str">
        <f t="shared" si="40"/>
        <v/>
      </c>
      <c r="G93" s="65" t="str">
        <f t="shared" si="40"/>
        <v/>
      </c>
      <c r="H93" s="65" t="str">
        <f t="shared" si="40"/>
        <v/>
      </c>
      <c r="I93" s="65" t="str">
        <f t="shared" si="40"/>
        <v/>
      </c>
      <c r="J93" s="65" t="str">
        <f t="shared" si="40"/>
        <v/>
      </c>
      <c r="K93" s="65" t="str">
        <f t="shared" si="40"/>
        <v/>
      </c>
      <c r="L93" s="65" t="str">
        <f t="shared" si="40"/>
        <v/>
      </c>
      <c r="M93" t="str">
        <f t="shared" si="40"/>
        <v/>
      </c>
      <c r="N93" s="172" t="str">
        <f t="shared" si="39"/>
        <v/>
      </c>
    </row>
    <row r="94" spans="1:14" x14ac:dyDescent="0.2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2" t="str">
        <f t="shared" si="39"/>
        <v/>
      </c>
    </row>
    <row r="95" spans="1:14" x14ac:dyDescent="0.25">
      <c r="A95" s="168" t="str">
        <f>IF(A94="","",$A$63)</f>
        <v/>
      </c>
      <c r="C95" s="125"/>
      <c r="D95" s="125"/>
      <c r="E95" s="125"/>
      <c r="F95" s="125"/>
      <c r="G95" s="125"/>
      <c r="H95" s="125"/>
      <c r="I95" s="125"/>
      <c r="J95" s="125"/>
      <c r="K95" s="125"/>
      <c r="L95" s="125"/>
      <c r="N95" s="172" t="str">
        <f t="shared" si="39"/>
        <v/>
      </c>
    </row>
    <row r="96" spans="1:14" x14ac:dyDescent="0.25">
      <c r="A96" s="30" t="str">
        <f>IF(A95="","","   End of Year Balance [maf]")</f>
        <v/>
      </c>
      <c r="C96" s="64" t="str">
        <f>IF(OR(C$27="",$A96=""),"",C94-C95)</f>
        <v/>
      </c>
      <c r="D96" s="64" t="str">
        <f t="shared" ref="D96:L96" si="42">IF(OR(D$27="",$A96=""),"",D94-D95)</f>
        <v/>
      </c>
      <c r="E96" s="64" t="str">
        <f t="shared" si="42"/>
        <v/>
      </c>
      <c r="F96" s="64" t="str">
        <f t="shared" si="42"/>
        <v/>
      </c>
      <c r="G96" s="64" t="str">
        <f t="shared" si="42"/>
        <v/>
      </c>
      <c r="H96" s="64" t="str">
        <f t="shared" si="42"/>
        <v/>
      </c>
      <c r="I96" s="64" t="str">
        <f t="shared" si="42"/>
        <v/>
      </c>
      <c r="J96" s="64" t="str">
        <f t="shared" si="42"/>
        <v/>
      </c>
      <c r="K96" s="64" t="str">
        <f t="shared" si="42"/>
        <v/>
      </c>
      <c r="L96" s="64" t="str">
        <f t="shared" si="42"/>
        <v/>
      </c>
      <c r="N96" s="172" t="str">
        <f t="shared" si="39"/>
        <v/>
      </c>
    </row>
    <row r="97" spans="1:14" x14ac:dyDescent="0.25">
      <c r="C97"/>
    </row>
    <row r="98" spans="1:14" x14ac:dyDescent="0.25">
      <c r="A98" s="160" t="str">
        <f>IF(A$10="","[Unused]",A10)</f>
        <v>Shared, Reserve</v>
      </c>
      <c r="B98" s="132"/>
      <c r="C98" s="132"/>
      <c r="D98" s="132"/>
      <c r="E98" s="132"/>
      <c r="F98" s="132"/>
      <c r="G98" s="132"/>
      <c r="H98" s="132"/>
      <c r="I98" s="132"/>
      <c r="J98" s="132"/>
      <c r="K98" s="132"/>
      <c r="L98" s="132"/>
      <c r="M98" s="133" t="s">
        <v>105</v>
      </c>
      <c r="N98" s="172" t="s">
        <v>437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72" t="str">
        <f>IF(A99="","",N91)</f>
        <v/>
      </c>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72" t="str">
        <f t="shared" ref="N100:N104" si="43">IF(A100="","",N92)</f>
        <v/>
      </c>
    </row>
    <row r="101" spans="1:14" x14ac:dyDescent="0.25">
      <c r="A101" s="177" t="str">
        <f>IF(A100="","",$A$61)</f>
        <v xml:space="preserve">   Net trade volume all players (should be zero)</v>
      </c>
      <c r="C101" s="65" t="str">
        <f t="shared" ref="C101:M101" si="44">IF(OR(C$27="",$A101=""),"",C$114)</f>
        <v/>
      </c>
      <c r="D101" s="65" t="str">
        <f t="shared" si="44"/>
        <v/>
      </c>
      <c r="E101" s="65" t="str">
        <f t="shared" si="44"/>
        <v/>
      </c>
      <c r="F101" s="65" t="str">
        <f t="shared" si="44"/>
        <v/>
      </c>
      <c r="G101" s="65" t="str">
        <f t="shared" si="44"/>
        <v/>
      </c>
      <c r="H101" s="65" t="str">
        <f t="shared" si="44"/>
        <v/>
      </c>
      <c r="I101" s="65" t="str">
        <f t="shared" si="44"/>
        <v/>
      </c>
      <c r="J101" s="65" t="str">
        <f t="shared" si="44"/>
        <v/>
      </c>
      <c r="K101" s="65" t="str">
        <f t="shared" si="44"/>
        <v/>
      </c>
      <c r="L101" s="65" t="str">
        <f t="shared" si="44"/>
        <v/>
      </c>
      <c r="M101" t="str">
        <f t="shared" si="44"/>
        <v/>
      </c>
      <c r="N101" s="172" t="str">
        <f t="shared" si="43"/>
        <v/>
      </c>
    </row>
    <row r="102" spans="1:14" x14ac:dyDescent="0.2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2" t="str">
        <f t="shared" si="43"/>
        <v/>
      </c>
    </row>
    <row r="103" spans="1:14" x14ac:dyDescent="0.25">
      <c r="A103" s="168" t="str">
        <f>IF(A102="","",$A$63)</f>
        <v xml:space="preserve">   Enter withdraw [maf] within available water</v>
      </c>
      <c r="C103" s="41"/>
      <c r="D103" s="41"/>
      <c r="E103" s="41"/>
      <c r="F103" s="41"/>
      <c r="G103" s="41"/>
      <c r="H103" s="41"/>
      <c r="I103" s="41"/>
      <c r="J103" s="41"/>
      <c r="K103" s="41"/>
      <c r="L103" s="41"/>
      <c r="N103" s="172" t="str">
        <f t="shared" si="43"/>
        <v/>
      </c>
    </row>
    <row r="104" spans="1:14" x14ac:dyDescent="0.25">
      <c r="A104" s="30" t="str">
        <f>IF(A103="","","   End of Year Balance [maf]")</f>
        <v xml:space="preserve">   End of Year Balance [maf]</v>
      </c>
      <c r="C104" s="64" t="str">
        <f>IF(OR(C$27="",$A104=""),"",C102-C103)</f>
        <v/>
      </c>
      <c r="D104" s="64" t="str">
        <f t="shared" ref="D104:L104" si="46">IF(OR(D$27="",$A104=""),"",D102-D103)</f>
        <v/>
      </c>
      <c r="E104" s="64" t="str">
        <f t="shared" si="46"/>
        <v/>
      </c>
      <c r="F104" s="64" t="str">
        <f t="shared" si="46"/>
        <v/>
      </c>
      <c r="G104" s="64" t="str">
        <f t="shared" si="46"/>
        <v/>
      </c>
      <c r="H104" s="64" t="str">
        <f t="shared" si="46"/>
        <v/>
      </c>
      <c r="I104" s="64" t="str">
        <f t="shared" si="46"/>
        <v/>
      </c>
      <c r="J104" s="64" t="str">
        <f t="shared" si="46"/>
        <v/>
      </c>
      <c r="K104" s="64" t="str">
        <f t="shared" si="46"/>
        <v/>
      </c>
      <c r="L104" s="64" t="str">
        <f t="shared" si="46"/>
        <v/>
      </c>
      <c r="N104" s="172" t="str">
        <f t="shared" si="43"/>
        <v/>
      </c>
    </row>
    <row r="105" spans="1:14" x14ac:dyDescent="0.25">
      <c r="C105"/>
    </row>
    <row r="106" spans="1:14" x14ac:dyDescent="0.25">
      <c r="A106" s="134" t="s">
        <v>439</v>
      </c>
      <c r="B106" s="134"/>
      <c r="C106" s="134"/>
      <c r="D106" s="134"/>
      <c r="E106" s="134"/>
      <c r="F106" s="134"/>
      <c r="G106" s="134"/>
      <c r="H106" s="134"/>
      <c r="I106" s="134"/>
      <c r="J106" s="134"/>
      <c r="K106" s="134"/>
      <c r="L106" s="134"/>
      <c r="M106" s="134"/>
      <c r="N106" s="172" t="s">
        <v>438</v>
      </c>
    </row>
    <row r="107" spans="1:14" x14ac:dyDescent="0.25">
      <c r="A107" s="1" t="s">
        <v>350</v>
      </c>
      <c r="C107"/>
      <c r="M107" t="s">
        <v>179</v>
      </c>
    </row>
    <row r="108" spans="1:14" x14ac:dyDescent="0.25">
      <c r="A108" t="str">
        <f t="shared" ref="A108:A113" si="47">IF(A5="","","    "&amp;A5)</f>
        <v xml:space="preserve">    Upper Basin</v>
      </c>
      <c r="B108" s="1"/>
      <c r="C108" s="65" t="str">
        <f t="shared" ref="C108:L108" ca="1" si="48">IF(OR(C$27="",$A108=""),"",OFFSET(C$59,8*(ROW(B108)-ROW(B$108)),0))</f>
        <v/>
      </c>
      <c r="D108" s="65" t="str">
        <f t="shared" ca="1" si="48"/>
        <v/>
      </c>
      <c r="E108" s="65" t="str">
        <f t="shared" ca="1" si="48"/>
        <v/>
      </c>
      <c r="F108" s="65" t="str">
        <f t="shared" ca="1" si="48"/>
        <v/>
      </c>
      <c r="G108" s="65" t="str">
        <f t="shared" ca="1" si="48"/>
        <v/>
      </c>
      <c r="H108" s="65" t="str">
        <f t="shared" ca="1" si="48"/>
        <v/>
      </c>
      <c r="I108" s="65" t="str">
        <f t="shared" ca="1" si="48"/>
        <v/>
      </c>
      <c r="J108" s="65" t="str">
        <f t="shared" ca="1" si="48"/>
        <v/>
      </c>
      <c r="K108" s="65" t="str">
        <f t="shared" ca="1" si="48"/>
        <v/>
      </c>
      <c r="L108" s="186" t="str">
        <f t="shared" ca="1" si="48"/>
        <v/>
      </c>
      <c r="M108" s="188">
        <f ca="1">IF(OR($A108=""),"",SUM(C108:L108))</f>
        <v>0</v>
      </c>
      <c r="N108" s="187"/>
    </row>
    <row r="109" spans="1:14" x14ac:dyDescent="0.25">
      <c r="A109" t="str">
        <f t="shared" si="47"/>
        <v xml:space="preserve">    Lower Basin</v>
      </c>
      <c r="B109" s="1"/>
      <c r="C109" s="65" t="str">
        <f t="shared" ref="C109:L109" ca="1" si="49">IF(OR(C$27="",$A109=""),"",OFFSET(C$59,8*(ROW(B109)-ROW(B$108)),0))</f>
        <v/>
      </c>
      <c r="D109" s="65" t="str">
        <f t="shared" ca="1" si="49"/>
        <v/>
      </c>
      <c r="E109" s="65" t="str">
        <f t="shared" ca="1" si="49"/>
        <v/>
      </c>
      <c r="F109" s="65" t="str">
        <f t="shared" ca="1" si="49"/>
        <v/>
      </c>
      <c r="G109" s="65" t="str">
        <f t="shared" ca="1" si="49"/>
        <v/>
      </c>
      <c r="H109" s="65" t="str">
        <f t="shared" ca="1" si="49"/>
        <v/>
      </c>
      <c r="I109" s="65" t="str">
        <f t="shared" ca="1" si="49"/>
        <v/>
      </c>
      <c r="J109" s="65" t="str">
        <f t="shared" ca="1" si="49"/>
        <v/>
      </c>
      <c r="K109" s="65" t="str">
        <f t="shared" ca="1" si="49"/>
        <v/>
      </c>
      <c r="L109" s="186" t="str">
        <f t="shared" ca="1" si="49"/>
        <v/>
      </c>
      <c r="M109" s="188">
        <f t="shared" ref="M109:M113" ca="1" si="50">IF(OR($A109=""),"",SUM(C109:L109))</f>
        <v>0</v>
      </c>
      <c r="N109" s="187"/>
    </row>
    <row r="110" spans="1:14" x14ac:dyDescent="0.25">
      <c r="A110" t="str">
        <f t="shared" si="47"/>
        <v xml:space="preserve">    Mexico</v>
      </c>
      <c r="B110" s="1"/>
      <c r="C110" s="65" t="str">
        <f t="shared" ref="C110:L110" ca="1" si="51">IF(OR(C$27="",$A110=""),"",OFFSET(C$59,8*(ROW(B110)-ROW(B$108)),0))</f>
        <v/>
      </c>
      <c r="D110" s="65" t="str">
        <f t="shared" ca="1" si="51"/>
        <v/>
      </c>
      <c r="E110" s="65" t="str">
        <f t="shared" ca="1" si="51"/>
        <v/>
      </c>
      <c r="F110" s="65" t="str">
        <f t="shared" ca="1" si="51"/>
        <v/>
      </c>
      <c r="G110" s="65" t="str">
        <f t="shared" ca="1" si="51"/>
        <v/>
      </c>
      <c r="H110" s="65" t="str">
        <f t="shared" ca="1" si="51"/>
        <v/>
      </c>
      <c r="I110" s="65" t="str">
        <f t="shared" ca="1" si="51"/>
        <v/>
      </c>
      <c r="J110" s="65" t="str">
        <f t="shared" ca="1" si="51"/>
        <v/>
      </c>
      <c r="K110" s="65" t="str">
        <f t="shared" ca="1" si="51"/>
        <v/>
      </c>
      <c r="L110" s="186" t="str">
        <f t="shared" ca="1" si="51"/>
        <v/>
      </c>
      <c r="M110" s="188">
        <f t="shared" ca="1" si="50"/>
        <v>0</v>
      </c>
      <c r="N110" s="187"/>
    </row>
    <row r="111" spans="1:14" x14ac:dyDescent="0.25">
      <c r="A111" t="str">
        <f t="shared" si="47"/>
        <v xml:space="preserve">    Colorado River Delta</v>
      </c>
      <c r="B111" s="1"/>
      <c r="C111" s="65" t="str">
        <f t="shared" ref="C111:L111" ca="1" si="52">IF(OR(C$27="",$A111=""),"",OFFSET(C$59,8*(ROW(B111)-ROW(B$108)),0))</f>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186" t="str">
        <f t="shared" ca="1" si="52"/>
        <v/>
      </c>
      <c r="M111" s="188">
        <f t="shared" ca="1" si="50"/>
        <v>0</v>
      </c>
      <c r="N111" s="187"/>
    </row>
    <row r="112" spans="1:14" x14ac:dyDescent="0.25">
      <c r="A112" t="str">
        <f t="shared" si="47"/>
        <v/>
      </c>
      <c r="B112" s="1"/>
      <c r="C112" s="65" t="str">
        <f t="shared" ref="C112:L112" ca="1" si="53">IF(OR(C$27="",$A112=""),"",OFFSET(C$59,8*(ROW(B112)-ROW(B$108)),0))</f>
        <v/>
      </c>
      <c r="D112" s="65" t="str">
        <f t="shared" ca="1" si="53"/>
        <v/>
      </c>
      <c r="E112" s="65" t="str">
        <f t="shared" ca="1" si="53"/>
        <v/>
      </c>
      <c r="F112" s="65" t="str">
        <f t="shared" ca="1" si="53"/>
        <v/>
      </c>
      <c r="G112" s="65" t="str">
        <f t="shared" ca="1" si="53"/>
        <v/>
      </c>
      <c r="H112" s="65" t="str">
        <f t="shared" ca="1" si="53"/>
        <v/>
      </c>
      <c r="I112" s="65" t="str">
        <f t="shared" ca="1" si="53"/>
        <v/>
      </c>
      <c r="J112" s="65" t="str">
        <f t="shared" ca="1" si="53"/>
        <v/>
      </c>
      <c r="K112" s="65" t="str">
        <f t="shared" ca="1" si="53"/>
        <v/>
      </c>
      <c r="L112" s="186" t="str">
        <f t="shared" ca="1" si="53"/>
        <v/>
      </c>
      <c r="M112" s="188" t="str">
        <f t="shared" si="50"/>
        <v/>
      </c>
      <c r="N112" s="187"/>
    </row>
    <row r="113" spans="1:14" x14ac:dyDescent="0.25">
      <c r="A113" t="str">
        <f t="shared" si="47"/>
        <v xml:space="preserve">    Shared, Reserve</v>
      </c>
      <c r="B113" s="1"/>
      <c r="C113" s="65" t="str">
        <f t="shared" ref="C113:L113" ca="1" si="54">IF(OR(C$27="",$A113=""),"",OFFSET(C$59,8*(ROW(B113)-ROW(B$108)),0))</f>
        <v/>
      </c>
      <c r="D113" s="65" t="str">
        <f t="shared" ca="1" si="54"/>
        <v/>
      </c>
      <c r="E113" s="65" t="str">
        <f t="shared" ca="1" si="54"/>
        <v/>
      </c>
      <c r="F113" s="65" t="str">
        <f t="shared" ca="1" si="54"/>
        <v/>
      </c>
      <c r="G113" s="65" t="str">
        <f t="shared" ca="1" si="54"/>
        <v/>
      </c>
      <c r="H113" s="65" t="str">
        <f t="shared" ca="1" si="54"/>
        <v/>
      </c>
      <c r="I113" s="65" t="str">
        <f t="shared" ca="1" si="54"/>
        <v/>
      </c>
      <c r="J113" s="65" t="str">
        <f t="shared" ca="1" si="54"/>
        <v/>
      </c>
      <c r="K113" s="65" t="str">
        <f t="shared" ca="1" si="54"/>
        <v/>
      </c>
      <c r="L113" s="186" t="str">
        <f t="shared" ca="1" si="54"/>
        <v/>
      </c>
      <c r="M113" s="188">
        <f t="shared" ca="1" si="50"/>
        <v>0</v>
      </c>
      <c r="N113" s="187"/>
    </row>
    <row r="114" spans="1:14" x14ac:dyDescent="0.25">
      <c r="A114" t="s">
        <v>143</v>
      </c>
      <c r="B114" s="1"/>
      <c r="C114" s="49" t="str">
        <f>IF(C$27&lt;&gt;"",SUM(C108:C113),"")</f>
        <v/>
      </c>
      <c r="D114" s="49" t="str">
        <f t="shared" ref="D114:L114" si="55">IF(D$27&lt;&gt;"",SUM(D108:D113),"")</f>
        <v/>
      </c>
      <c r="E114" s="113" t="str">
        <f t="shared" si="55"/>
        <v/>
      </c>
      <c r="F114" s="49" t="str">
        <f t="shared" si="55"/>
        <v/>
      </c>
      <c r="G114" s="49" t="str">
        <f t="shared" si="55"/>
        <v/>
      </c>
      <c r="H114" s="49" t="str">
        <f t="shared" si="55"/>
        <v/>
      </c>
      <c r="I114" s="49" t="str">
        <f t="shared" si="55"/>
        <v/>
      </c>
      <c r="J114" s="49" t="str">
        <f t="shared" si="55"/>
        <v/>
      </c>
      <c r="K114" s="49" t="str">
        <f t="shared" si="55"/>
        <v/>
      </c>
      <c r="L114" s="49" t="str">
        <f t="shared" si="55"/>
        <v/>
      </c>
      <c r="M114" s="32"/>
    </row>
    <row r="115" spans="1:14" x14ac:dyDescent="0.25">
      <c r="A115" s="1" t="s">
        <v>351</v>
      </c>
      <c r="B115" s="1"/>
      <c r="C115" s="52"/>
      <c r="D115" s="2"/>
      <c r="E115" s="52"/>
      <c r="F115" s="2"/>
      <c r="G115" s="2"/>
      <c r="H115" s="2"/>
      <c r="I115" s="2"/>
      <c r="J115" s="2"/>
      <c r="K115" s="2"/>
      <c r="L115" s="2"/>
    </row>
    <row r="116" spans="1:14" x14ac:dyDescent="0.25">
      <c r="A116" t="str">
        <f>IF(A5="","","    "&amp;A5&amp;" - Consumptive Use and Headwaters Losses")</f>
        <v xml:space="preserve">    Upper Basin - Consumptive Use and Headwaters Losses</v>
      </c>
      <c r="C116" s="65" t="str">
        <f t="shared" ref="C116:L116" ca="1" si="56">IF(OR(C$27="",$A116=""),"",OFFSET(C$63,8*(ROW(B116)-ROW(B$116)),0))</f>
        <v/>
      </c>
      <c r="D116" s="65" t="str">
        <f t="shared" ca="1" si="56"/>
        <v/>
      </c>
      <c r="E116" s="65" t="str">
        <f t="shared" ca="1" si="56"/>
        <v/>
      </c>
      <c r="F116" s="65" t="str">
        <f t="shared" ca="1" si="56"/>
        <v/>
      </c>
      <c r="G116" s="65" t="str">
        <f t="shared" ca="1" si="56"/>
        <v/>
      </c>
      <c r="H116" s="65" t="str">
        <f t="shared" ca="1" si="56"/>
        <v/>
      </c>
      <c r="I116" s="65" t="str">
        <f t="shared" ca="1" si="56"/>
        <v/>
      </c>
      <c r="J116" s="65" t="str">
        <f t="shared" ca="1" si="56"/>
        <v/>
      </c>
      <c r="K116" s="65" t="str">
        <f t="shared" ca="1" si="56"/>
        <v/>
      </c>
      <c r="L116" s="65" t="str">
        <f t="shared" ca="1" si="56"/>
        <v/>
      </c>
    </row>
    <row r="117" spans="1:14" x14ac:dyDescent="0.25">
      <c r="A117" t="str">
        <f>IF(A6="","","    "&amp;A6&amp;" - Release from Mead")</f>
        <v xml:space="preserve">    Lower Basin - Release from Mead</v>
      </c>
      <c r="C117" s="65" t="str">
        <f t="shared" ref="C117:L117" ca="1" si="57">IF(OR(C$27="",$A117=""),"",OFFSET(C$63,8*(ROW(B117)-ROW(B$116)),0))</f>
        <v/>
      </c>
      <c r="D117" s="65" t="str">
        <f t="shared" ca="1" si="57"/>
        <v/>
      </c>
      <c r="E117" s="65" t="str">
        <f t="shared" ca="1" si="57"/>
        <v/>
      </c>
      <c r="F117" s="65" t="str">
        <f t="shared" ca="1" si="57"/>
        <v/>
      </c>
      <c r="G117" s="65" t="str">
        <f t="shared" ca="1" si="57"/>
        <v/>
      </c>
      <c r="H117" s="65" t="str">
        <f t="shared" ca="1" si="57"/>
        <v/>
      </c>
      <c r="I117" s="65" t="str">
        <f t="shared" ca="1" si="57"/>
        <v/>
      </c>
      <c r="J117" s="65" t="str">
        <f t="shared" ca="1" si="57"/>
        <v/>
      </c>
      <c r="K117" s="65" t="str">
        <f t="shared" ca="1" si="57"/>
        <v/>
      </c>
      <c r="L117" s="65" t="str">
        <f t="shared" ca="1" si="57"/>
        <v/>
      </c>
    </row>
    <row r="118" spans="1:14" x14ac:dyDescent="0.25">
      <c r="A118" t="str">
        <f>IF(A7="","","    "&amp;A7&amp;" - Release from Mead")</f>
        <v xml:space="preserve">    Mexico - Release from Mead</v>
      </c>
      <c r="C118" s="65" t="str">
        <f t="shared" ref="C118:L118" ca="1" si="58">IF(OR(C$27="",$A118=""),"",OFFSET(C$63,8*(ROW(B118)-ROW(B$116)),0))</f>
        <v/>
      </c>
      <c r="D118" s="65" t="str">
        <f t="shared" ca="1" si="58"/>
        <v/>
      </c>
      <c r="E118" s="65" t="str">
        <f t="shared" ca="1" si="58"/>
        <v/>
      </c>
      <c r="F118" s="65" t="str">
        <f t="shared" ca="1" si="58"/>
        <v/>
      </c>
      <c r="G118" s="65" t="str">
        <f t="shared" ca="1" si="58"/>
        <v/>
      </c>
      <c r="H118" s="65" t="str">
        <f t="shared" ca="1" si="58"/>
        <v/>
      </c>
      <c r="I118" s="65" t="str">
        <f t="shared" ca="1" si="58"/>
        <v/>
      </c>
      <c r="J118" s="65" t="str">
        <f t="shared" ca="1" si="58"/>
        <v/>
      </c>
      <c r="K118" s="65" t="str">
        <f t="shared" ca="1" si="58"/>
        <v/>
      </c>
      <c r="L118" s="65" t="str">
        <f t="shared" ca="1" si="58"/>
        <v/>
      </c>
    </row>
    <row r="119" spans="1:14" x14ac:dyDescent="0.25">
      <c r="A119" t="str">
        <f>IF(A8="","","    "&amp;A8&amp;" - Release from Mead")</f>
        <v xml:space="preserve">    Colorado River Delta - Release from Mead</v>
      </c>
      <c r="C119" s="65" t="str">
        <f t="shared" ref="C119:L119" ca="1" si="59">IF(OR(C$27="",$A119=""),"",OFFSET(C$63,8*(ROW(B119)-ROW(B$116)),0))</f>
        <v/>
      </c>
      <c r="D119" s="65" t="str">
        <f t="shared" ca="1" si="59"/>
        <v/>
      </c>
      <c r="E119" s="65" t="str">
        <f t="shared" ca="1" si="59"/>
        <v/>
      </c>
      <c r="F119" s="65" t="str">
        <f t="shared" ca="1" si="59"/>
        <v/>
      </c>
      <c r="G119" s="65" t="str">
        <f t="shared" ca="1" si="59"/>
        <v/>
      </c>
      <c r="H119" s="65" t="str">
        <f t="shared" ca="1" si="59"/>
        <v/>
      </c>
      <c r="I119" s="65" t="str">
        <f t="shared" ca="1" si="59"/>
        <v/>
      </c>
      <c r="J119" s="65" t="str">
        <f t="shared" ca="1" si="59"/>
        <v/>
      </c>
      <c r="K119" s="65" t="str">
        <f t="shared" ca="1" si="59"/>
        <v/>
      </c>
      <c r="L119" s="65" t="str">
        <f t="shared" ca="1" si="59"/>
        <v/>
      </c>
    </row>
    <row r="120" spans="1:14" x14ac:dyDescent="0.25">
      <c r="A120" t="str">
        <f>IF(A9="","","    "&amp;A9&amp;" - Release from Mead")</f>
        <v/>
      </c>
      <c r="C120" s="65" t="str">
        <f t="shared" ref="C120:L120" ca="1" si="60">IF(OR(C$27="",$A120=""),"",OFFSET(C$63,8*(ROW(B120)-ROW(B$116)),0))</f>
        <v/>
      </c>
      <c r="D120" s="65" t="str">
        <f t="shared" ca="1" si="60"/>
        <v/>
      </c>
      <c r="E120" s="65" t="str">
        <f t="shared" ca="1" si="60"/>
        <v/>
      </c>
      <c r="F120" s="65" t="str">
        <f t="shared" ca="1" si="60"/>
        <v/>
      </c>
      <c r="G120" s="65" t="str">
        <f t="shared" ca="1" si="60"/>
        <v/>
      </c>
      <c r="H120" s="65" t="str">
        <f t="shared" ca="1" si="60"/>
        <v/>
      </c>
      <c r="I120" s="65" t="str">
        <f t="shared" ca="1" si="60"/>
        <v/>
      </c>
      <c r="J120" s="65" t="str">
        <f t="shared" ca="1" si="60"/>
        <v/>
      </c>
      <c r="K120" s="65" t="str">
        <f t="shared" ca="1" si="60"/>
        <v/>
      </c>
      <c r="L120" s="65" t="str">
        <f t="shared" ca="1" si="60"/>
        <v/>
      </c>
    </row>
    <row r="121" spans="1:14" x14ac:dyDescent="0.25">
      <c r="A121" t="str">
        <f>IF(A10="","","    "&amp;A10&amp;" - Release from Mead")</f>
        <v xml:space="preserve">    Shared, Reserve - Release from Mead</v>
      </c>
      <c r="C121" s="65" t="str">
        <f t="shared" ref="C121:L121" ca="1" si="61">IF(OR(C$27="",$A121=""),"",OFFSET(C$63,8*(ROW(B121)-ROW(B$116)),0))</f>
        <v/>
      </c>
      <c r="D121" s="65" t="str">
        <f t="shared" ca="1" si="61"/>
        <v/>
      </c>
      <c r="E121" s="65" t="str">
        <f t="shared" ca="1" si="61"/>
        <v/>
      </c>
      <c r="F121" s="65" t="str">
        <f t="shared" ca="1" si="61"/>
        <v/>
      </c>
      <c r="G121" s="65" t="str">
        <f t="shared" ca="1" si="61"/>
        <v/>
      </c>
      <c r="H121" s="65" t="str">
        <f t="shared" ca="1" si="61"/>
        <v/>
      </c>
      <c r="I121" s="65" t="str">
        <f t="shared" ca="1" si="61"/>
        <v/>
      </c>
      <c r="J121" s="65" t="str">
        <f t="shared" ca="1" si="61"/>
        <v/>
      </c>
      <c r="K121" s="65" t="str">
        <f t="shared" ca="1" si="61"/>
        <v/>
      </c>
      <c r="L121" s="65" t="str">
        <f t="shared" ca="1" si="61"/>
        <v/>
      </c>
    </row>
    <row r="122" spans="1:14" x14ac:dyDescent="0.25">
      <c r="A122" s="1" t="s">
        <v>137</v>
      </c>
      <c r="B122" s="1"/>
      <c r="D122" s="2"/>
      <c r="E122" s="2"/>
      <c r="F122" s="2"/>
      <c r="G122" s="2"/>
      <c r="H122" s="2"/>
      <c r="I122" s="2"/>
      <c r="J122" s="2"/>
      <c r="K122" s="2"/>
      <c r="L122" s="2"/>
    </row>
    <row r="123" spans="1:14" x14ac:dyDescent="0.25">
      <c r="A123" t="str">
        <f t="shared" ref="A123:A128" si="62">IF(A5="","","    "&amp;A5)</f>
        <v xml:space="preserve">    Upper Basin</v>
      </c>
      <c r="C123" s="65" t="str">
        <f t="shared" ref="C123:L123" ca="1" si="63">IF(OR(C$27="",$A123=""),"",OFFSET(C$64,8*(ROW(B123)-ROW(B$123)),0))</f>
        <v/>
      </c>
      <c r="D123" s="65" t="str">
        <f t="shared" ca="1" si="63"/>
        <v/>
      </c>
      <c r="E123" s="65" t="str">
        <f t="shared" ca="1" si="63"/>
        <v/>
      </c>
      <c r="F123" s="65" t="str">
        <f t="shared" ca="1" si="63"/>
        <v/>
      </c>
      <c r="G123" s="65" t="str">
        <f t="shared" ca="1" si="63"/>
        <v/>
      </c>
      <c r="H123" s="65" t="str">
        <f t="shared" ca="1" si="63"/>
        <v/>
      </c>
      <c r="I123" s="65" t="str">
        <f t="shared" ca="1" si="63"/>
        <v/>
      </c>
      <c r="J123" s="65" t="str">
        <f t="shared" ca="1" si="63"/>
        <v/>
      </c>
      <c r="K123" s="65" t="str">
        <f t="shared" ca="1" si="63"/>
        <v/>
      </c>
      <c r="L123" s="65" t="str">
        <f t="shared" ca="1" si="63"/>
        <v/>
      </c>
    </row>
    <row r="124" spans="1:14" x14ac:dyDescent="0.25">
      <c r="A124" t="str">
        <f t="shared" si="62"/>
        <v xml:space="preserve">    Lower Basin</v>
      </c>
      <c r="C124" s="65" t="str">
        <f t="shared" ref="C124:L124" ca="1" si="64">IF(OR(C$27="",$A124=""),"",OFFSET(C$64,8*(ROW(B124)-ROW(B$123)),0))</f>
        <v/>
      </c>
      <c r="D124" s="65" t="str">
        <f t="shared" ca="1" si="64"/>
        <v/>
      </c>
      <c r="E124" s="65" t="str">
        <f t="shared" ca="1" si="64"/>
        <v/>
      </c>
      <c r="F124" s="65" t="str">
        <f t="shared" ca="1" si="64"/>
        <v/>
      </c>
      <c r="G124" s="65" t="str">
        <f t="shared" ca="1" si="64"/>
        <v/>
      </c>
      <c r="H124" s="65" t="str">
        <f t="shared" ca="1" si="64"/>
        <v/>
      </c>
      <c r="I124" s="65" t="str">
        <f t="shared" ca="1" si="64"/>
        <v/>
      </c>
      <c r="J124" s="65" t="str">
        <f t="shared" ca="1" si="64"/>
        <v/>
      </c>
      <c r="K124" s="65" t="str">
        <f t="shared" ca="1" si="64"/>
        <v/>
      </c>
      <c r="L124" s="65" t="str">
        <f t="shared" ca="1" si="64"/>
        <v/>
      </c>
    </row>
    <row r="125" spans="1:14" x14ac:dyDescent="0.25">
      <c r="A125" t="str">
        <f t="shared" si="62"/>
        <v xml:space="preserve">    Mexico</v>
      </c>
      <c r="C125" s="65" t="str">
        <f t="shared" ref="C125:L125" ca="1" si="65">IF(OR(C$27="",$A125=""),"",OFFSET(C$64,8*(ROW(B125)-ROW(B$123)),0))</f>
        <v/>
      </c>
      <c r="D125" s="65" t="str">
        <f t="shared" ca="1" si="65"/>
        <v/>
      </c>
      <c r="E125" s="65" t="str">
        <f t="shared" ca="1" si="65"/>
        <v/>
      </c>
      <c r="F125" s="65" t="str">
        <f t="shared" ca="1" si="65"/>
        <v/>
      </c>
      <c r="G125" s="65" t="str">
        <f t="shared" ca="1" si="65"/>
        <v/>
      </c>
      <c r="H125" s="65" t="str">
        <f t="shared" ca="1" si="65"/>
        <v/>
      </c>
      <c r="I125" s="65" t="str">
        <f t="shared" ca="1" si="65"/>
        <v/>
      </c>
      <c r="J125" s="65" t="str">
        <f t="shared" ca="1" si="65"/>
        <v/>
      </c>
      <c r="K125" s="65" t="str">
        <f t="shared" ca="1" si="65"/>
        <v/>
      </c>
      <c r="L125" s="65" t="str">
        <f t="shared" ca="1" si="65"/>
        <v/>
      </c>
    </row>
    <row r="126" spans="1:14" x14ac:dyDescent="0.25">
      <c r="A126" t="str">
        <f t="shared" si="62"/>
        <v xml:space="preserve">    Colorado River Delta</v>
      </c>
      <c r="C126" s="65" t="str">
        <f t="shared" ref="C126:L126" ca="1" si="66">IF(OR(C$27="",$A126=""),"",OFFSET(C$64,8*(ROW(B126)-ROW(B$123)),0))</f>
        <v/>
      </c>
      <c r="D126" s="65" t="str">
        <f t="shared" ca="1" si="66"/>
        <v/>
      </c>
      <c r="E126" s="65" t="str">
        <f t="shared" ca="1" si="66"/>
        <v/>
      </c>
      <c r="F126" s="65" t="str">
        <f t="shared" ca="1" si="66"/>
        <v/>
      </c>
      <c r="G126" s="65" t="str">
        <f t="shared" ca="1" si="66"/>
        <v/>
      </c>
      <c r="H126" s="65" t="str">
        <f t="shared" ca="1" si="66"/>
        <v/>
      </c>
      <c r="I126" s="65" t="str">
        <f t="shared" ca="1" si="66"/>
        <v/>
      </c>
      <c r="J126" s="65" t="str">
        <f t="shared" ca="1" si="66"/>
        <v/>
      </c>
      <c r="K126" s="65" t="str">
        <f t="shared" ca="1" si="66"/>
        <v/>
      </c>
      <c r="L126" s="65" t="str">
        <f t="shared" ca="1" si="66"/>
        <v/>
      </c>
    </row>
    <row r="127" spans="1:14" x14ac:dyDescent="0.25">
      <c r="A127" t="str">
        <f t="shared" si="62"/>
        <v/>
      </c>
      <c r="C127" s="65" t="str">
        <f t="shared" ref="C127:L127" ca="1" si="67">IF(OR(C$27="",$A127=""),"",OFFSET(C$64,8*(ROW(B127)-ROW(B$123)),0))</f>
        <v/>
      </c>
      <c r="D127" s="65" t="str">
        <f t="shared" ca="1" si="67"/>
        <v/>
      </c>
      <c r="E127" s="65" t="str">
        <f t="shared" ca="1" si="67"/>
        <v/>
      </c>
      <c r="F127" s="65" t="str">
        <f t="shared" ca="1" si="67"/>
        <v/>
      </c>
      <c r="G127" s="65" t="str">
        <f t="shared" ca="1" si="67"/>
        <v/>
      </c>
      <c r="H127" s="65" t="str">
        <f t="shared" ca="1" si="67"/>
        <v/>
      </c>
      <c r="I127" s="65" t="str">
        <f t="shared" ca="1" si="67"/>
        <v/>
      </c>
      <c r="J127" s="65" t="str">
        <f t="shared" ca="1" si="67"/>
        <v/>
      </c>
      <c r="K127" s="65" t="str">
        <f t="shared" ca="1" si="67"/>
        <v/>
      </c>
      <c r="L127" s="65" t="str">
        <f t="shared" ca="1" si="67"/>
        <v/>
      </c>
    </row>
    <row r="128" spans="1:14" x14ac:dyDescent="0.25">
      <c r="A128" t="str">
        <f t="shared" si="62"/>
        <v xml:space="preserve">    Shared, Reserve</v>
      </c>
      <c r="C128" s="65" t="str">
        <f t="shared" ref="C128:L128" ca="1" si="68">IF(OR(C$27="",$A128=""),"",OFFSET(C$64,8*(ROW(B128)-ROW(B$123)),0))</f>
        <v/>
      </c>
      <c r="D128" s="65" t="str">
        <f t="shared" ca="1" si="68"/>
        <v/>
      </c>
      <c r="E128" s="65" t="str">
        <f t="shared" ca="1" si="68"/>
        <v/>
      </c>
      <c r="F128" s="65" t="str">
        <f t="shared" ca="1" si="68"/>
        <v/>
      </c>
      <c r="G128" s="65" t="str">
        <f t="shared" ca="1" si="68"/>
        <v/>
      </c>
      <c r="H128" s="65" t="str">
        <f t="shared" ca="1" si="68"/>
        <v/>
      </c>
      <c r="I128" s="65" t="str">
        <f t="shared" ca="1" si="68"/>
        <v/>
      </c>
      <c r="J128" s="65" t="str">
        <f t="shared" ca="1" si="68"/>
        <v/>
      </c>
      <c r="K128" s="65" t="str">
        <f t="shared" ca="1" si="68"/>
        <v/>
      </c>
      <c r="L128" s="65" t="str">
        <f t="shared" ca="1" si="68"/>
        <v/>
      </c>
    </row>
    <row r="129" spans="1:14" x14ac:dyDescent="0.25">
      <c r="A129" s="1" t="s">
        <v>352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c r="N129" s="172" t="s">
        <v>444</v>
      </c>
    </row>
    <row r="130" spans="1:14" ht="29.45" customHeight="1" x14ac:dyDescent="0.25">
      <c r="A130" s="214" t="s">
        <v>440</v>
      </c>
      <c r="B130" s="215"/>
      <c r="C130" s="170"/>
      <c r="D130" s="170"/>
      <c r="E130" s="170"/>
      <c r="F130" s="170"/>
      <c r="G130" s="170"/>
      <c r="H130" s="170"/>
      <c r="I130" s="170"/>
      <c r="J130" s="170"/>
      <c r="K130" s="170"/>
      <c r="L130" s="170"/>
      <c r="N130" s="173" t="s">
        <v>441</v>
      </c>
    </row>
    <row r="131" spans="1:14" x14ac:dyDescent="0.25">
      <c r="A131" s="1" t="s">
        <v>363</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c r="N131" s="178" t="s">
        <v>446</v>
      </c>
    </row>
    <row r="132" spans="1:14" x14ac:dyDescent="0.25">
      <c r="A132" s="1" t="s">
        <v>364</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c r="N132" s="178" t="s">
        <v>446</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78" t="s">
        <v>446</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78" t="s">
        <v>446</v>
      </c>
    </row>
    <row r="135" spans="1:14" x14ac:dyDescent="0.25">
      <c r="A135" s="1" t="s">
        <v>365</v>
      </c>
      <c r="B135" s="1"/>
      <c r="N135" s="172" t="s">
        <v>443</v>
      </c>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8" t="s">
        <v>447</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78" t="s">
        <v>448</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73" t="s">
        <v>448</v>
      </c>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73" t="s">
        <v>449</v>
      </c>
    </row>
    <row r="140" spans="1:14" x14ac:dyDescent="0.25">
      <c r="A140" s="189" t="s">
        <v>442</v>
      </c>
      <c r="C140" s="27"/>
      <c r="N140" s="172" t="s">
        <v>445</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13161D26-E284-4CE5-8B20-1F8C007FF91C}"/>
    <hyperlink ref="N17" r:id="rId2" location="1b-make-assumptions" xr:uid="{098CE196-7B07-4707-A1EE-81CC770CBACD}"/>
    <hyperlink ref="N18" r:id="rId3" location="i-evaporation-rates" xr:uid="{2F2DB6D6-AE54-4760-8117-544C9E70C744}"/>
    <hyperlink ref="N19" r:id="rId4" location="ii-start-storage" xr:uid="{92EEE359-EA1F-4F3D-B5C7-C1A3276BA72B}"/>
    <hyperlink ref="N21" r:id="rId5" location="iv-the-protection-volumes" xr:uid="{C0029BB4-9282-4E40-B842-0FA4B4EBC089}"/>
    <hyperlink ref="N31" r:id="rId6" location="step-3-split-existing-reservoir-storage-among-parties-year-1-only" xr:uid="{631D586F-2972-44CD-A994-748FC1B4781E}"/>
    <hyperlink ref="N32:N37" r:id="rId7" location="step-3-split-existing-reservoir-storage-among-parties-year-1-only" display="https://github.com/dzeke/ColoradoRiverCoding/blob/main/ModelMusings/Support/ModelGuide/ModelGuide-CombinedLakePowellLakeMead.md#step-3-split-existing-reservoir-storage-among-parties-year-1-only" xr:uid="{ED52293E-6746-4EDF-A68D-8696E575CEAD}"/>
    <hyperlink ref="N48" r:id="rId8" location="3c-calculate-mexico-water-allocation" xr:uid="{39E8BCB1-D14B-4EDE-BA23-586B16210ED9}"/>
    <hyperlink ref="N49" r:id="rId9" location="split-combined-natural-inflow-among-parties" xr:uid="{CD4961EA-9E97-482C-A69F-3CBC61AAEA88}"/>
    <hyperlink ref="N50:N55" r:id="rId10" location="split-combined-natural-inflow-among-parties" display="https://github.com/dzeke/ColoradoRiverCoding/blob/main/ModelMusings/Support/ModelGuide/ModelGuide-CombinedLakePowellLakeMead.md#split-combined-natural-inflow-among-parties" xr:uid="{08D96FA9-D8CB-4919-9573-D1A681FA0814}"/>
    <hyperlink ref="N58" r:id="rId11" location="step-5-player-dashboards--conserve-consume-and-trade" xr:uid="{D7F5F642-C425-4F6E-BEFB-73624ECA0B4F}"/>
    <hyperlink ref="N131" r:id="rId12" location="i-powell-and-mead-storage-volumes-and-levels" xr:uid="{3B36938C-4B3F-4DCB-8892-48BF7E0D20FB}"/>
    <hyperlink ref="N132:N134" r:id="rId13" location="i-powell-and-mead-storage-volumes-and-levels" display="https://github.com/dzeke/ColoradoRiverCoding/blob/main/ModelMusings/Support/ModelGuide/ModelGuide-CombinedLakePowellLakeMead.md#i-powell-and-mead-storage-volumes-and-levels" xr:uid="{493E6579-022E-4D12-A899-76D188924AD1}"/>
    <hyperlink ref="N136" r:id="rId14" location="ii-lake-powell-release-to-achieve-powell-and-mead-storage-volumes" xr:uid="{25E6D5AD-0576-4B21-9504-85CBFABA44A8}"/>
    <hyperlink ref="N137" r:id="rId15" location="iv-suitability-of-native-endangered-fish-of-the-grand-canyon" xr:uid="{C5B752E3-7AF7-431D-94B1-B7500FC7E01E}"/>
    <hyperlink ref="N20" r:id="rId16" location="iii-protection-elevations" xr:uid="{A1372B11-032B-4C16-9B56-11AD4A42595C}"/>
    <hyperlink ref="N22" r:id="rId17" location="v-prior-9-year-lake-powell-release" xr:uid="{D0959D6A-D0C3-4A06-A106-39DA3F7C736B}"/>
    <hyperlink ref="N23" r:id="rId18" location="vi-prior-9-year-paria-river-flow" xr:uid="{EAB4BE8C-534D-423E-8899-2F05A908CA3E}"/>
    <hyperlink ref="N24" r:id="rId19" location="vii-delivery-to-meet-10-year-requirement" xr:uid="{8AB3A3B4-4A09-4BDD-907D-EB4BC5ECB444}"/>
    <hyperlink ref="N27" r:id="rId20" location="step-2-specify-natural-inflow-to-lake-powell" xr:uid="{627F65C8-BDBB-478C-B382-6050B3A88EE8}"/>
    <hyperlink ref="N28" r:id="rId21" location="2a-intervening-grand-canyon-flow" xr:uid="{898763B6-F08B-4705-A0C1-A490F6ADF1DE}"/>
    <hyperlink ref="N29" r:id="rId22" location="2b-mead-to-imperial-dam-intervening-flow" xr:uid="{2430AEE5-D321-48A7-BDC6-8FE1C6E826C4}"/>
    <hyperlink ref="N30" r:id="rId23" location="2c-havasuparker-evaporation-and-evapotranspiration" xr:uid="{14D5BF09-6121-4F84-9CC7-21417169B7F9}"/>
    <hyperlink ref="N38" r:id="rId24" location="3a-begin-of-year-reservoir-storage" xr:uid="{A1E800B5-59C7-480D-9BC2-50BD9E333231}"/>
    <hyperlink ref="N41" r:id="rId25" location="3b-calculate-powell--mead-evaporation" xr:uid="{FF96D4C3-E500-4336-9EAD-F6D7A56E578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43"/>
      <c r="I3" s="143"/>
      <c r="J3" s="143"/>
      <c r="K3" s="143"/>
    </row>
    <row r="4" spans="1:13" x14ac:dyDescent="0.25">
      <c r="A4" s="51" t="s">
        <v>38</v>
      </c>
      <c r="B4" s="51" t="s">
        <v>42</v>
      </c>
      <c r="C4" s="231" t="s">
        <v>43</v>
      </c>
      <c r="D4" s="232"/>
      <c r="E4" s="232"/>
      <c r="F4" s="232"/>
      <c r="G4" s="233"/>
      <c r="M4" s="1" t="s">
        <v>296</v>
      </c>
    </row>
    <row r="5" spans="1:13" x14ac:dyDescent="0.25">
      <c r="A5" s="142" t="s">
        <v>39</v>
      </c>
      <c r="B5" s="142" t="str">
        <f>IF(Master!B5="","",Master!B5)</f>
        <v/>
      </c>
      <c r="C5" s="221" t="s">
        <v>306</v>
      </c>
      <c r="D5" s="216"/>
      <c r="E5" s="216"/>
      <c r="F5" s="216"/>
      <c r="G5" s="216"/>
      <c r="M5" t="s">
        <v>297</v>
      </c>
    </row>
    <row r="6" spans="1:13" x14ac:dyDescent="0.25">
      <c r="A6" s="142" t="s">
        <v>40</v>
      </c>
      <c r="B6" s="142" t="str">
        <f>IF(Master!B6="","",Master!B6)</f>
        <v/>
      </c>
      <c r="C6" s="221" t="s">
        <v>306</v>
      </c>
      <c r="D6" s="216"/>
      <c r="E6" s="216"/>
      <c r="F6" s="216"/>
      <c r="G6" s="216"/>
      <c r="M6" t="s">
        <v>302</v>
      </c>
    </row>
    <row r="7" spans="1:13" x14ac:dyDescent="0.25">
      <c r="A7" s="142" t="s">
        <v>41</v>
      </c>
      <c r="B7" s="142" t="str">
        <f>IF(Master!B7="","",Master!B7)</f>
        <v/>
      </c>
      <c r="C7" s="221" t="s">
        <v>306</v>
      </c>
      <c r="D7" s="216"/>
      <c r="E7" s="216"/>
      <c r="F7" s="216"/>
      <c r="G7" s="216"/>
      <c r="M7" t="s">
        <v>303</v>
      </c>
    </row>
    <row r="8" spans="1:13" x14ac:dyDescent="0.25">
      <c r="A8" s="154" t="s">
        <v>145</v>
      </c>
      <c r="B8" s="153" t="str">
        <f>IF(Master!B8="","",Master!B8)</f>
        <v/>
      </c>
      <c r="C8" s="221" t="s">
        <v>209</v>
      </c>
      <c r="D8" s="216"/>
      <c r="E8" s="216"/>
      <c r="F8" s="216"/>
      <c r="G8" s="216"/>
    </row>
    <row r="9" spans="1:13" x14ac:dyDescent="0.25">
      <c r="A9" s="142" t="str">
        <f>IF(Master!A9="","",Master!A9)</f>
        <v/>
      </c>
      <c r="B9" s="142" t="str">
        <f>IF(Master!B9="","",Master!B9)</f>
        <v/>
      </c>
      <c r="C9" s="222"/>
      <c r="D9" s="222"/>
      <c r="E9" s="222"/>
      <c r="F9" s="222"/>
      <c r="G9" s="222"/>
    </row>
    <row r="10" spans="1:13" x14ac:dyDescent="0.25">
      <c r="A10" s="155" t="s">
        <v>154</v>
      </c>
      <c r="B10" s="155" t="str">
        <f>IF(Master!B10="","",Master!B10)</f>
        <v/>
      </c>
      <c r="C10" s="223" t="s">
        <v>338</v>
      </c>
      <c r="D10" s="223"/>
      <c r="E10" s="223"/>
      <c r="F10" s="223"/>
      <c r="G10" s="223"/>
    </row>
    <row r="11" spans="1:13" x14ac:dyDescent="0.25">
      <c r="A11" s="15"/>
      <c r="B11" s="2"/>
      <c r="C11"/>
    </row>
    <row r="12" spans="1:13" x14ac:dyDescent="0.25">
      <c r="A12" s="18" t="s">
        <v>374</v>
      </c>
      <c r="B12" s="224" t="s">
        <v>376</v>
      </c>
      <c r="C12" s="225"/>
      <c r="D12" s="226"/>
    </row>
    <row r="13" spans="1:13" x14ac:dyDescent="0.25">
      <c r="B13" s="227" t="s">
        <v>377</v>
      </c>
      <c r="C13" s="228"/>
      <c r="D13" s="229"/>
    </row>
    <row r="14" spans="1:13" x14ac:dyDescent="0.25">
      <c r="B14" s="208" t="s">
        <v>378</v>
      </c>
      <c r="C14" s="209"/>
      <c r="D14" s="210"/>
    </row>
    <row r="15" spans="1:13" x14ac:dyDescent="0.25">
      <c r="B15" s="211" t="s">
        <v>46</v>
      </c>
      <c r="C15" s="212"/>
      <c r="D15" s="213"/>
    </row>
    <row r="17" spans="1:14" x14ac:dyDescent="0.25">
      <c r="A17" s="1" t="s">
        <v>385</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62"/>
      <c r="I3" s="62"/>
      <c r="J3" s="62"/>
      <c r="K3" s="62"/>
    </row>
    <row r="4" spans="1:13" x14ac:dyDescent="0.25">
      <c r="A4" s="51" t="s">
        <v>38</v>
      </c>
      <c r="B4" s="51" t="s">
        <v>42</v>
      </c>
      <c r="C4" s="231" t="s">
        <v>43</v>
      </c>
      <c r="D4" s="232"/>
      <c r="E4" s="232"/>
      <c r="F4" s="232"/>
      <c r="G4" s="233"/>
      <c r="M4" s="1" t="s">
        <v>296</v>
      </c>
    </row>
    <row r="5" spans="1:13" x14ac:dyDescent="0.25">
      <c r="A5" s="122" t="s">
        <v>39</v>
      </c>
      <c r="B5" s="122" t="s">
        <v>150</v>
      </c>
      <c r="C5" s="221" t="s">
        <v>299</v>
      </c>
      <c r="D5" s="216"/>
      <c r="E5" s="216"/>
      <c r="F5" s="216"/>
      <c r="G5" s="216"/>
      <c r="M5" t="s">
        <v>297</v>
      </c>
    </row>
    <row r="6" spans="1:13" x14ac:dyDescent="0.25">
      <c r="A6" s="122" t="s">
        <v>40</v>
      </c>
      <c r="B6" s="122" t="s">
        <v>150</v>
      </c>
      <c r="C6" s="221" t="s">
        <v>300</v>
      </c>
      <c r="D6" s="216"/>
      <c r="E6" s="216"/>
      <c r="F6" s="216"/>
      <c r="G6" s="216"/>
      <c r="M6" t="s">
        <v>302</v>
      </c>
    </row>
    <row r="7" spans="1:13" x14ac:dyDescent="0.25">
      <c r="A7" s="122" t="s">
        <v>41</v>
      </c>
      <c r="B7" s="122" t="s">
        <v>150</v>
      </c>
      <c r="C7" s="221" t="s">
        <v>301</v>
      </c>
      <c r="D7" s="216"/>
      <c r="E7" s="216"/>
      <c r="F7" s="216"/>
      <c r="G7" s="216"/>
      <c r="M7" t="s">
        <v>303</v>
      </c>
    </row>
    <row r="8" spans="1:13" x14ac:dyDescent="0.25">
      <c r="A8" s="105" t="s">
        <v>154</v>
      </c>
      <c r="B8" s="105"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t="s">
        <v>150</v>
      </c>
      <c r="C5" s="221" t="s">
        <v>306</v>
      </c>
      <c r="D5" s="216"/>
      <c r="E5" s="216"/>
      <c r="F5" s="216"/>
      <c r="G5" s="216"/>
      <c r="M5" t="s">
        <v>297</v>
      </c>
    </row>
    <row r="6" spans="1:13" x14ac:dyDescent="0.25">
      <c r="A6" s="122" t="s">
        <v>40</v>
      </c>
      <c r="B6" s="122" t="s">
        <v>150</v>
      </c>
      <c r="C6" s="221" t="s">
        <v>306</v>
      </c>
      <c r="D6" s="216"/>
      <c r="E6" s="216"/>
      <c r="F6" s="216"/>
      <c r="G6" s="216"/>
      <c r="M6" t="s">
        <v>302</v>
      </c>
    </row>
    <row r="7" spans="1:13" x14ac:dyDescent="0.25">
      <c r="A7" s="122" t="s">
        <v>41</v>
      </c>
      <c r="B7" s="122" t="s">
        <v>150</v>
      </c>
      <c r="C7" s="221" t="s">
        <v>306</v>
      </c>
      <c r="D7" s="216"/>
      <c r="E7" s="216"/>
      <c r="F7" s="216"/>
      <c r="G7" s="216"/>
      <c r="M7" t="s">
        <v>303</v>
      </c>
    </row>
    <row r="8" spans="1:13" x14ac:dyDescent="0.25">
      <c r="A8" s="111" t="s">
        <v>154</v>
      </c>
      <c r="B8" s="111"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149</v>
      </c>
      <c r="D5" s="216"/>
      <c r="E5" s="216"/>
      <c r="F5" s="216"/>
      <c r="G5" s="216"/>
      <c r="M5" t="s">
        <v>297</v>
      </c>
    </row>
    <row r="6" spans="1:13" x14ac:dyDescent="0.25">
      <c r="A6" s="122" t="s">
        <v>40</v>
      </c>
      <c r="B6" s="122"/>
      <c r="C6" s="221" t="s">
        <v>149</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2021-10-11T18:37:17Z</dcterms:modified>
</cp:coreProperties>
</file>