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D9462673-846D-4D13-B805-7A7EF03023C0}" xr6:coauthVersionLast="36" xr6:coauthVersionMax="36" xr10:uidLastSave="{00000000-0000-0000-0000-000000000000}"/>
  <bookViews>
    <workbookView xWindow="0" yWindow="0" windowWidth="19200" windowHeight="6650"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LowerBasinCuts" sheetId="41" r:id="rId13"/>
    <sheet name="HydrologicScenarios" sheetId="7" r:id="rId14"/>
    <sheet name="PowellReleaseTemperature" sheetId="43" r:id="rId15"/>
    <sheet name="Powell-Elevation-Area" sheetId="2" r:id="rId16"/>
    <sheet name="Mead-Elevation-Area" sheetId="10" r:id="rId17"/>
    <sheet name="11.0-LawOfRiverShort" sheetId="16" r:id="rId1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4" i="47" l="1"/>
  <c r="E49" i="47" l="1"/>
  <c r="F49" i="47"/>
  <c r="G49" i="47"/>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10" i="52"/>
  <c r="A45" i="52" s="1"/>
  <c r="B10" i="52"/>
  <c r="B9" i="52"/>
  <c r="B8" i="52"/>
  <c r="B6" i="52"/>
  <c r="B7" i="52"/>
  <c r="B5" i="52"/>
  <c r="H26" i="52"/>
  <c r="H140" i="52" s="1"/>
  <c r="I26" i="52"/>
  <c r="I48" i="52" s="1"/>
  <c r="J26" i="52"/>
  <c r="J137" i="52" s="1"/>
  <c r="K26" i="52"/>
  <c r="K48" i="52" s="1"/>
  <c r="L26" i="52"/>
  <c r="L134" i="52" s="1"/>
  <c r="D26" i="52"/>
  <c r="D139" i="52" s="1"/>
  <c r="E26" i="52"/>
  <c r="E139" i="52" s="1"/>
  <c r="F26" i="52"/>
  <c r="F139" i="52" s="1"/>
  <c r="G26" i="52"/>
  <c r="G139" i="52" s="1"/>
  <c r="I132" i="52"/>
  <c r="C26" i="52"/>
  <c r="C117" i="52" s="1"/>
  <c r="D17" i="52"/>
  <c r="I139" i="52"/>
  <c r="H129" i="52"/>
  <c r="L127" i="52"/>
  <c r="A125" i="52"/>
  <c r="A124" i="52"/>
  <c r="A123" i="52"/>
  <c r="L122" i="52"/>
  <c r="A122" i="52"/>
  <c r="A121" i="52"/>
  <c r="A118" i="52"/>
  <c r="G118" i="52" s="1"/>
  <c r="I117" i="52"/>
  <c r="A117" i="52"/>
  <c r="J117" i="52" s="1"/>
  <c r="A116" i="52"/>
  <c r="A115" i="52"/>
  <c r="A114" i="52"/>
  <c r="A109" i="52"/>
  <c r="A108" i="52"/>
  <c r="N107" i="52"/>
  <c r="L107" i="52"/>
  <c r="I107" i="52"/>
  <c r="G107" i="52"/>
  <c r="A107" i="52"/>
  <c r="A106" i="52"/>
  <c r="M98" i="52"/>
  <c r="M97" i="52"/>
  <c r="A96" i="52"/>
  <c r="A97" i="52" s="1"/>
  <c r="M90" i="52"/>
  <c r="M89" i="52"/>
  <c r="M82" i="52"/>
  <c r="M81" i="52"/>
  <c r="A81" i="52"/>
  <c r="A80" i="52"/>
  <c r="M74" i="52"/>
  <c r="M73" i="52"/>
  <c r="A72" i="52"/>
  <c r="A73" i="52" s="1"/>
  <c r="M66" i="52"/>
  <c r="M65" i="52"/>
  <c r="A65" i="52"/>
  <c r="A66" i="52" s="1"/>
  <c r="A64" i="52"/>
  <c r="M58" i="52"/>
  <c r="M57" i="52"/>
  <c r="A57" i="52"/>
  <c r="N57" i="52" s="1"/>
  <c r="A56" i="52"/>
  <c r="A52" i="52"/>
  <c r="A51" i="52"/>
  <c r="K50" i="52"/>
  <c r="A50" i="52"/>
  <c r="K49" i="52"/>
  <c r="I49" i="52"/>
  <c r="B49" i="52"/>
  <c r="A49" i="52"/>
  <c r="A48" i="52"/>
  <c r="L47" i="52"/>
  <c r="K47" i="52"/>
  <c r="I47" i="52"/>
  <c r="L46" i="52"/>
  <c r="A43" i="52"/>
  <c r="A42" i="52"/>
  <c r="A41" i="52"/>
  <c r="A40" i="52"/>
  <c r="L39" i="52"/>
  <c r="I39" i="52"/>
  <c r="L38" i="52"/>
  <c r="K38" i="52"/>
  <c r="L37" i="52"/>
  <c r="I37" i="52"/>
  <c r="A35" i="52"/>
  <c r="A33" i="52"/>
  <c r="A32" i="52"/>
  <c r="L31" i="52"/>
  <c r="A31" i="52"/>
  <c r="A30" i="52"/>
  <c r="L29" i="52"/>
  <c r="I28" i="52"/>
  <c r="G28" i="52"/>
  <c r="L27" i="52"/>
  <c r="L130" i="52" s="1"/>
  <c r="K27" i="52"/>
  <c r="K130" i="52" s="1"/>
  <c r="I27" i="52"/>
  <c r="I130" i="52" s="1"/>
  <c r="F27" i="52"/>
  <c r="C23" i="52"/>
  <c r="B31" i="52" s="1"/>
  <c r="B23" i="52"/>
  <c r="B33" i="52" s="1"/>
  <c r="A1" i="52"/>
  <c r="F28" i="52" l="1"/>
  <c r="L33" i="52"/>
  <c r="L51" i="52"/>
  <c r="F107" i="52"/>
  <c r="L28" i="52"/>
  <c r="K31" i="52"/>
  <c r="K109" i="52"/>
  <c r="K136" i="52"/>
  <c r="H38" i="52"/>
  <c r="J42" i="52"/>
  <c r="J112" i="52"/>
  <c r="K117" i="52"/>
  <c r="G27" i="52"/>
  <c r="H29" i="52"/>
  <c r="A44" i="52"/>
  <c r="K132" i="52"/>
  <c r="K112" i="52"/>
  <c r="K29" i="52"/>
  <c r="K33" i="52"/>
  <c r="K46" i="52"/>
  <c r="K122" i="52"/>
  <c r="I135" i="52"/>
  <c r="H48" i="52"/>
  <c r="K115" i="52"/>
  <c r="C37" i="52"/>
  <c r="C39" i="52" s="1"/>
  <c r="I29" i="52"/>
  <c r="I32" i="52"/>
  <c r="J37" i="52"/>
  <c r="J39" i="52"/>
  <c r="J43" i="52"/>
  <c r="J47" i="52"/>
  <c r="J129" i="52"/>
  <c r="J135" i="52"/>
  <c r="I140" i="52"/>
  <c r="J29" i="52"/>
  <c r="J44" i="52"/>
  <c r="I50" i="52"/>
  <c r="J114" i="52"/>
  <c r="I124" i="52"/>
  <c r="L129" i="52"/>
  <c r="L135" i="52"/>
  <c r="J140" i="52"/>
  <c r="I40" i="52"/>
  <c r="I44" i="52"/>
  <c r="J125" i="52"/>
  <c r="J131" i="52"/>
  <c r="J136" i="52"/>
  <c r="L140" i="52"/>
  <c r="L48" i="52"/>
  <c r="J27" i="52"/>
  <c r="J130" i="52" s="1"/>
  <c r="J139" i="52"/>
  <c r="I38" i="52"/>
  <c r="I46" i="52"/>
  <c r="J51" i="52"/>
  <c r="I106" i="52"/>
  <c r="J108" i="52"/>
  <c r="I115" i="52"/>
  <c r="J121" i="52"/>
  <c r="A126" i="52"/>
  <c r="J126" i="52" s="1"/>
  <c r="J132" i="52"/>
  <c r="L136" i="52"/>
  <c r="J35" i="52"/>
  <c r="J49" i="52"/>
  <c r="I127" i="52"/>
  <c r="I137" i="52"/>
  <c r="J48" i="52"/>
  <c r="J134" i="52"/>
  <c r="J38" i="52"/>
  <c r="J46" i="52"/>
  <c r="J28" i="52"/>
  <c r="J31" i="52"/>
  <c r="F35" i="52"/>
  <c r="I42" i="52"/>
  <c r="J116" i="52"/>
  <c r="I122" i="52"/>
  <c r="J127" i="52"/>
  <c r="I134" i="52"/>
  <c r="D28" i="52"/>
  <c r="C31" i="52"/>
  <c r="C139" i="52"/>
  <c r="D27" i="52"/>
  <c r="D106" i="52"/>
  <c r="C28" i="52"/>
  <c r="C38" i="52"/>
  <c r="C46" i="52" s="1"/>
  <c r="C77" i="52" s="1"/>
  <c r="C116" i="52" s="1"/>
  <c r="E27" i="52"/>
  <c r="E107" i="52"/>
  <c r="E28" i="52"/>
  <c r="E109" i="52"/>
  <c r="C33" i="52"/>
  <c r="J45" i="52"/>
  <c r="C45" i="52"/>
  <c r="L45" i="52"/>
  <c r="G45" i="52"/>
  <c r="E45" i="52"/>
  <c r="D45" i="52"/>
  <c r="F45" i="52"/>
  <c r="G110" i="52"/>
  <c r="E110" i="52"/>
  <c r="N110" i="52"/>
  <c r="M110" i="52"/>
  <c r="A34" i="52"/>
  <c r="G34" i="52" s="1"/>
  <c r="I35" i="52"/>
  <c r="D44" i="52"/>
  <c r="A111" i="52"/>
  <c r="L111" i="52" s="1"/>
  <c r="A119" i="52"/>
  <c r="E119" i="52" s="1"/>
  <c r="G35" i="52"/>
  <c r="A53" i="52"/>
  <c r="A88" i="52"/>
  <c r="A89" i="52" s="1"/>
  <c r="A90" i="52" s="1"/>
  <c r="N90" i="52" s="1"/>
  <c r="E118" i="52"/>
  <c r="K35" i="52"/>
  <c r="G44" i="52"/>
  <c r="L35" i="52"/>
  <c r="C125" i="52"/>
  <c r="D35" i="52"/>
  <c r="E125" i="52"/>
  <c r="C35" i="52"/>
  <c r="E35" i="52"/>
  <c r="L125" i="52"/>
  <c r="H27" i="52"/>
  <c r="H130" i="52" s="1"/>
  <c r="H32" i="52"/>
  <c r="H118" i="52"/>
  <c r="H135" i="52"/>
  <c r="H33" i="52"/>
  <c r="H37" i="52"/>
  <c r="H28" i="52"/>
  <c r="H42" i="52"/>
  <c r="H44" i="52"/>
  <c r="H116" i="52"/>
  <c r="H124" i="52"/>
  <c r="H126" i="52"/>
  <c r="H131" i="52"/>
  <c r="H30" i="52"/>
  <c r="H39" i="52"/>
  <c r="H45" i="52"/>
  <c r="H35" i="52"/>
  <c r="H46" i="52"/>
  <c r="H50" i="52"/>
  <c r="H134" i="52"/>
  <c r="K28" i="52"/>
  <c r="K37" i="52"/>
  <c r="L106" i="52"/>
  <c r="H107" i="52"/>
  <c r="L112" i="52"/>
  <c r="H122" i="52"/>
  <c r="K124" i="52"/>
  <c r="K127" i="52"/>
  <c r="I131" i="52"/>
  <c r="L132" i="52"/>
  <c r="H137" i="52"/>
  <c r="H139" i="52"/>
  <c r="K140" i="52"/>
  <c r="K135" i="52"/>
  <c r="K131" i="52"/>
  <c r="K116" i="52"/>
  <c r="K39" i="52"/>
  <c r="K107" i="52"/>
  <c r="L114" i="52"/>
  <c r="L116" i="52"/>
  <c r="K123" i="52"/>
  <c r="D125" i="52"/>
  <c r="I129" i="52"/>
  <c r="L131" i="52"/>
  <c r="H136" i="52"/>
  <c r="K137" i="52"/>
  <c r="K139" i="52"/>
  <c r="K44" i="52"/>
  <c r="I45" i="52"/>
  <c r="H47" i="52"/>
  <c r="H51" i="52"/>
  <c r="D107" i="52"/>
  <c r="H110" i="52"/>
  <c r="H112" i="52"/>
  <c r="L123" i="52"/>
  <c r="H132" i="52"/>
  <c r="K134" i="52"/>
  <c r="I136" i="52"/>
  <c r="L137" i="52"/>
  <c r="L139" i="52"/>
  <c r="K43" i="52"/>
  <c r="K45" i="52"/>
  <c r="K51" i="52"/>
  <c r="H108" i="52"/>
  <c r="I112" i="52"/>
  <c r="H115" i="52"/>
  <c r="H117" i="52"/>
  <c r="H125" i="52"/>
  <c r="H127" i="52"/>
  <c r="K129" i="52"/>
  <c r="K125" i="52"/>
  <c r="C29" i="52"/>
  <c r="C27" i="52"/>
  <c r="C69" i="52" s="1"/>
  <c r="C115" i="52" s="1"/>
  <c r="F125" i="52"/>
  <c r="E47" i="52"/>
  <c r="F110" i="52"/>
  <c r="F118" i="52"/>
  <c r="A74" i="52"/>
  <c r="N73" i="52"/>
  <c r="N81" i="52" s="1"/>
  <c r="A67" i="52"/>
  <c r="A68" i="52"/>
  <c r="K41" i="52"/>
  <c r="B30" i="52"/>
  <c r="B29" i="52" s="1"/>
  <c r="C32" i="52"/>
  <c r="K32" i="52"/>
  <c r="L41" i="52"/>
  <c r="C30" i="52"/>
  <c r="K30" i="52"/>
  <c r="L32" i="52"/>
  <c r="I33" i="52"/>
  <c r="L42" i="52"/>
  <c r="K42" i="52"/>
  <c r="F44" i="52"/>
  <c r="E44" i="52"/>
  <c r="L44" i="52"/>
  <c r="A58" i="52"/>
  <c r="J106" i="52"/>
  <c r="L109" i="52"/>
  <c r="D109" i="52"/>
  <c r="I109" i="52"/>
  <c r="H109" i="52"/>
  <c r="G109" i="52"/>
  <c r="N109" i="52"/>
  <c r="F109" i="52"/>
  <c r="J30" i="52"/>
  <c r="I43" i="52"/>
  <c r="H43" i="52"/>
  <c r="L43" i="52"/>
  <c r="A82" i="52"/>
  <c r="L30" i="52"/>
  <c r="H31" i="52"/>
  <c r="J33" i="52"/>
  <c r="C44" i="52"/>
  <c r="N65" i="52"/>
  <c r="C109" i="52"/>
  <c r="K114" i="52"/>
  <c r="H114" i="52"/>
  <c r="I30" i="52"/>
  <c r="J32" i="52"/>
  <c r="F47" i="52"/>
  <c r="I31" i="52"/>
  <c r="H40" i="52"/>
  <c r="G47" i="52"/>
  <c r="J40" i="52"/>
  <c r="H41" i="52"/>
  <c r="H49" i="52"/>
  <c r="L49" i="52"/>
  <c r="A98" i="52"/>
  <c r="N97" i="52"/>
  <c r="J109" i="52"/>
  <c r="I114" i="52"/>
  <c r="K40" i="52"/>
  <c r="I41" i="52"/>
  <c r="I108" i="52"/>
  <c r="N108" i="52"/>
  <c r="F108" i="52"/>
  <c r="E108" i="52"/>
  <c r="L108" i="52"/>
  <c r="D108" i="52"/>
  <c r="K108" i="52"/>
  <c r="C108" i="52"/>
  <c r="C34" i="52"/>
  <c r="L34" i="52"/>
  <c r="L40" i="52"/>
  <c r="J41" i="52"/>
  <c r="K106" i="52"/>
  <c r="C106" i="52"/>
  <c r="H106" i="52"/>
  <c r="G106" i="52"/>
  <c r="N106" i="52"/>
  <c r="F106" i="52"/>
  <c r="E106" i="52"/>
  <c r="G108" i="52"/>
  <c r="I121" i="52"/>
  <c r="H121" i="52"/>
  <c r="L121" i="52"/>
  <c r="K121" i="52"/>
  <c r="J50" i="52"/>
  <c r="I110" i="52"/>
  <c r="J115" i="52"/>
  <c r="D117" i="52"/>
  <c r="L117" i="52"/>
  <c r="I118" i="52"/>
  <c r="J124" i="52"/>
  <c r="G125" i="52"/>
  <c r="J110" i="52"/>
  <c r="E117" i="52"/>
  <c r="J118" i="52"/>
  <c r="L50" i="52"/>
  <c r="I51" i="52"/>
  <c r="J107" i="52"/>
  <c r="C110" i="52"/>
  <c r="K110" i="52"/>
  <c r="L115" i="52"/>
  <c r="I116" i="52"/>
  <c r="F117" i="52"/>
  <c r="C118" i="52"/>
  <c r="K118" i="52"/>
  <c r="J122" i="52"/>
  <c r="L124" i="52"/>
  <c r="I125" i="52"/>
  <c r="C107" i="52"/>
  <c r="D110" i="52"/>
  <c r="L110" i="52"/>
  <c r="G117" i="52"/>
  <c r="D118" i="52"/>
  <c r="L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H39" i="47"/>
  <c r="I39" i="47"/>
  <c r="J39" i="47"/>
  <c r="K39" i="47"/>
  <c r="L39" i="47"/>
  <c r="H40" i="47"/>
  <c r="I40" i="47"/>
  <c r="J40" i="47"/>
  <c r="K40" i="47"/>
  <c r="L40" i="47"/>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F128" i="47"/>
  <c r="A128" i="47"/>
  <c r="J128" i="47" s="1"/>
  <c r="I127" i="47"/>
  <c r="H127" i="47"/>
  <c r="A127" i="47"/>
  <c r="K127" i="47" s="1"/>
  <c r="I126" i="47"/>
  <c r="A126" i="47"/>
  <c r="K126" i="47" s="1"/>
  <c r="L125" i="47"/>
  <c r="A125" i="47"/>
  <c r="K125" i="47" s="1"/>
  <c r="A124" i="47"/>
  <c r="I124" i="47" s="1"/>
  <c r="A123" i="47"/>
  <c r="I123" i="47" s="1"/>
  <c r="K121" i="47"/>
  <c r="H121" i="47"/>
  <c r="G121" i="47"/>
  <c r="F121" i="47"/>
  <c r="E121" i="47"/>
  <c r="D121" i="47"/>
  <c r="C121" i="47"/>
  <c r="A121" i="47"/>
  <c r="J121" i="47" s="1"/>
  <c r="H120" i="47"/>
  <c r="A120" i="47"/>
  <c r="G120" i="47" s="1"/>
  <c r="A119" i="47"/>
  <c r="J119" i="47" s="1"/>
  <c r="A118" i="47"/>
  <c r="K118" i="47" s="1"/>
  <c r="A117" i="47"/>
  <c r="F117" i="47" s="1"/>
  <c r="A116" i="47"/>
  <c r="K116" i="47" s="1"/>
  <c r="L114" i="47"/>
  <c r="K114" i="47"/>
  <c r="J114" i="47"/>
  <c r="I114" i="47"/>
  <c r="H114" i="47"/>
  <c r="A113" i="47"/>
  <c r="J113" i="47" s="1"/>
  <c r="H112" i="47"/>
  <c r="F112" i="47"/>
  <c r="A112" i="47"/>
  <c r="G112" i="47" s="1"/>
  <c r="A111" i="47"/>
  <c r="J111" i="47" s="1"/>
  <c r="A110" i="47"/>
  <c r="I110" i="47" s="1"/>
  <c r="I109" i="47"/>
  <c r="G109" i="47"/>
  <c r="A109" i="47"/>
  <c r="E109" i="47" s="1"/>
  <c r="A108" i="47"/>
  <c r="K108" i="47" s="1"/>
  <c r="M100" i="47"/>
  <c r="M99" i="47"/>
  <c r="A98" i="47"/>
  <c r="A99" i="47" s="1"/>
  <c r="M92" i="47"/>
  <c r="M91" i="47"/>
  <c r="A90" i="47"/>
  <c r="A91" i="47" s="1"/>
  <c r="M84" i="47"/>
  <c r="M83" i="47"/>
  <c r="A82" i="47"/>
  <c r="A83" i="47" s="1"/>
  <c r="M76" i="47"/>
  <c r="M75" i="47"/>
  <c r="A74" i="47"/>
  <c r="A75" i="47" s="1"/>
  <c r="M68" i="47"/>
  <c r="M67" i="47"/>
  <c r="A66" i="47"/>
  <c r="A67" i="47" s="1"/>
  <c r="M60" i="47"/>
  <c r="M59" i="47"/>
  <c r="A58" i="47"/>
  <c r="A59" i="47" s="1"/>
  <c r="A55" i="47"/>
  <c r="A54" i="47"/>
  <c r="A53" i="47"/>
  <c r="J53" i="47" s="1"/>
  <c r="A52" i="47"/>
  <c r="H52" i="47" s="1"/>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0" i="47"/>
  <c r="C48" i="47" s="1"/>
  <c r="C39" i="47"/>
  <c r="E37" i="47"/>
  <c r="A37" i="47"/>
  <c r="K37" i="47" s="1"/>
  <c r="L36" i="47"/>
  <c r="D36" i="47"/>
  <c r="A36" i="47"/>
  <c r="F36" i="47" s="1"/>
  <c r="L35" i="47"/>
  <c r="K35" i="47"/>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D49" i="47" s="1"/>
  <c r="C28" i="47"/>
  <c r="C23" i="47"/>
  <c r="B33" i="47" s="1"/>
  <c r="B23" i="47"/>
  <c r="B32" i="47" s="1"/>
  <c r="A1" i="47"/>
  <c r="F9" i="43"/>
  <c r="H137" i="33"/>
  <c r="I137" i="33"/>
  <c r="J137" i="33"/>
  <c r="K137" i="33"/>
  <c r="L137" i="33"/>
  <c r="H136" i="33"/>
  <c r="I136" i="33"/>
  <c r="J136" i="33"/>
  <c r="K136" i="33"/>
  <c r="L136" i="33"/>
  <c r="H135" i="33"/>
  <c r="I135" i="33"/>
  <c r="J135" i="33"/>
  <c r="K135" i="33"/>
  <c r="L135" i="33"/>
  <c r="E6" i="43"/>
  <c r="E7" i="43" s="1"/>
  <c r="E11" i="43"/>
  <c r="G36" i="47" l="1"/>
  <c r="F37" i="47"/>
  <c r="L45" i="47"/>
  <c r="E111" i="47"/>
  <c r="C117" i="47"/>
  <c r="D118" i="47"/>
  <c r="C119" i="47"/>
  <c r="L121" i="47"/>
  <c r="L126" i="47"/>
  <c r="K128" i="47"/>
  <c r="G126" i="52"/>
  <c r="H36" i="47"/>
  <c r="G111" i="47"/>
  <c r="D117" i="47"/>
  <c r="E118" i="47"/>
  <c r="E119" i="47"/>
  <c r="N111" i="52"/>
  <c r="D111" i="52"/>
  <c r="D112" i="52" s="1"/>
  <c r="D67" i="52" s="1"/>
  <c r="I36" i="47"/>
  <c r="I37" i="47"/>
  <c r="L46" i="47"/>
  <c r="H51" i="47"/>
  <c r="J51" i="47"/>
  <c r="I51" i="47"/>
  <c r="F51" i="47"/>
  <c r="K51" i="47"/>
  <c r="L51" i="47"/>
  <c r="E51" i="47"/>
  <c r="G51" i="47"/>
  <c r="H111" i="47"/>
  <c r="G117" i="47"/>
  <c r="F118" i="47"/>
  <c r="F119" i="47"/>
  <c r="D127" i="47"/>
  <c r="I119" i="52"/>
  <c r="F111" i="52"/>
  <c r="H37" i="47"/>
  <c r="K36" i="47"/>
  <c r="L37" i="47"/>
  <c r="H117" i="47"/>
  <c r="G118" i="47"/>
  <c r="I119" i="47"/>
  <c r="E127" i="47"/>
  <c r="I117" i="47"/>
  <c r="H118" i="47"/>
  <c r="K119" i="47"/>
  <c r="L52" i="47"/>
  <c r="C49" i="47"/>
  <c r="D116" i="47"/>
  <c r="K52" i="47"/>
  <c r="K117" i="47"/>
  <c r="I118" i="47"/>
  <c r="C36" i="47"/>
  <c r="D37" i="47"/>
  <c r="L116" i="47"/>
  <c r="L117" i="47"/>
  <c r="L118" i="47"/>
  <c r="F120" i="47"/>
  <c r="H126" i="47"/>
  <c r="D126" i="52"/>
  <c r="I126" i="52"/>
  <c r="F126" i="52"/>
  <c r="E126" i="52"/>
  <c r="A92" i="52"/>
  <c r="G92" i="52" s="1"/>
  <c r="K126" i="52"/>
  <c r="C47" i="52"/>
  <c r="A91" i="52"/>
  <c r="D119" i="52"/>
  <c r="L126" i="52"/>
  <c r="N89" i="52"/>
  <c r="C126" i="52"/>
  <c r="D47" i="52"/>
  <c r="C140" i="52"/>
  <c r="C41" i="52"/>
  <c r="I53" i="47"/>
  <c r="J34" i="52"/>
  <c r="D34" i="52"/>
  <c r="I46" i="47"/>
  <c r="I47" i="47"/>
  <c r="M113" i="47"/>
  <c r="J35" i="47"/>
  <c r="K46" i="47"/>
  <c r="L47" i="47"/>
  <c r="F111" i="47"/>
  <c r="N112" i="47"/>
  <c r="N113" i="47"/>
  <c r="F127" i="47"/>
  <c r="I128" i="47"/>
  <c r="H53" i="47"/>
  <c r="K111" i="52"/>
  <c r="K33" i="47"/>
  <c r="K42" i="47"/>
  <c r="C46" i="47"/>
  <c r="D47" i="47"/>
  <c r="H50" i="47"/>
  <c r="I50" i="47"/>
  <c r="J50" i="47"/>
  <c r="K50" i="47"/>
  <c r="L50" i="47"/>
  <c r="K111" i="47"/>
  <c r="E113" i="47"/>
  <c r="L127" i="47"/>
  <c r="J52" i="47"/>
  <c r="M111" i="52"/>
  <c r="C33" i="47"/>
  <c r="H42" i="47"/>
  <c r="C113" i="47"/>
  <c r="L42" i="47"/>
  <c r="D46" i="47"/>
  <c r="E47" i="47"/>
  <c r="L111" i="47"/>
  <c r="F113" i="47"/>
  <c r="L53" i="47"/>
  <c r="I52" i="47"/>
  <c r="G111" i="52"/>
  <c r="E111" i="52"/>
  <c r="I34" i="52"/>
  <c r="G46" i="47"/>
  <c r="F47" i="47"/>
  <c r="N111" i="47"/>
  <c r="D108" i="47"/>
  <c r="C111" i="47"/>
  <c r="I113" i="47"/>
  <c r="C128" i="47"/>
  <c r="K53" i="47"/>
  <c r="H34" i="52"/>
  <c r="F34" i="52"/>
  <c r="H111" i="52"/>
  <c r="H46" i="47"/>
  <c r="H47" i="47"/>
  <c r="L108" i="47"/>
  <c r="D111" i="47"/>
  <c r="K113" i="47"/>
  <c r="E128" i="47"/>
  <c r="F47" i="48"/>
  <c r="N109" i="47"/>
  <c r="J111" i="52"/>
  <c r="I111" i="52"/>
  <c r="C111" i="52"/>
  <c r="C112" i="52" s="1"/>
  <c r="C67" i="52" s="1"/>
  <c r="K119" i="52"/>
  <c r="G119" i="52"/>
  <c r="E34" i="52"/>
  <c r="K34" i="52"/>
  <c r="C119" i="52"/>
  <c r="H119" i="52"/>
  <c r="F119" i="52"/>
  <c r="J119" i="52"/>
  <c r="L119" i="52"/>
  <c r="M108" i="52"/>
  <c r="E112" i="52"/>
  <c r="E67" i="52" s="1"/>
  <c r="A83" i="52"/>
  <c r="A84" i="52"/>
  <c r="K92" i="52"/>
  <c r="C92" i="52"/>
  <c r="H92" i="52"/>
  <c r="E92" i="52"/>
  <c r="L92" i="52"/>
  <c r="J92" i="52"/>
  <c r="I92" i="52"/>
  <c r="A99" i="52"/>
  <c r="A100" i="52"/>
  <c r="N98" i="52"/>
  <c r="A59" i="52"/>
  <c r="A60" i="52"/>
  <c r="N58" i="52"/>
  <c r="N66" i="52" s="1"/>
  <c r="N74" i="52" s="1"/>
  <c r="N82" i="52" s="1"/>
  <c r="C43" i="52"/>
  <c r="M109" i="52"/>
  <c r="H91" i="52"/>
  <c r="M91" i="52"/>
  <c r="E91" i="52"/>
  <c r="L91" i="52"/>
  <c r="D91" i="52"/>
  <c r="K91" i="52"/>
  <c r="C91" i="52"/>
  <c r="J91" i="52"/>
  <c r="G91" i="52"/>
  <c r="F91" i="52"/>
  <c r="I91" i="52"/>
  <c r="N91" i="52"/>
  <c r="M107" i="52"/>
  <c r="M106" i="52"/>
  <c r="A69" i="52"/>
  <c r="K68" i="52"/>
  <c r="L68" i="52"/>
  <c r="J68" i="52"/>
  <c r="I68" i="52"/>
  <c r="H68" i="52"/>
  <c r="F112" i="52"/>
  <c r="F67" i="52" s="1"/>
  <c r="C40" i="52"/>
  <c r="K67" i="52"/>
  <c r="J67" i="52"/>
  <c r="H67" i="52"/>
  <c r="M67" i="52"/>
  <c r="L67" i="52"/>
  <c r="I67" i="52"/>
  <c r="G112" i="52"/>
  <c r="G67" i="52" s="1"/>
  <c r="C4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A100" i="47"/>
  <c r="N99" i="47"/>
  <c r="A60" i="47"/>
  <c r="N59" i="47"/>
  <c r="N67" i="47" s="1"/>
  <c r="N75" i="47" s="1"/>
  <c r="N83" i="47" s="1"/>
  <c r="A84" i="47"/>
  <c r="A68" i="47"/>
  <c r="A76" i="47"/>
  <c r="H132" i="47"/>
  <c r="A92" i="47"/>
  <c r="N91" i="47"/>
  <c r="H32" i="47"/>
  <c r="L33" i="47"/>
  <c r="I34" i="47"/>
  <c r="J36" i="47"/>
  <c r="G37" i="47"/>
  <c r="K43" i="47"/>
  <c r="H44" i="47"/>
  <c r="J46" i="47"/>
  <c r="G47" i="47"/>
  <c r="E108" i="47"/>
  <c r="H109" i="47"/>
  <c r="C110" i="47"/>
  <c r="K110" i="47"/>
  <c r="I112" i="47"/>
  <c r="D113" i="47"/>
  <c r="L113" i="47"/>
  <c r="E116" i="47"/>
  <c r="J117" i="47"/>
  <c r="D119" i="47"/>
  <c r="L119" i="47"/>
  <c r="I120" i="47"/>
  <c r="K123" i="47"/>
  <c r="H124" i="47"/>
  <c r="J126" i="47"/>
  <c r="G127" i="47"/>
  <c r="D128" i="47"/>
  <c r="L128" i="47"/>
  <c r="F108" i="47"/>
  <c r="N108" i="47"/>
  <c r="D110" i="47"/>
  <c r="L110" i="47"/>
  <c r="J112" i="47"/>
  <c r="F116" i="47"/>
  <c r="J120" i="47"/>
  <c r="L123" i="47"/>
  <c r="L43" i="47"/>
  <c r="J32" i="47"/>
  <c r="C34" i="47"/>
  <c r="K34" i="47"/>
  <c r="J44" i="47"/>
  <c r="G108" i="47"/>
  <c r="J109" i="47"/>
  <c r="E110" i="47"/>
  <c r="C112" i="47"/>
  <c r="K112" i="47"/>
  <c r="G116" i="47"/>
  <c r="C120" i="47"/>
  <c r="K120" i="47"/>
  <c r="J124" i="47"/>
  <c r="J123" i="47"/>
  <c r="J34" i="47"/>
  <c r="C32" i="47"/>
  <c r="K32" i="47"/>
  <c r="L34" i="47"/>
  <c r="H35" i="47"/>
  <c r="E36" i="47"/>
  <c r="J37" i="47"/>
  <c r="I42" i="47"/>
  <c r="K44" i="47"/>
  <c r="H45" i="47"/>
  <c r="E46" i="47"/>
  <c r="J47" i="47"/>
  <c r="H108" i="47"/>
  <c r="C109" i="47"/>
  <c r="K109" i="47"/>
  <c r="F110" i="47"/>
  <c r="N110" i="47"/>
  <c r="I111" i="47"/>
  <c r="D112" i="47"/>
  <c r="L112" i="47"/>
  <c r="G113" i="47"/>
  <c r="H116" i="47"/>
  <c r="E117" i="47"/>
  <c r="J118" i="47"/>
  <c r="G119" i="47"/>
  <c r="D120" i="47"/>
  <c r="L120" i="47"/>
  <c r="I121" i="47"/>
  <c r="K124" i="47"/>
  <c r="H125" i="47"/>
  <c r="J127" i="47"/>
  <c r="G128" i="47"/>
  <c r="J43" i="47"/>
  <c r="I32" i="47"/>
  <c r="L32" i="47"/>
  <c r="H33" i="47"/>
  <c r="C37" i="47"/>
  <c r="L44" i="47"/>
  <c r="I45" i="47"/>
  <c r="C47"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B35" i="47"/>
  <c r="C108" i="47"/>
  <c r="F109" i="47"/>
  <c r="C116" i="47"/>
  <c r="H47" i="33"/>
  <c r="I47" i="33"/>
  <c r="J47" i="33"/>
  <c r="K47" i="33"/>
  <c r="L47" i="33"/>
  <c r="H29" i="33"/>
  <c r="I29" i="33"/>
  <c r="J29" i="33"/>
  <c r="K29" i="33"/>
  <c r="L29" i="33"/>
  <c r="C29" i="33"/>
  <c r="D28" i="33"/>
  <c r="E28" i="33"/>
  <c r="F28" i="33"/>
  <c r="G28" i="33"/>
  <c r="H28" i="33"/>
  <c r="I28" i="33"/>
  <c r="J28" i="33"/>
  <c r="K28" i="33"/>
  <c r="L28" i="33"/>
  <c r="C28" i="33"/>
  <c r="C51" i="52" l="1"/>
  <c r="B31" i="47"/>
  <c r="C35" i="47"/>
  <c r="N92" i="52"/>
  <c r="F92" i="52"/>
  <c r="A93" i="52"/>
  <c r="D92" i="52"/>
  <c r="M111" i="47"/>
  <c r="F114" i="47"/>
  <c r="G114" i="47"/>
  <c r="D114" i="47"/>
  <c r="E114" i="47"/>
  <c r="C50" i="52"/>
  <c r="A94" i="52"/>
  <c r="N93" i="52"/>
  <c r="A70" i="52"/>
  <c r="I60" i="52"/>
  <c r="H60" i="52"/>
  <c r="A61" i="52"/>
  <c r="N60" i="52"/>
  <c r="N68" i="52" s="1"/>
  <c r="L60" i="52"/>
  <c r="J60" i="52"/>
  <c r="K60" i="52"/>
  <c r="N59" i="52"/>
  <c r="N67" i="52" s="1"/>
  <c r="F59" i="52"/>
  <c r="M59" i="52"/>
  <c r="E59" i="52"/>
  <c r="K59" i="52"/>
  <c r="C59" i="52"/>
  <c r="H59" i="52"/>
  <c r="G59" i="52"/>
  <c r="D59" i="52"/>
  <c r="L59" i="52"/>
  <c r="I59" i="52"/>
  <c r="J59" i="52"/>
  <c r="N75" i="52"/>
  <c r="F75" i="52"/>
  <c r="M75" i="52"/>
  <c r="E75" i="52"/>
  <c r="K75" i="52"/>
  <c r="C75" i="52"/>
  <c r="L75" i="52"/>
  <c r="J75" i="52"/>
  <c r="I75" i="52"/>
  <c r="H75" i="52"/>
  <c r="G75" i="52"/>
  <c r="D75" i="52"/>
  <c r="N100" i="52"/>
  <c r="E100" i="52"/>
  <c r="J100" i="52"/>
  <c r="I100" i="52"/>
  <c r="H100" i="52"/>
  <c r="G100" i="52"/>
  <c r="K100" i="52"/>
  <c r="F100" i="52"/>
  <c r="D100" i="52"/>
  <c r="C100" i="52"/>
  <c r="A101" i="52"/>
  <c r="L100" i="52"/>
  <c r="J99" i="52"/>
  <c r="G99" i="52"/>
  <c r="N99" i="52"/>
  <c r="F99" i="52"/>
  <c r="M99" i="52"/>
  <c r="E99" i="52"/>
  <c r="L99" i="52"/>
  <c r="D99" i="52"/>
  <c r="K99" i="52"/>
  <c r="I99" i="52"/>
  <c r="C99" i="52"/>
  <c r="H99" i="52"/>
  <c r="I84" i="52"/>
  <c r="A85" i="52"/>
  <c r="N84" i="52"/>
  <c r="K84" i="52"/>
  <c r="C84" i="52"/>
  <c r="J84" i="52"/>
  <c r="H84" i="52"/>
  <c r="L84" i="52"/>
  <c r="I76" i="52"/>
  <c r="H76" i="52"/>
  <c r="A77" i="52"/>
  <c r="L76" i="52"/>
  <c r="K76" i="52"/>
  <c r="J76" i="52"/>
  <c r="N76" i="52"/>
  <c r="K83" i="52"/>
  <c r="C83" i="52"/>
  <c r="J83" i="52"/>
  <c r="H83" i="52"/>
  <c r="I83" i="52"/>
  <c r="G83" i="52"/>
  <c r="F83" i="52"/>
  <c r="E83" i="52"/>
  <c r="D83" i="52"/>
  <c r="N83" i="52"/>
  <c r="L83" i="52"/>
  <c r="M83" i="52"/>
  <c r="C42" i="47"/>
  <c r="C44" i="47"/>
  <c r="C114" i="47"/>
  <c r="C45"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69" i="47"/>
  <c r="A70" i="47"/>
  <c r="A94" i="47"/>
  <c r="N92" i="47"/>
  <c r="A93" i="47"/>
  <c r="A86" i="47"/>
  <c r="A85" i="47"/>
  <c r="A62" i="47"/>
  <c r="N60" i="47"/>
  <c r="N68" i="47" s="1"/>
  <c r="N76" i="47" s="1"/>
  <c r="A61" i="47"/>
  <c r="A77" i="47"/>
  <c r="A78" i="47"/>
  <c r="A101" i="47"/>
  <c r="N100"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0" i="47" l="1"/>
  <c r="C53" i="47"/>
  <c r="C76" i="52"/>
  <c r="A102" i="52"/>
  <c r="N101" i="52"/>
  <c r="K70" i="52"/>
  <c r="J70" i="52"/>
  <c r="H70" i="52"/>
  <c r="L70" i="52"/>
  <c r="I70" i="52"/>
  <c r="A86" i="52"/>
  <c r="N94" i="52"/>
  <c r="E94" i="52"/>
  <c r="J94" i="52"/>
  <c r="I94" i="52"/>
  <c r="H94" i="52"/>
  <c r="G94" i="52"/>
  <c r="C94" i="52"/>
  <c r="L94" i="52"/>
  <c r="K94" i="52"/>
  <c r="F94" i="52"/>
  <c r="D94" i="52"/>
  <c r="A78" i="52"/>
  <c r="N61" i="52"/>
  <c r="N69" i="52" s="1"/>
  <c r="N77" i="52" s="1"/>
  <c r="N85" i="52" s="1"/>
  <c r="A62" i="52"/>
  <c r="C49"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I86" i="47"/>
  <c r="H86" i="47"/>
  <c r="J86" i="47"/>
  <c r="A87" i="47"/>
  <c r="L86" i="47"/>
  <c r="K86" i="47"/>
  <c r="C86" i="47"/>
  <c r="H93" i="47"/>
  <c r="G93" i="47"/>
  <c r="N93" i="47"/>
  <c r="F93" i="47"/>
  <c r="I93" i="47"/>
  <c r="M93" i="47"/>
  <c r="E93" i="47"/>
  <c r="L93" i="47"/>
  <c r="D93" i="47"/>
  <c r="K93" i="47"/>
  <c r="C93" i="47"/>
  <c r="J93" i="47"/>
  <c r="A79" i="47"/>
  <c r="L78" i="47"/>
  <c r="K78" i="47"/>
  <c r="H78" i="47"/>
  <c r="J78" i="47"/>
  <c r="I78" i="47"/>
  <c r="L77" i="47"/>
  <c r="D77" i="47"/>
  <c r="K77" i="47"/>
  <c r="C77" i="47"/>
  <c r="M77" i="47"/>
  <c r="J77" i="47"/>
  <c r="E77" i="47"/>
  <c r="I77" i="47"/>
  <c r="H77" i="47"/>
  <c r="G77" i="47"/>
  <c r="F77" i="47"/>
  <c r="H61" i="47"/>
  <c r="G61" i="47"/>
  <c r="I61" i="47"/>
  <c r="N61" i="47"/>
  <c r="N69" i="47" s="1"/>
  <c r="N77" i="47" s="1"/>
  <c r="N85" i="47" s="1"/>
  <c r="F61" i="47"/>
  <c r="M61" i="47"/>
  <c r="E61" i="47"/>
  <c r="L61" i="47"/>
  <c r="D61" i="47"/>
  <c r="K61" i="47"/>
  <c r="C61" i="47"/>
  <c r="J61" i="47"/>
  <c r="K94" i="47"/>
  <c r="C94" i="47"/>
  <c r="J94" i="47"/>
  <c r="I94" i="47"/>
  <c r="H94" i="47"/>
  <c r="L94" i="47"/>
  <c r="G94" i="47"/>
  <c r="A95" i="47"/>
  <c r="F94" i="47"/>
  <c r="D94" i="47"/>
  <c r="N94" i="47"/>
  <c r="E94" i="47"/>
  <c r="L70" i="47"/>
  <c r="K70" i="47"/>
  <c r="J70" i="47"/>
  <c r="I70" i="47"/>
  <c r="H70" i="47"/>
  <c r="A71" i="47"/>
  <c r="N102" i="47"/>
  <c r="E102" i="47"/>
  <c r="A103" i="47"/>
  <c r="L102" i="47"/>
  <c r="D102" i="47"/>
  <c r="K102" i="47"/>
  <c r="C102" i="47"/>
  <c r="J102" i="47"/>
  <c r="I102" i="47"/>
  <c r="H102" i="47"/>
  <c r="G102" i="47"/>
  <c r="F102" i="47"/>
  <c r="K62" i="47"/>
  <c r="J62" i="47"/>
  <c r="I62" i="47"/>
  <c r="H62" i="47"/>
  <c r="L62" i="47"/>
  <c r="A63" i="47"/>
  <c r="N62" i="47"/>
  <c r="N70" i="47" s="1"/>
  <c r="N78" i="47" s="1"/>
  <c r="N86" i="47" s="1"/>
  <c r="J69" i="47"/>
  <c r="I69" i="47"/>
  <c r="K69" i="47"/>
  <c r="H69" i="47"/>
  <c r="G69" i="47"/>
  <c r="F69" i="47"/>
  <c r="M69" i="47"/>
  <c r="E69" i="47"/>
  <c r="L69" i="47"/>
  <c r="D69" i="47"/>
  <c r="C69" i="47"/>
  <c r="J101" i="47"/>
  <c r="I101" i="47"/>
  <c r="H101" i="47"/>
  <c r="G101" i="47"/>
  <c r="N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C52" i="47" l="1"/>
  <c r="C78" i="47" s="1"/>
  <c r="C68" i="52"/>
  <c r="C70" i="52" s="1"/>
  <c r="C122" i="52" s="1"/>
  <c r="D31" i="52" s="1"/>
  <c r="C48" i="52"/>
  <c r="C60" i="52" s="1"/>
  <c r="C61" i="52" s="1"/>
  <c r="C114" i="52" s="1"/>
  <c r="N62" i="52"/>
  <c r="N70" i="52" s="1"/>
  <c r="K62" i="52"/>
  <c r="L62" i="52"/>
  <c r="J62" i="52"/>
  <c r="I62" i="52"/>
  <c r="H62" i="52"/>
  <c r="K86" i="52"/>
  <c r="C86" i="52"/>
  <c r="C124" i="52" s="1"/>
  <c r="D33" i="52" s="1"/>
  <c r="H86" i="52"/>
  <c r="L86" i="52"/>
  <c r="J86" i="52"/>
  <c r="I86" i="52"/>
  <c r="N78" i="52"/>
  <c r="N86" i="52" s="1"/>
  <c r="K78" i="52"/>
  <c r="C78" i="52"/>
  <c r="C123" i="52" s="1"/>
  <c r="D32" i="52" s="1"/>
  <c r="L78" i="52"/>
  <c r="J78" i="52"/>
  <c r="H78" i="52"/>
  <c r="I78" i="52"/>
  <c r="G102" i="52"/>
  <c r="L102" i="52"/>
  <c r="D102" i="52"/>
  <c r="K102" i="52"/>
  <c r="C102" i="52"/>
  <c r="J102" i="52"/>
  <c r="I102" i="52"/>
  <c r="N102" i="52"/>
  <c r="H102" i="52"/>
  <c r="F102" i="52"/>
  <c r="E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104" i="47"/>
  <c r="N103" i="47"/>
  <c r="A64" i="47"/>
  <c r="N63" i="47"/>
  <c r="N71" i="47" s="1"/>
  <c r="N79" i="47" s="1"/>
  <c r="N87" i="47" s="1"/>
  <c r="A88" i="47"/>
  <c r="A80" i="47"/>
  <c r="A96" i="47"/>
  <c r="N95" i="47"/>
  <c r="A72" i="47"/>
  <c r="C51" i="47" l="1"/>
  <c r="C62" i="52"/>
  <c r="C121" i="52" s="1"/>
  <c r="C127" i="52" s="1"/>
  <c r="C70" i="47"/>
  <c r="C72" i="47" s="1"/>
  <c r="C124" i="47" s="1"/>
  <c r="D33" i="47" s="1"/>
  <c r="C62" i="47"/>
  <c r="C64" i="47" s="1"/>
  <c r="C123" i="47" s="1"/>
  <c r="D32"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64" i="47"/>
  <c r="N72" i="47" s="1"/>
  <c r="N80" i="47" s="1"/>
  <c r="N88" i="47" s="1"/>
  <c r="L64" i="47"/>
  <c r="K64" i="47"/>
  <c r="J64" i="47"/>
  <c r="I64" i="47"/>
  <c r="H64" i="47"/>
  <c r="N96" i="47"/>
  <c r="E96" i="47"/>
  <c r="F96" i="47"/>
  <c r="L96" i="47"/>
  <c r="D96" i="47"/>
  <c r="K96" i="47"/>
  <c r="C96" i="47"/>
  <c r="J96" i="47"/>
  <c r="I96" i="47"/>
  <c r="H96" i="47"/>
  <c r="G96" i="47"/>
  <c r="G104" i="47"/>
  <c r="F104" i="47"/>
  <c r="N104" i="47"/>
  <c r="E104" i="47"/>
  <c r="L104" i="47"/>
  <c r="D104" i="47"/>
  <c r="K104" i="47"/>
  <c r="C104" i="47"/>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0" i="52" l="1"/>
  <c r="C129" i="52"/>
  <c r="D29" i="52"/>
  <c r="C130" i="52"/>
  <c r="C129" i="47"/>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32" i="47" l="1"/>
  <c r="D31" i="47"/>
  <c r="C132" i="52"/>
  <c r="D38" i="52"/>
  <c r="C134" i="52"/>
  <c r="C131" i="52"/>
  <c r="D37" i="52"/>
  <c r="C131" i="47"/>
  <c r="C132" i="51"/>
  <c r="D38" i="51"/>
  <c r="C134" i="51"/>
  <c r="C131" i="51"/>
  <c r="D37" i="51"/>
  <c r="C132" i="50"/>
  <c r="D38" i="50"/>
  <c r="C134" i="50"/>
  <c r="C131" i="50"/>
  <c r="D37" i="50"/>
  <c r="C130" i="49"/>
  <c r="D38" i="49" s="1"/>
  <c r="C129" i="49"/>
  <c r="D37" i="49" s="1"/>
  <c r="C129" i="48"/>
  <c r="D29" i="48"/>
  <c r="C130" i="48"/>
  <c r="P5" i="41"/>
  <c r="C133" i="47" l="1"/>
  <c r="C139" i="47" s="1"/>
  <c r="D39" i="47"/>
  <c r="C134" i="47"/>
  <c r="D40" i="47"/>
  <c r="D48" i="47" s="1"/>
  <c r="D39" i="52"/>
  <c r="D43" i="52" s="1"/>
  <c r="D51" i="52" s="1"/>
  <c r="C135" i="52"/>
  <c r="C137" i="52"/>
  <c r="C136" i="52"/>
  <c r="D69" i="52"/>
  <c r="D115" i="52" s="1"/>
  <c r="D140" i="52" s="1"/>
  <c r="D46" i="52"/>
  <c r="D77" i="52" s="1"/>
  <c r="D116" i="52" s="1"/>
  <c r="C136"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15" i="31"/>
  <c r="C137" i="47" l="1"/>
  <c r="C138" i="47"/>
  <c r="D41" i="47"/>
  <c r="D45" i="47" s="1"/>
  <c r="D40" i="52"/>
  <c r="D41" i="52"/>
  <c r="D42" i="52"/>
  <c r="D50" i="52"/>
  <c r="D84" i="52"/>
  <c r="D86" i="52" s="1"/>
  <c r="D124" i="52" s="1"/>
  <c r="E33" i="52" s="1"/>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53" i="47" l="1"/>
  <c r="D42" i="47"/>
  <c r="D43" i="47"/>
  <c r="D44" i="47"/>
  <c r="D76" i="52"/>
  <c r="D78" i="52" s="1"/>
  <c r="D123" i="52" s="1"/>
  <c r="E32" i="52" s="1"/>
  <c r="D49" i="52"/>
  <c r="D51" i="51"/>
  <c r="D50" i="51" s="1"/>
  <c r="D51" i="50"/>
  <c r="D84" i="50" s="1"/>
  <c r="D86" i="50" s="1"/>
  <c r="D124" i="50" s="1"/>
  <c r="E33" i="50" s="1"/>
  <c r="D49" i="49"/>
  <c r="D68" i="49" s="1"/>
  <c r="D60" i="49"/>
  <c r="D76" i="49"/>
  <c r="D41" i="48"/>
  <c r="D42" i="48"/>
  <c r="D43" i="48"/>
  <c r="D51" i="48" s="1"/>
  <c r="A1" i="33"/>
  <c r="D50" i="47" l="1"/>
  <c r="D86" i="47"/>
  <c r="D88" i="47" s="1"/>
  <c r="D126" i="47" s="1"/>
  <c r="E35" i="47" s="1"/>
  <c r="D52" i="47"/>
  <c r="D68" i="52"/>
  <c r="D70" i="52" s="1"/>
  <c r="D122" i="52" s="1"/>
  <c r="E31" i="52" s="1"/>
  <c r="D48" i="52"/>
  <c r="D60" i="52" s="1"/>
  <c r="D61" i="52" s="1"/>
  <c r="D114"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47" l="1"/>
  <c r="D78" i="47"/>
  <c r="D80" i="47" s="1"/>
  <c r="D125" i="47" s="1"/>
  <c r="E34" i="47" s="1"/>
  <c r="D62" i="47"/>
  <c r="D64" i="47" s="1"/>
  <c r="D123" i="47" s="1"/>
  <c r="E32" i="47" s="1"/>
  <c r="D62" i="52"/>
  <c r="D121" i="52" s="1"/>
  <c r="D127"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70" i="47" l="1"/>
  <c r="D72" i="47" s="1"/>
  <c r="D124" i="47" s="1"/>
  <c r="E33" i="47" s="1"/>
  <c r="D68" i="48"/>
  <c r="D70" i="48" s="1"/>
  <c r="D122" i="48" s="1"/>
  <c r="E31" i="48" s="1"/>
  <c r="D48" i="48"/>
  <c r="D60" i="48" s="1"/>
  <c r="D61" i="48" s="1"/>
  <c r="D114" i="48" s="1"/>
  <c r="E30" i="52"/>
  <c r="D129" i="52"/>
  <c r="E29" i="52"/>
  <c r="D130" i="52"/>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129" i="47" l="1"/>
  <c r="E31" i="47" s="1"/>
  <c r="D62" i="48"/>
  <c r="D121" i="48" s="1"/>
  <c r="D127" i="48" s="1"/>
  <c r="D132" i="52"/>
  <c r="E38" i="52"/>
  <c r="D134" i="52"/>
  <c r="D131" i="52"/>
  <c r="E37" i="52"/>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131" i="47" l="1"/>
  <c r="E39" i="47" s="1"/>
  <c r="D132" i="47"/>
  <c r="D134" i="47" s="1"/>
  <c r="E40" i="47"/>
  <c r="E48" i="47" s="1"/>
  <c r="E30" i="48"/>
  <c r="E39" i="52"/>
  <c r="D135" i="52"/>
  <c r="D137" i="52"/>
  <c r="D136" i="52"/>
  <c r="E69" i="52"/>
  <c r="E115" i="52" s="1"/>
  <c r="E140" i="52" s="1"/>
  <c r="E46" i="52"/>
  <c r="E77" i="52" s="1"/>
  <c r="E116" i="52" s="1"/>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6" i="47" l="1"/>
  <c r="D133" i="47"/>
  <c r="D138" i="47" s="1"/>
  <c r="E41" i="47"/>
  <c r="E42" i="47" s="1"/>
  <c r="E43" i="52"/>
  <c r="E51" i="52" s="1"/>
  <c r="E41" i="52"/>
  <c r="E42" i="52"/>
  <c r="E40" i="52"/>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9" i="47" l="1"/>
  <c r="D137" i="47"/>
  <c r="E43" i="47"/>
  <c r="E44" i="47"/>
  <c r="E45" i="47"/>
  <c r="E53" i="47" s="1"/>
  <c r="E86" i="47" s="1"/>
  <c r="E88" i="47" s="1"/>
  <c r="E126" i="47" s="1"/>
  <c r="F35" i="47" s="1"/>
  <c r="E50" i="52"/>
  <c r="E49" i="52" s="1"/>
  <c r="E84" i="52"/>
  <c r="E86" i="52" s="1"/>
  <c r="E124" i="52" s="1"/>
  <c r="F33"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52" i="47" l="1"/>
  <c r="E78" i="47" s="1"/>
  <c r="E80" i="47" s="1"/>
  <c r="E125" i="47" s="1"/>
  <c r="F34" i="47" s="1"/>
  <c r="E68" i="52"/>
  <c r="E70" i="52" s="1"/>
  <c r="E122" i="52" s="1"/>
  <c r="F31" i="52" s="1"/>
  <c r="E48" i="52"/>
  <c r="E60" i="52" s="1"/>
  <c r="E76" i="52"/>
  <c r="E78" i="52" s="1"/>
  <c r="E123" i="52" s="1"/>
  <c r="F32"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70" i="47" l="1"/>
  <c r="E72" i="47" s="1"/>
  <c r="E124" i="47" s="1"/>
  <c r="F33" i="47" s="1"/>
  <c r="E61" i="52"/>
  <c r="E114"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50" i="47" l="1"/>
  <c r="E62" i="47" s="1"/>
  <c r="E64" i="47" s="1"/>
  <c r="E123" i="47" s="1"/>
  <c r="F32" i="47" s="1"/>
  <c r="E62" i="52"/>
  <c r="E121" i="52" s="1"/>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29" i="47" l="1"/>
  <c r="F31" i="47" s="1"/>
  <c r="E127" i="52"/>
  <c r="F30" i="52"/>
  <c r="E127" i="51"/>
  <c r="F30" i="51"/>
  <c r="E76" i="48"/>
  <c r="E78" i="48" s="1"/>
  <c r="E123" i="48" s="1"/>
  <c r="F32" i="48" s="1"/>
  <c r="E49" i="48"/>
  <c r="E127" i="50"/>
  <c r="E127" i="49"/>
  <c r="F30" i="49"/>
  <c r="E131" i="47" l="1"/>
  <c r="F39" i="47" s="1"/>
  <c r="E132" i="47"/>
  <c r="E134" i="47" s="1"/>
  <c r="E68" i="48"/>
  <c r="E70" i="48" s="1"/>
  <c r="E122" i="48" s="1"/>
  <c r="F31" i="48" s="1"/>
  <c r="E48" i="48"/>
  <c r="E60" i="48" s="1"/>
  <c r="E129" i="52"/>
  <c r="F29" i="52"/>
  <c r="E130" i="52"/>
  <c r="F29" i="51"/>
  <c r="E129" i="51"/>
  <c r="E130" i="51"/>
  <c r="E129" i="50"/>
  <c r="F29" i="50"/>
  <c r="E130" i="50"/>
  <c r="E129" i="49"/>
  <c r="F29" i="49"/>
  <c r="E130" i="49"/>
  <c r="E136" i="47" l="1"/>
  <c r="E133" i="47"/>
  <c r="E138" i="47" s="1"/>
  <c r="F40" i="47"/>
  <c r="F48" i="47" s="1"/>
  <c r="E61" i="48"/>
  <c r="E114" i="48" s="1"/>
  <c r="E134" i="52"/>
  <c r="E131" i="52"/>
  <c r="F37" i="52"/>
  <c r="E132" i="52"/>
  <c r="F38" i="52"/>
  <c r="E132" i="51"/>
  <c r="F38" i="51"/>
  <c r="E131" i="51"/>
  <c r="F37" i="51"/>
  <c r="E134" i="51"/>
  <c r="E132" i="50"/>
  <c r="F38" i="50"/>
  <c r="E134" i="50"/>
  <c r="E131" i="50"/>
  <c r="F37" i="50"/>
  <c r="F38" i="49"/>
  <c r="E132" i="49"/>
  <c r="E134" i="49"/>
  <c r="F37" i="49"/>
  <c r="E131" i="49"/>
  <c r="F41" i="47" l="1"/>
  <c r="F45" i="47" s="1"/>
  <c r="F53" i="47" s="1"/>
  <c r="F52" i="47" s="1"/>
  <c r="E137" i="47"/>
  <c r="E139" i="47"/>
  <c r="E62" i="48"/>
  <c r="E121" i="48" s="1"/>
  <c r="F30" i="48" s="1"/>
  <c r="F46" i="52"/>
  <c r="F77" i="52" s="1"/>
  <c r="F116" i="52" s="1"/>
  <c r="F69" i="52"/>
  <c r="F115" i="52" s="1"/>
  <c r="F140" i="52" s="1"/>
  <c r="F39" i="52"/>
  <c r="E137" i="52"/>
  <c r="E136" i="52"/>
  <c r="E135" i="52"/>
  <c r="F39" i="51"/>
  <c r="F44" i="51" s="1"/>
  <c r="F92" i="51" s="1"/>
  <c r="F94" i="51" s="1"/>
  <c r="F125" i="51" s="1"/>
  <c r="E137" i="51"/>
  <c r="E136" i="51"/>
  <c r="E135" i="51"/>
  <c r="F46" i="51"/>
  <c r="F39" i="50"/>
  <c r="F42" i="50" s="1"/>
  <c r="E137" i="50"/>
  <c r="E135" i="50"/>
  <c r="E136" i="50"/>
  <c r="F46" i="50"/>
  <c r="F46" i="49"/>
  <c r="F39" i="49"/>
  <c r="F42" i="49" s="1"/>
  <c r="E135" i="49"/>
  <c r="E137" i="49"/>
  <c r="E136" i="49"/>
  <c r="F44" i="47" l="1"/>
  <c r="F78" i="47" s="1"/>
  <c r="F80" i="47" s="1"/>
  <c r="F125" i="47" s="1"/>
  <c r="G34" i="47" s="1"/>
  <c r="F42" i="47"/>
  <c r="F43" i="47"/>
  <c r="F86" i="47"/>
  <c r="F88" i="47" s="1"/>
  <c r="F126" i="47" s="1"/>
  <c r="G35" i="47" s="1"/>
  <c r="E127" i="48"/>
  <c r="F29" i="48" s="1"/>
  <c r="F42" i="52"/>
  <c r="F41" i="52"/>
  <c r="F43" i="52"/>
  <c r="F51" i="52" s="1"/>
  <c r="F40" i="52"/>
  <c r="F41" i="51"/>
  <c r="F40" i="51"/>
  <c r="F42" i="51"/>
  <c r="F43" i="51"/>
  <c r="F40" i="50"/>
  <c r="F43" i="50"/>
  <c r="F51" i="50" s="1"/>
  <c r="F41" i="50"/>
  <c r="F40" i="49"/>
  <c r="F41" i="49"/>
  <c r="F43" i="49"/>
  <c r="F70" i="47" l="1"/>
  <c r="F72" i="47" s="1"/>
  <c r="F124" i="47" s="1"/>
  <c r="G33" i="47" s="1"/>
  <c r="F50" i="47"/>
  <c r="F62" i="47" s="1"/>
  <c r="F64" i="47" s="1"/>
  <c r="F123" i="47" s="1"/>
  <c r="G32" i="47" s="1"/>
  <c r="E129" i="48"/>
  <c r="E131" i="48" s="1"/>
  <c r="E130" i="48"/>
  <c r="E132" i="48" s="1"/>
  <c r="F50" i="52"/>
  <c r="F49" i="52" s="1"/>
  <c r="F84" i="52"/>
  <c r="F86" i="52" s="1"/>
  <c r="F124" i="52" s="1"/>
  <c r="G33" i="52" s="1"/>
  <c r="F51" i="51"/>
  <c r="F50" i="51" s="1"/>
  <c r="F50" i="50"/>
  <c r="F48" i="50" s="1"/>
  <c r="F60" i="50" s="1"/>
  <c r="F51" i="49"/>
  <c r="F84" i="50"/>
  <c r="F86" i="50" s="1"/>
  <c r="F124" i="50" s="1"/>
  <c r="G33" i="50" s="1"/>
  <c r="F129" i="47" l="1"/>
  <c r="G31" i="47" s="1"/>
  <c r="F38" i="48"/>
  <c r="F46" i="48" s="1"/>
  <c r="F77" i="48" s="1"/>
  <c r="F116" i="48" s="1"/>
  <c r="F37" i="48"/>
  <c r="E134" i="48"/>
  <c r="F68" i="52"/>
  <c r="F70" i="52" s="1"/>
  <c r="F122" i="52" s="1"/>
  <c r="G31" i="52" s="1"/>
  <c r="F48" i="52"/>
  <c r="F60" i="52" s="1"/>
  <c r="E137" i="48"/>
  <c r="E135" i="48"/>
  <c r="E136" i="48"/>
  <c r="F76" i="52"/>
  <c r="F78" i="52" s="1"/>
  <c r="F123" i="52" s="1"/>
  <c r="G32" i="52" s="1"/>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131" i="47" l="1"/>
  <c r="G39" i="47" s="1"/>
  <c r="F132" i="47"/>
  <c r="F134" i="47" s="1"/>
  <c r="F69" i="48"/>
  <c r="F115" i="48" s="1"/>
  <c r="F140" i="48" s="1"/>
  <c r="F39" i="48"/>
  <c r="F43" i="48" s="1"/>
  <c r="F51" i="48" s="1"/>
  <c r="G40" i="47"/>
  <c r="G48" i="47" s="1"/>
  <c r="F61" i="52"/>
  <c r="F114" i="52"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F136" i="47" l="1"/>
  <c r="F133" i="47"/>
  <c r="F137" i="47" s="1"/>
  <c r="F41" i="48"/>
  <c r="F40" i="48"/>
  <c r="F42" i="48"/>
  <c r="G41" i="47"/>
  <c r="G42" i="47" s="1"/>
  <c r="F138" i="47"/>
  <c r="F139" i="47"/>
  <c r="F84" i="48"/>
  <c r="F86" i="48" s="1"/>
  <c r="F124" i="48" s="1"/>
  <c r="G33" i="48" s="1"/>
  <c r="F50" i="48"/>
  <c r="F49" i="48" s="1"/>
  <c r="F62" i="52"/>
  <c r="F121" i="52" s="1"/>
  <c r="F127" i="52" s="1"/>
  <c r="F127" i="51"/>
  <c r="F70" i="49"/>
  <c r="F122" i="49" s="1"/>
  <c r="G31" i="49" s="1"/>
  <c r="F127" i="50"/>
  <c r="F78" i="49"/>
  <c r="F123" i="49" s="1"/>
  <c r="G32" i="49" s="1"/>
  <c r="G30" i="49"/>
  <c r="D38" i="16"/>
  <c r="D37" i="16" s="1"/>
  <c r="C37" i="16"/>
  <c r="C32" i="16"/>
  <c r="C33" i="16"/>
  <c r="C55" i="16" s="1"/>
  <c r="D26" i="16" s="1"/>
  <c r="C34" i="16"/>
  <c r="C47" i="16" s="1"/>
  <c r="C56" i="16" s="1"/>
  <c r="D51" i="16"/>
  <c r="E22" i="16"/>
  <c r="G44" i="47" l="1"/>
  <c r="G45" i="47"/>
  <c r="G53" i="47" s="1"/>
  <c r="G86" i="47" s="1"/>
  <c r="G88" i="47" s="1"/>
  <c r="G126" i="47" s="1"/>
  <c r="G43" i="47"/>
  <c r="F68" i="48"/>
  <c r="F70" i="48" s="1"/>
  <c r="F122" i="48" s="1"/>
  <c r="G31" i="48" s="1"/>
  <c r="F48" i="48"/>
  <c r="F60" i="48" s="1"/>
  <c r="F76" i="48"/>
  <c r="F78" i="48" s="1"/>
  <c r="F123" i="48" s="1"/>
  <c r="G32" i="48" s="1"/>
  <c r="G30" i="52"/>
  <c r="F129" i="52"/>
  <c r="G29" i="52"/>
  <c r="F130" i="52"/>
  <c r="F129" i="51"/>
  <c r="G29" i="51"/>
  <c r="F130" i="51"/>
  <c r="F129" i="50"/>
  <c r="G29" i="50"/>
  <c r="F130" i="50"/>
  <c r="F127" i="49"/>
  <c r="F129" i="49" s="1"/>
  <c r="D50" i="16"/>
  <c r="D60" i="16" s="1"/>
  <c r="E59" i="16"/>
  <c r="E23" i="16"/>
  <c r="E35" i="16"/>
  <c r="E36" i="16" s="1"/>
  <c r="F22" i="16"/>
  <c r="E51" i="16"/>
  <c r="G52" i="47" l="1"/>
  <c r="G78" i="47" s="1"/>
  <c r="G80" i="47" s="1"/>
  <c r="G125" i="47" s="1"/>
  <c r="F61" i="48"/>
  <c r="F114" i="48" s="1"/>
  <c r="F132" i="52"/>
  <c r="G38" i="52"/>
  <c r="F134" i="52"/>
  <c r="F131" i="52"/>
  <c r="G37" i="52"/>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50" i="47" l="1"/>
  <c r="G62" i="47" s="1"/>
  <c r="G64" i="47" s="1"/>
  <c r="G123" i="47" s="1"/>
  <c r="F62" i="48"/>
  <c r="F121" i="48" s="1"/>
  <c r="G30" i="48" s="1"/>
  <c r="G39" i="52"/>
  <c r="G43" i="52" s="1"/>
  <c r="G51" i="52" s="1"/>
  <c r="F137" i="52"/>
  <c r="F136" i="52"/>
  <c r="F135" i="52"/>
  <c r="G46" i="52"/>
  <c r="G77" i="52" s="1"/>
  <c r="G116" i="52" s="1"/>
  <c r="G69" i="52"/>
  <c r="G115" i="52" s="1"/>
  <c r="G140" i="52"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70" i="47" l="1"/>
  <c r="G72" i="47" s="1"/>
  <c r="G124" i="47" s="1"/>
  <c r="G129" i="47" s="1"/>
  <c r="G131" i="47" s="1"/>
  <c r="G136" i="47" s="1"/>
  <c r="F127" i="48"/>
  <c r="G29" i="48" s="1"/>
  <c r="G41" i="52"/>
  <c r="G40" i="52"/>
  <c r="G42" i="52"/>
  <c r="G50" i="52"/>
  <c r="G84" i="52"/>
  <c r="G86" i="52" s="1"/>
  <c r="G124" i="52"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132" i="47" l="1"/>
  <c r="G134" i="47" s="1"/>
  <c r="G133" i="47"/>
  <c r="G138" i="47" s="1"/>
  <c r="F129" i="48"/>
  <c r="G37" i="48" s="1"/>
  <c r="F130" i="48"/>
  <c r="F132" i="48" s="1"/>
  <c r="G76" i="52"/>
  <c r="G78" i="52" s="1"/>
  <c r="G123" i="52" s="1"/>
  <c r="G49" i="52"/>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9" i="47" l="1"/>
  <c r="G137" i="47"/>
  <c r="G38" i="48"/>
  <c r="G69" i="48" s="1"/>
  <c r="G115" i="48" s="1"/>
  <c r="G140" i="48" s="1"/>
  <c r="F134" i="48"/>
  <c r="F131" i="48"/>
  <c r="F135" i="48" s="1"/>
  <c r="G68" i="52"/>
  <c r="G70" i="52" s="1"/>
  <c r="G122" i="52" s="1"/>
  <c r="G48" i="52"/>
  <c r="G60" i="52" s="1"/>
  <c r="G61" i="52" s="1"/>
  <c r="G114" i="52"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39" i="48" l="1"/>
  <c r="G43" i="48" s="1"/>
  <c r="G51" i="48" s="1"/>
  <c r="F136" i="48"/>
  <c r="G46" i="48"/>
  <c r="G77" i="48" s="1"/>
  <c r="G116" i="48" s="1"/>
  <c r="F137" i="48"/>
  <c r="G62" i="52"/>
  <c r="G121" i="52" s="1"/>
  <c r="G127" i="52" s="1"/>
  <c r="G129" i="52" s="1"/>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41" i="48" l="1"/>
  <c r="G40" i="48"/>
  <c r="G42" i="48"/>
  <c r="G84" i="48"/>
  <c r="G86" i="48" s="1"/>
  <c r="G124" i="48" s="1"/>
  <c r="G50" i="48"/>
  <c r="G49" i="48" s="1"/>
  <c r="G130" i="52"/>
  <c r="G132" i="52" s="1"/>
  <c r="G131" i="52"/>
  <c r="G134" i="52"/>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68" i="48" l="1"/>
  <c r="G70" i="48" s="1"/>
  <c r="G122" i="48" s="1"/>
  <c r="G48" i="48"/>
  <c r="G60" i="48" s="1"/>
  <c r="G76" i="48"/>
  <c r="G78" i="48" s="1"/>
  <c r="G123" i="48" s="1"/>
  <c r="G137" i="52"/>
  <c r="G136" i="52"/>
  <c r="G135" i="52"/>
  <c r="G129" i="51"/>
  <c r="H29" i="51"/>
  <c r="G130" i="51"/>
  <c r="G127" i="50"/>
  <c r="G129" i="50" s="1"/>
  <c r="G129" i="49"/>
  <c r="H37" i="49" s="1"/>
  <c r="H29" i="49"/>
  <c r="G130" i="49"/>
  <c r="E49" i="16"/>
  <c r="E54" i="16" s="1"/>
  <c r="F50" i="16"/>
  <c r="F60" i="16" s="1"/>
  <c r="G61" i="48" l="1"/>
  <c r="G114" i="48" s="1"/>
  <c r="H38" i="51"/>
  <c r="G132" i="51"/>
  <c r="G131" i="51"/>
  <c r="H37" i="51"/>
  <c r="G134" i="51"/>
  <c r="G130" i="50"/>
  <c r="G132" i="50" s="1"/>
  <c r="H29" i="50"/>
  <c r="G131" i="50"/>
  <c r="G134" i="50"/>
  <c r="H37" i="50"/>
  <c r="G132" i="49"/>
  <c r="H38" i="49"/>
  <c r="G131" i="49"/>
  <c r="G134" i="49"/>
  <c r="E57" i="16"/>
  <c r="F24" i="16" s="1"/>
  <c r="F25" i="16"/>
  <c r="G62" i="48" l="1"/>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130" i="48" l="1"/>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37" i="48" l="1"/>
  <c r="G136" i="48"/>
  <c r="G135" i="48"/>
  <c r="H51" i="51"/>
  <c r="H50" i="51" s="1"/>
  <c r="H50" i="50"/>
  <c r="H48" i="50" s="1"/>
  <c r="H51" i="49"/>
  <c r="H84" i="49" s="1"/>
  <c r="H86" i="49" s="1"/>
  <c r="H124" i="49" s="1"/>
  <c r="I33" i="49" s="1"/>
  <c r="H84" i="50"/>
  <c r="H86" i="50" s="1"/>
  <c r="H124" i="50" s="1"/>
  <c r="I33" i="50" s="1"/>
  <c r="G50" i="16"/>
  <c r="F49" i="16"/>
  <c r="F54" i="16" s="1"/>
  <c r="H49" i="51" l="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H62" i="51" l="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<sst xmlns="http://schemas.openxmlformats.org/spreadsheetml/2006/main" count="1123" uniqueCount="374">
  <si>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</si>
  <si>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</si>
  <si>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</si>
  <si>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</si>
  <si>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</si>
  <si>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</si>
  <si>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</si>
  <si>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</si>
  <si>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</si>
  <si>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</si>
  <si>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</si>
  <si>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</si>
  <si>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</si>
  <si>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</si>
  <si>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</si>
  <si>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</si>
  <si>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</si>
  <si>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</si>
  <si>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</si>
  <si>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</si>
  <si>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</si>
  <si>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</si>
  <si>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</si>
  <si>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</si>
  <si>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</si>
  <si>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</si>
  <si>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</si>
  <si>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</si>
  <si>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</si>
  <si>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</si>
  <si>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</si>
  <si>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</si>
  <si>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</si>
  <si>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</si>
  <si>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</si>
  <si>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</si>
  <si>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</si>
  <si>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</si>
  <si>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</si>
  <si>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</si>
  <si>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</si>
  <si>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</si>
  <si>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</si>
  <si>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</si>
  <si>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</si>
  <si>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</si>
  <si>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</si>
  <si>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</si>
  <si>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</si>
  <si>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</si>
  <si>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</si>
  <si>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</si>
  <si>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</si>
  <si>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</si>
  <si>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</si>
  <si>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</si>
  <si>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</si>
  <si>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</si>
  <si>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</si>
  <si>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</si>
  <si>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</si>
  <si>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</si>
  <si>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</si>
  <si>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</si>
  <si>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</si>
  <si>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</si>
  <si>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</si>
  <si>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</si>
  <si>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</si>
  <si>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</si>
  <si>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</si>
  <si>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</si>
  <si>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</si>
  <si>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</si>
  <si>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</si>
  <si>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</si>
  <si>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</si>
  <si>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</si>
  <si>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</si>
  <si>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</si>
  <si>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</si>
  <si>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</si>
  <si>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</si>
  <si>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</si>
  <si>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</si>
  <si>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</si>
  <si>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</si>
  <si>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</si>
  <si>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</si>
  <si>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</si>
  <si>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</si>
  <si>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</si>
  <si>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</si>
  <si>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</si>
  <si>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</si>
  <si>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</si>
  <si>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</si>
  <si>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</si>
  <si>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</si>
  <si>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</si>
  <si>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</si>
  <si>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</si>
  <si>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</si>
  <si>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</si>
  <si>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</si>
  <si>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</si>
  <si>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</si>
  <si>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</si>
  <si>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</si>
  <si>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</si>
  <si>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</si>
  <si>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</si>
  <si>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</si>
  <si>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</si>
  <si>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</si>
  <si>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</si>
  <si>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</si>
  <si>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</si>
  <si>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</si>
  <si>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</si>
  <si>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</si>
  <si>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</si>
  <si>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</si>
  <si>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</si>
  <si>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</si>
  <si>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</si>
  <si>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</si>
  <si>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</si>
  <si>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</si>
  <si>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</si>
  <si>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</si>
  <si>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</si>
  <si>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</si>
  <si>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</si>
  <si>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</si>
  <si>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</si>
  <si>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</si>
  <si>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</si>
  <si>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</si>
  <si>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</si>
  <si>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</si>
  <si>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</si>
  <si>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</si>
  <si>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</si>
  <si>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</si>
  <si>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</si>
  <si>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</si>
  <si>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</si>
  <si>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</si>
  <si>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</si>
  <si>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</si>
  <si>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</si>
  <si>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</si>
  <si>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</si>
  <si>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</si>
  <si>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</si>
  <si>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</si>
  <si>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</si>
  <si>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</si>
  <si>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</si>
  <si>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</si>
  <si>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</si>
  <si>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</si>
  <si>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</si>
  <si>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</si>
  <si>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</si>
  <si>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</si>
  <si>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</si>
  <si>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</si>
  <si>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</si>
  <si>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</si>
  <si>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</si>
  <si>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</si>
  <si>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</si>
  <si>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</si>
  <si>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</si>
  <si>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</si>
  <si>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</si>
  <si>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</si>
  <si>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</si>
  <si>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</si>
  <si>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</si>
  <si>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</si>
  <si>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</si>
  <si>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</si>
  <si>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</si>
  <si>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</si>
  <si>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</si>
  <si>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</si>
  <si>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</si>
  <si>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</si>
  <si>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</si>
  <si>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</si>
  <si>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</si>
  <si>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</si>
  <si>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</si>
  <si>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</si>
  <si>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</si>
  <si>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</si>
  <si>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</si>
  <si>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</si>
  <si>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</si>
  <si>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</si>
  <si>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</si>
  <si>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</si>
  <si>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</si>
  <si>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</si>
  <si>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</si>
  <si>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</si>
  <si>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</si>
  <si>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</si>
  <si>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</si>
  <si>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</si>
  <si>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</si>
  <si>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</si>
  <si>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</si>
  <si>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</si>
  <si>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</si>
  <si>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</si>
  <si>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</si>
  <si>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</si>
  <si>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</si>
  <si>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</si>
  <si>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</si>
  <si>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</si>
  <si>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</si>
  <si>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</si>
  <si>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</si>
  <si>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</si>
  <si>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</si>
  <si>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</si>
  <si>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</si>
  <si>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</si>
  <si>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</si>
  <si>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</si>
  <si>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</si>
  <si>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</si>
  <si>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</si>
  <si>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</si>
  <si>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</si>
  <si>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</si>
  <si>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</si>
  <si>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</si>
  <si>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</si>
  <si>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</si>
  <si>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</si>
  <si>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</si>
  <si>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</si>
  <si>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</si>
  <si>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</si>
  <si>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</si>
  <si>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</si>
  <si>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</si>
  <si>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</si>
  <si>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</si>
  <si>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</si>
  <si>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</si>
  <si>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</si>
  <si>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</si>
  <si>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</si>
  <si>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</si>
  <si>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</si>
  <si>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</si>
  <si>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</si>
  <si>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</si>
  <si>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</si>
  <si>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</si>
  <si>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</si>
  <si>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</si>
  <si>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</si>
  <si>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</si>
  <si>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</si>
  <si>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</si>
  <si>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</si>
  <si>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</si>
  <si>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</si>
  <si>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</si>
  <si>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</si>
  <si>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</si>
  <si>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</si>
  <si>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</si>
  <si>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</si>
  <si>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</si>
  <si>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</si>
  <si>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</si>
  <si>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</si>
  <si>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</si>
  <si>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</si>
  <si>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</si>
  <si>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</si>
  <si>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</si>
  <si>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</si>
  <si>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</si>
  <si>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</si>
  <si>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</si>
  <si>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</si>
  <si>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</si>
  <si>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</si>
  <si>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</si>
  <si>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</si>
  <si>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</si>
  <si>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</si>
  <si>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</si>
  <si>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</si>
  <si>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</si>
  <si>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</si>
  <si>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</si>
  <si>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</si>
  <si>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</si>
  <si>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</si>
  <si>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</si>
  <si>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</si>
  <si>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</si>
  <si>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</si>
  <si>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</si>
  <si>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</si>
  <si>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</si>
  <si>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</si>
  <si>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</si>
  <si>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</si>
  <si>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</si>
  <si>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This numerical model illustrates key changes to the Interim Guidelines and Drought Contingency Plans:</t>
  </si>
  <si>
    <t>Visualizations of Key Ideas: https://github.com/dzeke/ColoradoRiverCoding/raw/main/ModelMusings/PilotFlexAccounting-KeyIdeas.pdf</t>
  </si>
  <si>
    <t>3) Give each party an individual flex account in the combined reservoir system.</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</si>
  <si>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</si>
  <si>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</si>
  <si>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</si>
  <si>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</si>
  <si>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</si>
  <si>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</si>
  <si>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</si>
  <si>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expanding pie (win-win) arrangements?</t>
    </r>
  </si>
  <si>
    <t>5) Each party makes their individual water consumption and conservation decisions within their available water. Each party's available water is their flex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</si>
  <si>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</si>
  <si>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</si>
  <si>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</si>
  <si>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</si>
  <si>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</si>
  <si>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</si>
  <si>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</si>
  <si>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r>
      <rPr>
        <b/>
        <sz val="11"/>
        <color theme="1"/>
        <rFont val="Calibri"/>
        <family val="2"/>
        <scheme val="minor"/>
      </rPr>
      <t>When the workbook is moved into a Google sheet, role players representing the Upper Basin, Lower Basin, Mexico, and other parties can synchronously access and collaboratively use the tool</t>
    </r>
    <r>
      <rPr>
        <sz val="11"/>
        <color theme="1"/>
        <rFont val="Calibri"/>
        <family val="2"/>
        <scheme val="minor"/>
      </rPr>
      <t>. Players make individual year-to-year water consumption and conservation decsions (peach fill) and joint decisions (oranage fill) while they track other players' choices and monitor combined and individual reservoir storage.</t>
    </r>
  </si>
  <si>
    <t>Use either solo (play all the parties) or with multiple people (each person playes one or more party).</t>
  </si>
  <si>
    <t xml:space="preserve">   Prior 9 year Lake Powell Release (maf)</t>
  </si>
  <si>
    <t>Set in Upper and Lower Basin drought contingency plans</t>
  </si>
  <si>
    <t>Mead to Imperial Dam intervening inflow</t>
  </si>
  <si>
    <t>Account for joint power revenues from Mead and Powell</t>
  </si>
  <si>
    <t>Carry over Version 3.5 changes to other worksheets</t>
  </si>
  <si>
    <t>Enter reservoir evaporation rates, storating storages, and protect elevations for Lake Powell and Lake Mead in Rows 20-23. Enter Prior 9-year Lake Powell release in Row 24.</t>
  </si>
  <si>
    <r>
      <rPr>
        <b/>
        <sz val="11"/>
        <color theme="1"/>
        <rFont val="Calibri"/>
        <family val="2"/>
        <scheme val="minor"/>
      </rPr>
      <t>Split the existing reservoir storage</t>
    </r>
    <r>
      <rPr>
        <sz val="11"/>
        <color theme="1"/>
        <rFont val="Calibri"/>
        <family val="2"/>
        <scheme val="minor"/>
      </rPr>
      <t xml:space="preserve"> among users (Rows 32 to 37). </t>
    </r>
    <r>
      <rPr>
        <b/>
        <sz val="11"/>
        <color theme="1"/>
        <rFont val="Calibri"/>
        <family val="2"/>
        <scheme val="minor"/>
      </rPr>
      <t>Split future combined natural flow</t>
    </r>
    <r>
      <rPr>
        <sz val="11"/>
        <color theme="1"/>
        <rFont val="Calibri"/>
        <family val="2"/>
        <scheme val="minor"/>
      </rPr>
      <t xml:space="preserve"> among users (Rows 50 to 55). Use Cells B50 to B55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</si>
  <si>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57 to 104),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61). </t>
    </r>
    <r>
      <rPr>
        <b/>
        <sz val="11"/>
        <color theme="1"/>
        <rFont val="Calibri"/>
        <family val="2"/>
        <scheme val="minor"/>
      </rPr>
      <t>Each player observes their available water on Row 62</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63). </t>
    </r>
  </si>
  <si>
    <t>Observe summaries of all sales and purchases, account withdrawals, end-of-year balances, and combined storage in Rows 106 to 128).</t>
  </si>
  <si>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130).</t>
    </r>
  </si>
  <si>
    <t>The tool calculates the physical storage and elevations in Lake Powell and Lake Mead. The tool calculates the Lake Powll release to achieve the storages (Rows 131 to 136).</t>
  </si>
  <si>
    <t>When deciding the storage volume in Powell, consider Powell release water temperature for Grand Canyon fish (Rows 137-139).</t>
  </si>
  <si>
    <r>
      <rPr>
        <b/>
        <sz val="11"/>
        <color theme="1"/>
        <rFont val="Calibri"/>
        <family val="2"/>
        <scheme val="minor"/>
      </rPr>
      <t>Continue to Year 2</t>
    </r>
    <r>
      <rPr>
        <sz val="11"/>
        <color theme="1"/>
        <rFont val="Calibri"/>
        <family val="2"/>
        <scheme val="minor"/>
      </rPr>
      <t xml:space="preserve"> in Column D. Enter next natural inflow to Lake Powell, Grand Canyon tributary flow, and Hoover to Imperial Dam intervening flows in Cells D27 ato D29.</t>
    </r>
  </si>
  <si>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</si>
  <si>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</si>
  <si>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</si>
  <si>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To keep this account balance steady, the share of inflow equals the evaporation from the account. The inflow is drawn from the Lake Powell natural flow and Grand Canyon tributary flow in proportion to protection volumes in Lake Powell and Lake Mead.</t>
  </si>
  <si>
    <t>Row 48</t>
  </si>
  <si>
    <t xml:space="preserve">Mexico water allocation (1.5 maf) minus reductions by Minutes 319 and 323 due to lower Lake Mead level. </t>
  </si>
  <si>
    <t>Share of inflow equals Mexico water allocation (Row 48). This assignment is imperfect because in a combined system the players decide Lake Powell and Lake Mead levels at the end of each year.</t>
  </si>
  <si>
    <t>Add Hoover to Imperial intervening flow up top on Today sheet with other natural flows. Change Today sheets to Master.</t>
  </si>
  <si>
    <t>On the "Master" worksheet, name each role (party) and assign to a player (Rows 4-10). There can be up to 6 parties. Leave a cell in Column A empty to exclude the party.</t>
  </si>
  <si>
    <t>Duplicate the "Master" worksheet so have a copy for later use. Use the "Master" worksheet to compare results to current Law Of River operations. See plots on "Master-Plots" worksheet.</t>
  </si>
  <si>
    <r>
      <t xml:space="preserve">Specify a </t>
    </r>
    <r>
      <rPr>
        <b/>
        <sz val="11"/>
        <color theme="1"/>
        <rFont val="Calibri"/>
        <family val="2"/>
        <scheme val="minor"/>
      </rPr>
      <t>Hydrologic Scenario</t>
    </r>
    <r>
      <rPr>
        <sz val="11"/>
        <color theme="1"/>
        <rFont val="Calibri"/>
        <family val="2"/>
        <scheme val="minor"/>
      </rPr>
      <t xml:space="preserve"> in Row 17. Players choose each annual hydrology or a facilitator does. See the HydrologicScenarios worksheet for some potential hydrologies.</t>
    </r>
  </si>
  <si>
    <r>
      <t xml:space="preserve">In Year 1, enter the </t>
    </r>
    <r>
      <rPr>
        <b/>
        <sz val="11"/>
        <color theme="1"/>
        <rFont val="Calibri"/>
        <family val="2"/>
        <scheme val="minor"/>
      </rPr>
      <t>natural inflow</t>
    </r>
    <r>
      <rPr>
        <sz val="11"/>
        <color theme="1"/>
        <rFont val="Calibri"/>
        <family val="2"/>
        <scheme val="minor"/>
      </rPr>
      <t xml:space="preserve"> to Lake Powell in Cell C27, </t>
    </r>
    <r>
      <rPr>
        <b/>
        <sz val="11"/>
        <color theme="1"/>
        <rFont val="Calibri"/>
        <family val="2"/>
        <scheme val="minor"/>
      </rPr>
      <t>Grand Canyon tributary inflow</t>
    </r>
    <r>
      <rPr>
        <sz val="11"/>
        <color theme="1"/>
        <rFont val="Calibri"/>
        <family val="2"/>
        <scheme val="minor"/>
      </rPr>
      <t xml:space="preserve"> in Cell C28, Mead to Imperial Dam intervening inflow in Cell C29, and Havasu/Parker evaporation and evapotranspiration in Cell C30.</t>
    </r>
  </si>
  <si>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</si>
  <si>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</si>
  <si>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</si>
  <si>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</si>
  <si>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</si>
  <si>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</si>
  <si>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In Year 1, the Upper Basin can take all Lake Powell natural flow that exceeds 4.2 maf. 4.2 maf = 10-year obligation - Prior 9-Year Lake Powell release = 82.3 - 78.1 maf.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</si>
</sst>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13">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cellStyleXfs>
  <cellXfs count="190">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1" fillId="6" borderId="0" xfId="0" applyFont="1" applyFill="1" applyBorder="1" applyAlignment="1">
      <alignment horizontal="center" vertical="center" wrapText="1"/>
    </xf>
    <xf numFmtId="0" fontId="0" fillId="10" borderId="0" xfId="0" applyFont="1" applyFill="1" applyBorder="1" applyAlignment="1">
      <alignment horizontal="center" vertical="center" wrapText="1"/>
    </xf>
    <xf numFmtId="0" fontId="0" fillId="9" borderId="0" xfId="0" applyFill="1" applyBorder="1" applyAlignment="1">
      <alignment horizontal="center" vertical="top" wrapText="1"/>
    </xf>
    <xf numFmtId="0" fontId="0" fillId="7" borderId="0" xfId="0" applyFill="1" applyBorder="1" applyAlignment="1">
      <alignment horizontal="center" vertical="top" wrapText="1"/>
    </xf>
    <xf numFmtId="0" fontId="0" fillId="11" borderId="0" xfId="0" applyFill="1" applyBorder="1" applyAlignment="1">
      <alignment horizontal="center" vertical="top" wrapText="1"/>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 fillId="0" borderId="0" xfId="0" applyFont="1" applyAlignment="1">
      <alignment horizontal="left" vertical="top" wrapText="1"/>
    </xf>
    <xf numFmtId="0" fontId="2" fillId="16" borderId="9" xfId="12" applyBorder="1" applyAlignment="1">
      <alignment horizontal="center"/>
    </xf>
    <xf numFmtId="0" fontId="2" fillId="14" borderId="9" xfId="10"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5" fillId="5" borderId="9" xfId="6" applyBorder="1" applyAlignment="1">
      <alignment horizontal="left"/>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14" borderId="9" xfId="10" applyFont="1" applyBorder="1" applyAlignment="1">
      <alignment horizontal="left"/>
    </xf>
    <xf numFmtId="0" fontId="2" fillId="14" borderId="9" xfId="10" applyBorder="1" applyAlignment="1">
      <alignment horizontal="left"/>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cellXfs>
  <cellStyles count="13">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color rgb="FFFFC5C5"/>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270539</xdr:colOff>
      <xdr:row>3</xdr:row>
      <xdr:rowOff>61631</xdr:rowOff>
    </xdr:from>
    <xdr:to>
      <xdr:col>14</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abSelected="1" zoomScale="150" zoomScaleNormal="150" workbookViewId="0"/>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x14ac:dyDescent="0.35">
      <c r="A1" s="1" t="s">
        <v>205</v>
      </c>
      <c r="B1" s="1"/>
      <c r="C1" s="2"/>
      <c r="D1"/>
    </row>
    <row r="2" spans="1:18" x14ac:dyDescent="0.35">
      <c r="A2" s="1"/>
      <c r="B2" s="1"/>
      <c r="C2" s="2"/>
      <c r="D2"/>
    </row>
    <row r="3" spans="1:18" x14ac:dyDescent="0.35">
      <c r="A3" s="1" t="s">
        <v>234</v>
      </c>
      <c r="B3" s="1"/>
      <c r="C3" s="2"/>
      <c r="D3"/>
      <c r="N3" s="1" t="s">
        <v>319</v>
      </c>
    </row>
    <row r="4" spans="1:18" s="79" customFormat="1" ht="61" customHeight="1" x14ac:dyDescent="0.35">
      <c r="A4" s="172" t="s">
        <v>331</v>
      </c>
      <c r="B4" s="172"/>
      <c r="C4" s="172"/>
      <c r="D4" s="172"/>
      <c r="E4" s="172"/>
      <c r="F4" s="172"/>
      <c r="G4" s="172"/>
      <c r="H4" s="172"/>
      <c r="I4" s="172"/>
      <c r="J4" s="172"/>
      <c r="K4" s="172"/>
      <c r="L4" s="172"/>
      <c r="N4" s="162" t="s">
        <v>320</v>
      </c>
      <c r="O4" s="162"/>
      <c r="P4" s="162"/>
      <c r="Q4" s="162"/>
      <c r="R4" s="162"/>
    </row>
    <row r="5" spans="1:18" s="32" customFormat="1" ht="16" customHeight="1" x14ac:dyDescent="0.35">
      <c r="A5" s="172" t="s">
        <v>321</v>
      </c>
      <c r="B5" s="172"/>
      <c r="C5" s="172"/>
      <c r="D5" s="172"/>
      <c r="E5" s="172"/>
      <c r="F5" s="172"/>
      <c r="G5" s="172"/>
      <c r="H5" s="172"/>
      <c r="I5" s="172"/>
      <c r="J5" s="172"/>
      <c r="K5" s="172"/>
      <c r="L5" s="172"/>
    </row>
    <row r="6" spans="1:18" s="32" customFormat="1" ht="32.5" customHeight="1" x14ac:dyDescent="0.35">
      <c r="A6" s="163" t="s">
        <v>230</v>
      </c>
      <c r="B6" s="163"/>
      <c r="C6" s="163"/>
      <c r="D6" s="163"/>
      <c r="E6" s="163"/>
      <c r="F6" s="163"/>
      <c r="G6" s="163"/>
      <c r="H6" s="163"/>
      <c r="I6" s="163"/>
      <c r="J6" s="163"/>
      <c r="K6" s="163"/>
      <c r="L6" s="163"/>
      <c r="N6" s="148" t="s">
        <v>322</v>
      </c>
    </row>
    <row r="7" spans="1:18" s="32" customFormat="1" ht="32.5" customHeight="1" x14ac:dyDescent="0.35">
      <c r="A7" s="163" t="s">
        <v>232</v>
      </c>
      <c r="B7" s="163"/>
      <c r="C7" s="163"/>
      <c r="D7" s="163"/>
      <c r="E7" s="163"/>
      <c r="F7" s="163"/>
      <c r="G7" s="163"/>
      <c r="H7" s="163"/>
      <c r="I7" s="163"/>
      <c r="J7" s="163"/>
      <c r="K7" s="163"/>
      <c r="L7" s="163"/>
    </row>
    <row r="8" spans="1:18" s="32" customFormat="1" ht="16.5" customHeight="1" x14ac:dyDescent="0.35">
      <c r="A8" s="163" t="s">
        <v>323</v>
      </c>
      <c r="B8" s="163"/>
      <c r="C8" s="163"/>
      <c r="D8" s="163"/>
      <c r="E8" s="163"/>
      <c r="F8" s="163"/>
      <c r="G8" s="163"/>
      <c r="H8" s="163"/>
      <c r="I8" s="163"/>
      <c r="J8" s="163"/>
      <c r="K8" s="163"/>
      <c r="L8" s="163"/>
    </row>
    <row r="9" spans="1:18" s="32" customFormat="1" ht="15" customHeight="1" x14ac:dyDescent="0.35">
      <c r="A9" s="163" t="s">
        <v>235</v>
      </c>
      <c r="B9" s="163"/>
      <c r="C9" s="163"/>
      <c r="D9" s="163"/>
      <c r="E9" s="163"/>
      <c r="F9" s="163"/>
      <c r="G9" s="163"/>
      <c r="H9" s="163"/>
      <c r="I9" s="163"/>
      <c r="J9" s="163"/>
      <c r="K9" s="163"/>
      <c r="L9" s="163"/>
    </row>
    <row r="10" spans="1:18" s="32" customFormat="1" ht="32.15" customHeight="1" x14ac:dyDescent="0.35">
      <c r="A10" s="163" t="s">
        <v>332</v>
      </c>
      <c r="B10" s="163"/>
      <c r="C10" s="163"/>
      <c r="D10" s="163"/>
      <c r="E10" s="163"/>
      <c r="F10" s="163"/>
      <c r="G10" s="163"/>
      <c r="H10" s="163"/>
      <c r="I10" s="163"/>
      <c r="J10" s="163"/>
      <c r="K10" s="163"/>
      <c r="L10" s="163"/>
    </row>
    <row r="11" spans="1:18" ht="69" customHeight="1" x14ac:dyDescent="0.35">
      <c r="A11" s="163" t="s">
        <v>333</v>
      </c>
      <c r="B11" s="163"/>
      <c r="C11" s="163"/>
      <c r="D11" s="163"/>
      <c r="E11" s="163"/>
      <c r="F11" s="163"/>
      <c r="G11" s="163"/>
      <c r="H11" s="163"/>
      <c r="I11" s="163"/>
      <c r="J11" s="163"/>
      <c r="K11" s="163"/>
      <c r="L11" s="163"/>
    </row>
    <row r="12" spans="1:18" ht="50.5" customHeight="1" x14ac:dyDescent="0.35">
      <c r="A12" s="163" t="s">
        <v>340</v>
      </c>
      <c r="B12" s="163"/>
      <c r="C12" s="163"/>
      <c r="D12" s="163"/>
      <c r="E12" s="163"/>
      <c r="F12" s="163"/>
      <c r="G12" s="163"/>
      <c r="H12" s="163"/>
      <c r="I12" s="163"/>
      <c r="J12" s="163"/>
      <c r="K12" s="163"/>
      <c r="L12" s="163"/>
    </row>
    <row r="13" spans="1:18" ht="48.65" customHeight="1" x14ac:dyDescent="0.35">
      <c r="A13" s="163" t="s">
        <v>200</v>
      </c>
      <c r="B13" s="163"/>
      <c r="C13" s="163"/>
      <c r="D13" s="163"/>
      <c r="E13" s="163"/>
      <c r="F13" s="163"/>
      <c r="G13" s="163"/>
      <c r="H13" s="163"/>
      <c r="I13" s="163"/>
      <c r="J13" s="163"/>
      <c r="K13" s="163"/>
      <c r="L13" s="163"/>
    </row>
    <row r="14" spans="1:18" ht="15.65" customHeight="1" x14ac:dyDescent="0.35">
      <c r="A14" s="163" t="s">
        <v>341</v>
      </c>
      <c r="B14" s="163"/>
      <c r="C14" s="163"/>
      <c r="D14" s="163"/>
      <c r="E14" s="163"/>
      <c r="F14" s="163"/>
      <c r="G14" s="163"/>
      <c r="H14" s="163"/>
      <c r="I14" s="163"/>
      <c r="J14" s="163"/>
      <c r="K14" s="163"/>
      <c r="L14" s="163"/>
    </row>
    <row r="15" spans="1:18" x14ac:dyDescent="0.35">
      <c r="B15" s="15"/>
      <c r="C15" s="15"/>
      <c r="D15" s="15"/>
      <c r="E15" s="15"/>
      <c r="F15" s="15"/>
      <c r="G15" s="15"/>
      <c r="H15" s="15"/>
      <c r="I15" s="15"/>
      <c r="J15" s="15"/>
      <c r="K15" s="15"/>
      <c r="L15" s="15"/>
    </row>
    <row r="16" spans="1:18" ht="16.5" customHeight="1" x14ac:dyDescent="0.35">
      <c r="A16" s="165" t="s">
        <v>201</v>
      </c>
      <c r="B16" s="166"/>
      <c r="C16" s="166"/>
      <c r="D16" s="166"/>
      <c r="E16" s="166"/>
      <c r="F16" s="166"/>
      <c r="G16" s="166"/>
      <c r="H16" s="166"/>
      <c r="I16" s="166"/>
      <c r="J16" s="166"/>
      <c r="K16" s="166"/>
      <c r="L16" s="167"/>
    </row>
    <row r="17" spans="1:12" ht="16.5" customHeight="1" x14ac:dyDescent="0.35">
      <c r="A17" s="28">
        <v>1</v>
      </c>
      <c r="B17" s="160" t="s">
        <v>141</v>
      </c>
      <c r="C17" s="160"/>
      <c r="D17" s="160"/>
      <c r="E17" s="160"/>
      <c r="F17" s="160"/>
      <c r="G17" s="160"/>
      <c r="H17" s="160"/>
      <c r="I17" s="160"/>
      <c r="J17" s="160"/>
      <c r="K17" s="160"/>
      <c r="L17" s="161"/>
    </row>
    <row r="18" spans="1:12" ht="16.5" customHeight="1" x14ac:dyDescent="0.35">
      <c r="A18" s="28">
        <v>2</v>
      </c>
      <c r="B18" s="160" t="s">
        <v>202</v>
      </c>
      <c r="C18" s="160"/>
      <c r="D18" s="160"/>
      <c r="E18" s="160"/>
      <c r="F18" s="160"/>
      <c r="G18" s="160"/>
      <c r="H18" s="160"/>
      <c r="I18" s="160"/>
      <c r="J18" s="160"/>
      <c r="K18" s="160"/>
      <c r="L18" s="161"/>
    </row>
    <row r="19" spans="1:12" ht="34.5" customHeight="1" x14ac:dyDescent="0.35">
      <c r="A19" s="28">
        <v>3</v>
      </c>
      <c r="B19" s="160" t="s">
        <v>364</v>
      </c>
      <c r="C19" s="160"/>
      <c r="D19" s="160"/>
      <c r="E19" s="160"/>
      <c r="F19" s="160"/>
      <c r="G19" s="160"/>
      <c r="H19" s="160"/>
      <c r="I19" s="160"/>
      <c r="J19" s="160"/>
      <c r="K19" s="160"/>
      <c r="L19" s="161"/>
    </row>
    <row r="20" spans="1:12" ht="32.5" customHeight="1" x14ac:dyDescent="0.35">
      <c r="A20" s="28">
        <v>4</v>
      </c>
      <c r="B20" s="160" t="s">
        <v>363</v>
      </c>
      <c r="C20" s="160"/>
      <c r="D20" s="160"/>
      <c r="E20" s="160"/>
      <c r="F20" s="160"/>
      <c r="G20" s="160"/>
      <c r="H20" s="160"/>
      <c r="I20" s="160"/>
      <c r="J20" s="160"/>
      <c r="K20" s="160"/>
      <c r="L20" s="161"/>
    </row>
    <row r="21" spans="1:12" ht="29.15" customHeight="1" x14ac:dyDescent="0.35">
      <c r="A21" s="28">
        <v>5</v>
      </c>
      <c r="B21" s="160" t="s">
        <v>365</v>
      </c>
      <c r="C21" s="160"/>
      <c r="D21" s="160"/>
      <c r="E21" s="160"/>
      <c r="F21" s="160"/>
      <c r="G21" s="160"/>
      <c r="H21" s="160"/>
      <c r="I21" s="160"/>
      <c r="J21" s="160"/>
      <c r="K21" s="160"/>
      <c r="L21" s="161"/>
    </row>
    <row r="22" spans="1:12" ht="30" customHeight="1" x14ac:dyDescent="0.35">
      <c r="A22" s="28">
        <v>6</v>
      </c>
      <c r="B22" s="160" t="s">
        <v>347</v>
      </c>
      <c r="C22" s="160"/>
      <c r="D22" s="160"/>
      <c r="E22" s="160"/>
      <c r="F22" s="160"/>
      <c r="G22" s="160"/>
      <c r="H22" s="160"/>
      <c r="I22" s="160"/>
      <c r="J22" s="160"/>
      <c r="K22" s="160"/>
      <c r="L22" s="161"/>
    </row>
    <row r="23" spans="1:12" ht="34" customHeight="1" x14ac:dyDescent="0.35">
      <c r="A23" s="28">
        <v>7</v>
      </c>
      <c r="B23" s="160" t="s">
        <v>366</v>
      </c>
      <c r="C23" s="160"/>
      <c r="D23" s="160"/>
      <c r="E23" s="160"/>
      <c r="F23" s="160"/>
      <c r="G23" s="160"/>
      <c r="H23" s="160"/>
      <c r="I23" s="160"/>
      <c r="J23" s="160"/>
      <c r="K23" s="160"/>
      <c r="L23" s="161"/>
    </row>
    <row r="24" spans="1:12" ht="31.5" customHeight="1" x14ac:dyDescent="0.35">
      <c r="A24" s="28">
        <v>8</v>
      </c>
      <c r="B24" s="160" t="s">
        <v>348</v>
      </c>
      <c r="C24" s="160"/>
      <c r="D24" s="160"/>
      <c r="E24" s="160"/>
      <c r="F24" s="160"/>
      <c r="G24" s="160"/>
      <c r="H24" s="160"/>
      <c r="I24" s="160"/>
      <c r="J24" s="160"/>
      <c r="K24" s="160"/>
      <c r="L24" s="161"/>
    </row>
    <row r="25" spans="1:12" ht="60.65" customHeight="1" x14ac:dyDescent="0.35">
      <c r="A25" s="28">
        <v>10</v>
      </c>
      <c r="B25" s="160" t="s">
        <v>349</v>
      </c>
      <c r="C25" s="160"/>
      <c r="D25" s="160"/>
      <c r="E25" s="160"/>
      <c r="F25" s="160"/>
      <c r="G25" s="160"/>
      <c r="H25" s="160"/>
      <c r="I25" s="160"/>
      <c r="J25" s="160"/>
      <c r="K25" s="160"/>
      <c r="L25" s="161"/>
    </row>
    <row r="26" spans="1:12" ht="16.5" customHeight="1" x14ac:dyDescent="0.35">
      <c r="A26" s="28">
        <v>11</v>
      </c>
      <c r="B26" s="160" t="s">
        <v>350</v>
      </c>
      <c r="C26" s="160"/>
      <c r="D26" s="160"/>
      <c r="E26" s="160"/>
      <c r="F26" s="160"/>
      <c r="G26" s="160"/>
      <c r="H26" s="160"/>
      <c r="I26" s="160"/>
      <c r="J26" s="160"/>
      <c r="K26" s="160"/>
      <c r="L26" s="161"/>
    </row>
    <row r="27" spans="1:12" ht="16.5" customHeight="1" x14ac:dyDescent="0.35">
      <c r="A27" s="28">
        <v>12</v>
      </c>
      <c r="B27" s="160" t="s">
        <v>351</v>
      </c>
      <c r="C27" s="160"/>
      <c r="D27" s="160"/>
      <c r="E27" s="160"/>
      <c r="F27" s="160"/>
      <c r="G27" s="160"/>
      <c r="H27" s="160"/>
      <c r="I27" s="160"/>
      <c r="J27" s="160"/>
      <c r="K27" s="160"/>
      <c r="L27" s="161"/>
    </row>
    <row r="28" spans="1:12" ht="32.15" customHeight="1" x14ac:dyDescent="0.35">
      <c r="A28" s="28">
        <v>13</v>
      </c>
      <c r="B28" s="160" t="s">
        <v>352</v>
      </c>
      <c r="C28" s="160"/>
      <c r="D28" s="160"/>
      <c r="E28" s="160"/>
      <c r="F28" s="160"/>
      <c r="G28" s="160"/>
      <c r="H28" s="160"/>
      <c r="I28" s="160"/>
      <c r="J28" s="160"/>
      <c r="K28" s="160"/>
      <c r="L28" s="161"/>
    </row>
    <row r="29" spans="1:12" ht="17.5" customHeight="1" x14ac:dyDescent="0.35">
      <c r="A29" s="28">
        <v>14</v>
      </c>
      <c r="B29" s="160" t="s">
        <v>353</v>
      </c>
      <c r="C29" s="160"/>
      <c r="D29" s="160"/>
      <c r="E29" s="160"/>
      <c r="F29" s="160"/>
      <c r="G29" s="160"/>
      <c r="H29" s="160"/>
      <c r="I29" s="160"/>
      <c r="J29" s="160"/>
      <c r="K29" s="160"/>
      <c r="L29" s="161"/>
    </row>
    <row r="30" spans="1:12" ht="30" customHeight="1" x14ac:dyDescent="0.35">
      <c r="A30" s="28">
        <v>15</v>
      </c>
      <c r="B30" s="160" t="s">
        <v>354</v>
      </c>
      <c r="C30" s="160"/>
      <c r="D30" s="160"/>
      <c r="E30" s="160"/>
      <c r="F30" s="160"/>
      <c r="G30" s="160"/>
      <c r="H30" s="160"/>
      <c r="I30" s="160"/>
      <c r="J30" s="160"/>
      <c r="K30" s="160"/>
      <c r="L30" s="161"/>
    </row>
    <row r="31" spans="1:12" ht="16.5" customHeight="1" x14ac:dyDescent="0.35">
      <c r="A31" s="28">
        <v>16</v>
      </c>
      <c r="B31" s="168" t="s">
        <v>203</v>
      </c>
      <c r="C31" s="168"/>
      <c r="D31" s="168"/>
      <c r="E31" s="168"/>
      <c r="F31" s="168"/>
      <c r="G31" s="168"/>
      <c r="H31" s="168"/>
      <c r="I31" s="168"/>
      <c r="J31" s="168"/>
      <c r="K31" s="168"/>
      <c r="L31" s="169"/>
    </row>
    <row r="32" spans="1:12" ht="32.15" customHeight="1" x14ac:dyDescent="0.35">
      <c r="A32" s="28">
        <v>17</v>
      </c>
      <c r="B32" s="160" t="s">
        <v>204</v>
      </c>
      <c r="C32" s="160"/>
      <c r="D32" s="160"/>
      <c r="E32" s="160"/>
      <c r="F32" s="160"/>
      <c r="G32" s="160"/>
      <c r="H32" s="160"/>
      <c r="I32" s="160"/>
      <c r="J32" s="160"/>
      <c r="K32" s="160"/>
      <c r="L32" s="161"/>
    </row>
    <row r="33" spans="1:12" ht="31" customHeight="1" x14ac:dyDescent="0.35">
      <c r="A33" s="28">
        <v>18</v>
      </c>
      <c r="B33" s="170" t="s">
        <v>207</v>
      </c>
      <c r="C33" s="170"/>
      <c r="D33" s="170"/>
      <c r="E33" s="170"/>
      <c r="F33" s="170"/>
      <c r="G33" s="170"/>
      <c r="H33" s="170"/>
      <c r="I33" s="170"/>
      <c r="J33" s="170"/>
      <c r="K33" s="170"/>
      <c r="L33" s="171"/>
    </row>
    <row r="34" spans="1:12" x14ac:dyDescent="0.35">
      <c r="B34" s="26"/>
      <c r="C34" s="26"/>
      <c r="D34" s="26"/>
      <c r="E34" s="26"/>
      <c r="F34" s="26"/>
      <c r="G34" s="26"/>
      <c r="H34" s="26"/>
      <c r="I34" s="26"/>
      <c r="J34" s="26"/>
      <c r="K34" s="26"/>
      <c r="L34" s="26"/>
    </row>
    <row r="35" spans="1:12" x14ac:dyDescent="0.35">
      <c r="A35" s="1" t="s">
        <v>92</v>
      </c>
    </row>
    <row r="36" spans="1:12" x14ac:dyDescent="0.35">
      <c r="B36" s="2" t="s">
        <v>93</v>
      </c>
      <c r="C36" t="s">
        <v>154</v>
      </c>
    </row>
    <row r="37" spans="1:12" x14ac:dyDescent="0.35">
      <c r="B37" s="2" t="s">
        <v>157</v>
      </c>
      <c r="C37" t="s">
        <v>199</v>
      </c>
    </row>
    <row r="38" spans="1:12" x14ac:dyDescent="0.35">
      <c r="B38" s="2" t="s">
        <v>93</v>
      </c>
      <c r="C38" t="s">
        <v>369</v>
      </c>
    </row>
    <row r="39" spans="1:12" x14ac:dyDescent="0.35">
      <c r="B39" s="2" t="s">
        <v>367</v>
      </c>
      <c r="C39" t="s">
        <v>370</v>
      </c>
    </row>
    <row r="40" spans="1:12" x14ac:dyDescent="0.35">
      <c r="B40" s="2" t="s">
        <v>368</v>
      </c>
      <c r="C40" t="s">
        <v>371</v>
      </c>
    </row>
    <row r="41" spans="1:12" x14ac:dyDescent="0.35">
      <c r="B41" s="2" t="s">
        <v>336</v>
      </c>
      <c r="C41" t="s">
        <v>339</v>
      </c>
    </row>
    <row r="42" spans="1:12" x14ac:dyDescent="0.35">
      <c r="B42" s="2" t="s">
        <v>337</v>
      </c>
      <c r="C42" t="s">
        <v>265</v>
      </c>
    </row>
    <row r="43" spans="1:12" x14ac:dyDescent="0.35">
      <c r="B43" s="2" t="s">
        <v>338</v>
      </c>
      <c r="C43" t="s">
        <v>264</v>
      </c>
    </row>
    <row r="44" spans="1:12" x14ac:dyDescent="0.35">
      <c r="B44" s="2" t="s">
        <v>218</v>
      </c>
      <c r="C44" t="s">
        <v>220</v>
      </c>
    </row>
    <row r="45" spans="1:12" x14ac:dyDescent="0.35">
      <c r="B45" s="2" t="s">
        <v>219</v>
      </c>
      <c r="C45" t="s">
        <v>142</v>
      </c>
    </row>
    <row r="46" spans="1:12" x14ac:dyDescent="0.35">
      <c r="B46" s="2" t="s">
        <v>155</v>
      </c>
      <c r="C46" t="s">
        <v>221</v>
      </c>
    </row>
    <row r="47" spans="1:12" x14ac:dyDescent="0.35">
      <c r="B47" s="2" t="s">
        <v>222</v>
      </c>
      <c r="C47" t="s">
        <v>223</v>
      </c>
    </row>
    <row r="48" spans="1:12" x14ac:dyDescent="0.35">
      <c r="B48" s="2" t="s">
        <v>253</v>
      </c>
      <c r="C48" t="s">
        <v>254</v>
      </c>
    </row>
    <row r="49" spans="1:12" x14ac:dyDescent="0.35">
      <c r="B49" s="2" t="s">
        <v>94</v>
      </c>
      <c r="C49" t="s">
        <v>95</v>
      </c>
    </row>
    <row r="50" spans="1:12" x14ac:dyDescent="0.35">
      <c r="B50" s="2" t="s">
        <v>96</v>
      </c>
      <c r="C50" t="s">
        <v>97</v>
      </c>
    </row>
    <row r="51" spans="1:12" x14ac:dyDescent="0.35">
      <c r="B51" s="2" t="s">
        <v>143</v>
      </c>
      <c r="C51" t="s">
        <v>144</v>
      </c>
    </row>
    <row r="53" spans="1:12" x14ac:dyDescent="0.35">
      <c r="A53" s="1" t="s">
        <v>209</v>
      </c>
    </row>
    <row r="54" spans="1:12" x14ac:dyDescent="0.35">
      <c r="A54" t="s">
        <v>210</v>
      </c>
    </row>
    <row r="55" spans="1:12" x14ac:dyDescent="0.35">
      <c r="A55" t="s">
        <v>211</v>
      </c>
    </row>
    <row r="56" spans="1:12" x14ac:dyDescent="0.35">
      <c r="A56" s="69" t="s">
        <v>212</v>
      </c>
    </row>
    <row r="57" spans="1:12" x14ac:dyDescent="0.35">
      <c r="A57" s="69" t="s">
        <v>214</v>
      </c>
    </row>
    <row r="58" spans="1:12" x14ac:dyDescent="0.35">
      <c r="A58" s="69"/>
    </row>
    <row r="59" spans="1:12" x14ac:dyDescent="0.35">
      <c r="A59" s="1" t="s">
        <v>213</v>
      </c>
    </row>
    <row r="60" spans="1:12" x14ac:dyDescent="0.35">
      <c r="A60" t="s">
        <v>233</v>
      </c>
    </row>
    <row r="62" spans="1:12" ht="16" customHeight="1" x14ac:dyDescent="0.35">
      <c r="A62" s="1" t="s">
        <v>49</v>
      </c>
    </row>
    <row r="63" spans="1:12" x14ac:dyDescent="0.35">
      <c r="A63" s="164" t="s">
        <v>231</v>
      </c>
      <c r="B63" s="164"/>
      <c r="C63" s="164"/>
      <c r="D63" s="164"/>
      <c r="E63" s="164"/>
      <c r="F63" s="164"/>
      <c r="G63" s="164"/>
      <c r="H63" s="164"/>
      <c r="I63" s="164"/>
      <c r="J63" s="164"/>
      <c r="K63" s="164"/>
      <c r="L63" s="164"/>
    </row>
  </sheetData>
  <mergeCells count="31">
    <mergeCell ref="A5:L5"/>
    <mergeCell ref="A11:L11"/>
    <mergeCell ref="A14:L14"/>
    <mergeCell ref="A13:L13"/>
    <mergeCell ref="A12:L12"/>
    <mergeCell ref="A6:L6"/>
    <mergeCell ref="A7:L7"/>
    <mergeCell ref="A8:L8"/>
    <mergeCell ref="B18:L18"/>
    <mergeCell ref="B28:L28"/>
    <mergeCell ref="B20:L20"/>
    <mergeCell ref="B22:L22"/>
    <mergeCell ref="B23:L23"/>
    <mergeCell ref="B24:L24"/>
    <mergeCell ref="B27:L27"/>
    <mergeCell ref="B29:L29"/>
    <mergeCell ref="N4:R4"/>
    <mergeCell ref="A10:L10"/>
    <mergeCell ref="A9:L9"/>
    <mergeCell ref="A63:L63"/>
    <mergeCell ref="A16:L16"/>
    <mergeCell ref="B21:L21"/>
    <mergeCell ref="B17:L17"/>
    <mergeCell ref="B19:L19"/>
    <mergeCell ref="B25:L25"/>
    <mergeCell ref="B26:L26"/>
    <mergeCell ref="B30:L30"/>
    <mergeCell ref="B31:L31"/>
    <mergeCell ref="B33:L33"/>
    <mergeCell ref="B32:L32"/>
    <mergeCell ref="A4:L4"/>
  </mergeCells>
  <hyperlinks>
    <hyperlink ref="A56" r:id="rId1" xr:uid="{6B934EC2-E381-41EE-938C-08FAF5E51BBE}"/>
    <hyperlink ref="A57" r:id="rId2" xr:uid="{785DB934-D308-4A7B-B51A-B3D1C1CB613D}"/>
    <hyperlink ref="N6" r:id="rId3" display="https://github.com/dzeke/ColoradoRiverCoding/raw/main/ModelMusings/PilotFlexAccounting-KeyIdeas.pdf" xr:uid="{131A8731-68D5-4DE1-835C-AA341174042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181" t="s">
        <v>150</v>
      </c>
      <c r="B3" s="181"/>
      <c r="C3" s="181"/>
      <c r="D3" s="181"/>
      <c r="E3" s="181"/>
      <c r="F3" s="181"/>
      <c r="G3" s="181"/>
      <c r="H3" s="114"/>
      <c r="I3" s="114"/>
      <c r="J3" s="114"/>
      <c r="K3" s="114"/>
    </row>
    <row r="4" spans="1:13" x14ac:dyDescent="0.35">
      <c r="A4" s="53" t="s">
        <v>38</v>
      </c>
      <c r="B4" s="53" t="s">
        <v>42</v>
      </c>
      <c r="C4" s="182" t="s">
        <v>43</v>
      </c>
      <c r="D4" s="183"/>
      <c r="E4" s="183"/>
      <c r="F4" s="183"/>
      <c r="G4" s="184"/>
      <c r="M4" s="1" t="s">
        <v>307</v>
      </c>
    </row>
    <row r="5" spans="1:13" x14ac:dyDescent="0.35">
      <c r="A5" s="129" t="s">
        <v>39</v>
      </c>
      <c r="B5" s="129"/>
      <c r="C5" s="185" t="s">
        <v>215</v>
      </c>
      <c r="D5" s="186"/>
      <c r="E5" s="186"/>
      <c r="F5" s="186"/>
      <c r="G5" s="186"/>
      <c r="M5" t="s">
        <v>308</v>
      </c>
    </row>
    <row r="6" spans="1:13" x14ac:dyDescent="0.35">
      <c r="A6" s="129" t="s">
        <v>40</v>
      </c>
      <c r="B6" s="129"/>
      <c r="C6" s="185" t="s">
        <v>216</v>
      </c>
      <c r="D6" s="186"/>
      <c r="E6" s="186"/>
      <c r="F6" s="186"/>
      <c r="G6" s="186"/>
      <c r="M6" t="s">
        <v>313</v>
      </c>
    </row>
    <row r="7" spans="1:13" x14ac:dyDescent="0.35">
      <c r="A7" s="129" t="s">
        <v>41</v>
      </c>
      <c r="B7" s="129"/>
      <c r="C7" s="185" t="s">
        <v>151</v>
      </c>
      <c r="D7" s="186"/>
      <c r="E7" s="186"/>
      <c r="F7" s="186"/>
      <c r="G7" s="186"/>
      <c r="M7" t="s">
        <v>314</v>
      </c>
    </row>
    <row r="8" spans="1:13" x14ac:dyDescent="0.35">
      <c r="A8" s="113" t="s">
        <v>156</v>
      </c>
      <c r="B8" s="113"/>
      <c r="C8" s="180" t="s">
        <v>318</v>
      </c>
      <c r="D8" s="180"/>
      <c r="E8" s="180"/>
      <c r="F8" s="180"/>
      <c r="G8" s="180"/>
    </row>
    <row r="9" spans="1:13" x14ac:dyDescent="0.35">
      <c r="A9" s="129"/>
      <c r="B9" s="129"/>
      <c r="C9" s="174"/>
      <c r="D9" s="174"/>
      <c r="E9" s="174"/>
      <c r="F9" s="174"/>
      <c r="G9" s="174"/>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1.4083333333333332</v>
      </c>
    </row>
    <row r="47" spans="1:14" x14ac:dyDescent="0.35">
      <c r="A47" s="1" t="s">
        <v>292</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34"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35">
      <c r="A49" t="str">
        <f t="shared" si="11"/>
        <v xml:space="preserve">    To Lower Basin</v>
      </c>
      <c r="B49" s="135">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35">
      <c r="A50" t="str">
        <f t="shared" si="11"/>
        <v xml:space="preserve">    To Mexico</v>
      </c>
      <c r="B50" s="135"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35">
      <c r="A51" t="str">
        <f t="shared" si="11"/>
        <v xml:space="preserve">    To Shared, Reserve</v>
      </c>
      <c r="B51" s="135"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35">
      <c r="A52" t="str">
        <f t="shared" si="11"/>
        <v/>
      </c>
      <c r="B52" s="135"/>
      <c r="C52" s="108"/>
      <c r="D52" s="108"/>
      <c r="E52" s="108"/>
      <c r="F52" s="108"/>
      <c r="G52" s="108"/>
      <c r="H52" s="108"/>
      <c r="I52" s="108"/>
      <c r="J52" s="108"/>
      <c r="K52" s="108"/>
      <c r="L52" s="108"/>
      <c r="M52" s="29"/>
      <c r="N52" s="29"/>
    </row>
    <row r="53" spans="1:14" x14ac:dyDescent="0.35">
      <c r="A53" t="str">
        <f t="shared" si="11"/>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v>0.5</v>
      </c>
      <c r="J57" s="130">
        <v>0.5</v>
      </c>
      <c r="K57" s="130">
        <v>0.5</v>
      </c>
      <c r="L57" s="130">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f>350*I57</f>
        <v>175</v>
      </c>
      <c r="J58" s="131">
        <f t="shared" ref="J58:L58" si="16">350*J57</f>
        <v>175</v>
      </c>
      <c r="K58" s="131">
        <f t="shared" si="16"/>
        <v>175</v>
      </c>
      <c r="L58" s="131">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19">IF(D60&gt;4.2,4.2,MAX(D60,0))</f>
        <v>4.2</v>
      </c>
      <c r="E61" s="132">
        <f t="shared" ca="1" si="19"/>
        <v>4.2</v>
      </c>
      <c r="F61" s="132">
        <f t="shared" ca="1" si="19"/>
        <v>4.2</v>
      </c>
      <c r="G61" s="132">
        <f t="shared" ca="1" si="19"/>
        <v>4.2</v>
      </c>
      <c r="H61" s="132">
        <f t="shared" ca="1" si="19"/>
        <v>4.2</v>
      </c>
      <c r="I61" s="132">
        <f t="shared" ca="1" si="19"/>
        <v>4.2</v>
      </c>
      <c r="J61" s="132">
        <f t="shared" ca="1" si="19"/>
        <v>4.2</v>
      </c>
      <c r="K61" s="132">
        <f t="shared" ca="1" si="19"/>
        <v>4.2</v>
      </c>
      <c r="L61" s="132">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f>-I57</f>
        <v>-0.5</v>
      </c>
      <c r="J65" s="130">
        <f t="shared" ref="J65:L65" si="21">-J57</f>
        <v>-0.5</v>
      </c>
      <c r="K65" s="130">
        <f t="shared" si="21"/>
        <v>-0.5</v>
      </c>
      <c r="L65" s="130">
        <f t="shared" si="21"/>
        <v>-0.5</v>
      </c>
      <c r="M65" s="67">
        <f>SUM(C65:L65)</f>
        <v>-2</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0">
        <f>-I58</f>
        <v>-175</v>
      </c>
      <c r="J66" s="130">
        <f t="shared" ref="J66:L66" si="22">-J58</f>
        <v>-175</v>
      </c>
      <c r="K66" s="130">
        <f t="shared" si="22"/>
        <v>-175</v>
      </c>
      <c r="L66" s="130">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6.7789999999999999</v>
      </c>
      <c r="J69" s="132">
        <f ca="1">IF(J27&lt;&gt;"",MIN(7.5-VLOOKUP(J38,LowerBasinCuts!$C$5:$P$13,14),J68),"")</f>
        <v>6.8870000000000005</v>
      </c>
      <c r="K69" s="132">
        <f ca="1">IF(K27&lt;&gt;"",MIN(7.5-VLOOKUP(K38,LowerBasinCuts!$C$5:$P$13,14),K68),"")</f>
        <v>6.8870000000000005</v>
      </c>
      <c r="L69" s="132">
        <f ca="1">IF(L27&lt;&gt;"",MIN(7.5-VLOOKUP(L38,LowerBasinCuts!$C$5:$P$13,14),L68),"")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30">MIN(D46,D76)</f>
        <v>1.4473333333333334</v>
      </c>
      <c r="E77" s="132">
        <f t="shared" ca="1" si="30"/>
        <v>1.4083333333333332</v>
      </c>
      <c r="F77" s="132">
        <f t="shared" ca="1" si="30"/>
        <v>1.4083333333333332</v>
      </c>
      <c r="G77" s="132">
        <f t="shared" ca="1" si="30"/>
        <v>1.4083333333333332</v>
      </c>
      <c r="H77" s="132">
        <f t="shared" ca="1" si="30"/>
        <v>1.4083333333333332</v>
      </c>
      <c r="I77" s="132">
        <f t="shared" ca="1" si="30"/>
        <v>1.3843333333333332</v>
      </c>
      <c r="J77" s="132">
        <f t="shared" ca="1" si="30"/>
        <v>1.4083333333333332</v>
      </c>
      <c r="K77" s="132">
        <f t="shared" ca="1" si="30"/>
        <v>1.4083333333333332</v>
      </c>
      <c r="L77" s="132">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32"/>
      <c r="D93" s="132"/>
      <c r="E93" s="132"/>
      <c r="F93" s="132"/>
      <c r="G93" s="132"/>
      <c r="H93" s="132"/>
      <c r="I93" s="132"/>
      <c r="J93" s="132"/>
      <c r="K93" s="132"/>
      <c r="L93" s="132"/>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32"/>
      <c r="D101" s="132"/>
      <c r="E101" s="132"/>
      <c r="F101" s="132"/>
      <c r="G101" s="132"/>
      <c r="H101" s="132"/>
      <c r="I101" s="132"/>
      <c r="J101" s="132"/>
      <c r="K101" s="132"/>
      <c r="L101" s="132"/>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138</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35">
      <c r="A133" s="1" t="s">
        <v>281</v>
      </c>
      <c r="B133" s="1"/>
    </row>
    <row r="134" spans="1:14" x14ac:dyDescent="0.35">
      <c r="A134" s="32" t="s">
        <v>282</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4">IF(D$26&lt;&gt;"",0.2,"")</f>
        <v>0.2</v>
      </c>
      <c r="E139" s="136">
        <f t="shared" si="54"/>
        <v>0.2</v>
      </c>
      <c r="F139" s="136">
        <f t="shared" si="54"/>
        <v>0.2</v>
      </c>
      <c r="G139" s="136">
        <f t="shared" si="54"/>
        <v>0.2</v>
      </c>
      <c r="H139" s="136">
        <f t="shared" si="54"/>
        <v>0.2</v>
      </c>
      <c r="I139" s="136">
        <f t="shared" si="54"/>
        <v>0.2</v>
      </c>
      <c r="J139" s="136">
        <f t="shared" si="54"/>
        <v>0.2</v>
      </c>
      <c r="K139" s="136">
        <f t="shared" si="54"/>
        <v>0.2</v>
      </c>
      <c r="L139" s="136">
        <f t="shared" si="54"/>
        <v>0.2</v>
      </c>
    </row>
    <row r="140" spans="1:14" x14ac:dyDescent="0.3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81640625" customWidth="1"/>
  </cols>
  <sheetData>
    <row r="1" spans="7:36" ht="36" x14ac:dyDescent="0.8">
      <c r="G1" s="47" t="s">
        <v>39</v>
      </c>
      <c r="P1" s="187" t="s">
        <v>40</v>
      </c>
      <c r="Q1" s="187"/>
      <c r="R1" s="187"/>
      <c r="S1" s="187"/>
      <c r="T1" s="187"/>
      <c r="U1" s="187"/>
      <c r="V1" s="187"/>
      <c r="W1" s="187"/>
      <c r="X1" s="187"/>
      <c r="Y1" s="187"/>
      <c r="AA1" s="187" t="s">
        <v>208</v>
      </c>
      <c r="AB1" s="187"/>
      <c r="AC1" s="187"/>
      <c r="AD1" s="187"/>
      <c r="AE1" s="187"/>
      <c r="AF1" s="187"/>
      <c r="AG1" s="187"/>
      <c r="AH1" s="187"/>
      <c r="AI1" s="187"/>
      <c r="AJ1" s="187"/>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42" zoomScale="150" zoomScaleNormal="150" workbookViewId="0">
      <selection activeCell="K89" sqref="K89:K90"/>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181" t="s">
        <v>150</v>
      </c>
      <c r="B3" s="181"/>
      <c r="C3" s="181"/>
      <c r="D3" s="181"/>
      <c r="E3" s="181"/>
      <c r="F3" s="181"/>
      <c r="G3" s="181"/>
      <c r="H3" s="114"/>
      <c r="I3" s="114"/>
      <c r="J3" s="114"/>
      <c r="K3" s="114"/>
    </row>
    <row r="4" spans="1:13" x14ac:dyDescent="0.35">
      <c r="A4" s="53" t="s">
        <v>38</v>
      </c>
      <c r="B4" s="53" t="s">
        <v>42</v>
      </c>
      <c r="C4" s="182" t="s">
        <v>43</v>
      </c>
      <c r="D4" s="183"/>
      <c r="E4" s="183"/>
      <c r="F4" s="183"/>
      <c r="G4" s="184"/>
      <c r="M4" s="1" t="s">
        <v>307</v>
      </c>
    </row>
    <row r="5" spans="1:13" x14ac:dyDescent="0.35">
      <c r="A5" s="129" t="s">
        <v>39</v>
      </c>
      <c r="B5" s="129"/>
      <c r="C5" s="185" t="s">
        <v>215</v>
      </c>
      <c r="D5" s="186"/>
      <c r="E5" s="186"/>
      <c r="F5" s="186"/>
      <c r="G5" s="186"/>
      <c r="M5" t="s">
        <v>308</v>
      </c>
    </row>
    <row r="6" spans="1:13" x14ac:dyDescent="0.35">
      <c r="A6" s="129" t="s">
        <v>40</v>
      </c>
      <c r="B6" s="129"/>
      <c r="C6" s="185" t="s">
        <v>216</v>
      </c>
      <c r="D6" s="186"/>
      <c r="E6" s="186"/>
      <c r="F6" s="186"/>
      <c r="G6" s="186"/>
      <c r="M6" t="s">
        <v>313</v>
      </c>
    </row>
    <row r="7" spans="1:13" x14ac:dyDescent="0.35">
      <c r="A7" s="129" t="s">
        <v>41</v>
      </c>
      <c r="B7" s="129"/>
      <c r="C7" s="185" t="s">
        <v>151</v>
      </c>
      <c r="D7" s="186"/>
      <c r="E7" s="186"/>
      <c r="F7" s="186"/>
      <c r="G7" s="186"/>
      <c r="M7" t="s">
        <v>314</v>
      </c>
    </row>
    <row r="8" spans="1:13" x14ac:dyDescent="0.35">
      <c r="A8" s="113" t="s">
        <v>156</v>
      </c>
      <c r="B8" s="113"/>
      <c r="C8" s="180" t="s">
        <v>318</v>
      </c>
      <c r="D8" s="180"/>
      <c r="E8" s="180"/>
      <c r="F8" s="180"/>
      <c r="G8" s="180"/>
    </row>
    <row r="9" spans="1:13" x14ac:dyDescent="0.35">
      <c r="A9" s="133" t="s">
        <v>147</v>
      </c>
      <c r="B9" s="129"/>
      <c r="C9" s="186" t="s">
        <v>217</v>
      </c>
      <c r="D9" s="186"/>
      <c r="E9" s="186"/>
      <c r="F9" s="186"/>
      <c r="G9" s="186"/>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315</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3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5">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292</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34"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35">
      <c r="A49" t="str">
        <f t="shared" si="12"/>
        <v xml:space="preserve">    To Lower Basin</v>
      </c>
      <c r="B49" s="135">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35">
      <c r="A50" t="str">
        <f t="shared" si="12"/>
        <v xml:space="preserve">    To Mexico</v>
      </c>
      <c r="B50" s="135"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35">
      <c r="A51" t="str">
        <f t="shared" si="12"/>
        <v xml:space="preserve">    To Shared, Reserve</v>
      </c>
      <c r="B51" s="135"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35">
      <c r="A52" t="str">
        <f t="shared" si="12"/>
        <v xml:space="preserve">    To Colorado River Delta</v>
      </c>
      <c r="B52" s="144">
        <f>0.21/9*(2/3)</f>
        <v>1.5555555555555553E-2</v>
      </c>
      <c r="C52" s="145">
        <f>IF(OR(C$26="",$A52=""),"",IF(C$47&gt;$B52,$B52,C47-$B52))</f>
        <v>1.5555555555555553E-2</v>
      </c>
      <c r="D52" s="145">
        <f t="shared" ref="D52:L52" si="17">IF(OR(D$26="",$A52=""),"",IF(D$47&gt;$B52,$B52,D47-$B52))</f>
        <v>1.5555555555555553E-2</v>
      </c>
      <c r="E52" s="145">
        <f t="shared" si="17"/>
        <v>1.5555555555555553E-2</v>
      </c>
      <c r="F52" s="145">
        <f t="shared" si="17"/>
        <v>1.5555555555555553E-2</v>
      </c>
      <c r="G52" s="145">
        <f t="shared" si="17"/>
        <v>1.5555555555555553E-2</v>
      </c>
      <c r="H52" s="145">
        <f t="shared" si="17"/>
        <v>1.5555555555555553E-2</v>
      </c>
      <c r="I52" s="145">
        <f t="shared" si="17"/>
        <v>1.5555555555555553E-2</v>
      </c>
      <c r="J52" s="145">
        <f t="shared" si="17"/>
        <v>1.5555555555555553E-2</v>
      </c>
      <c r="K52" s="145">
        <f t="shared" si="17"/>
        <v>1.5555555555555553E-2</v>
      </c>
      <c r="L52" s="145">
        <f t="shared" si="17"/>
        <v>1.5555555555555553E-2</v>
      </c>
      <c r="M52" s="29"/>
      <c r="N52" s="29"/>
    </row>
    <row r="53" spans="1:14" x14ac:dyDescent="0.35">
      <c r="A53" t="str">
        <f t="shared" si="12"/>
        <v/>
      </c>
      <c r="B53" s="135"/>
      <c r="C53" s="109"/>
      <c r="D53" s="109"/>
      <c r="E53" s="109"/>
      <c r="F53" s="109"/>
      <c r="G53" s="109"/>
      <c r="H53" s="109"/>
      <c r="I53" s="109"/>
      <c r="J53" s="109"/>
      <c r="K53" s="109"/>
      <c r="L53" s="109"/>
      <c r="M53" s="29"/>
      <c r="N53" s="29"/>
    </row>
    <row r="54" spans="1:14" x14ac:dyDescent="0.35">
      <c r="C54" s="146"/>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20">IF(D60&gt;4.2,4.2,MAX(D60,0))</f>
        <v>4.2</v>
      </c>
      <c r="E61" s="132">
        <f t="shared" ca="1" si="20"/>
        <v>4.2</v>
      </c>
      <c r="F61" s="132">
        <f t="shared" ca="1" si="20"/>
        <v>4.2</v>
      </c>
      <c r="G61" s="132">
        <f t="shared" ca="1" si="20"/>
        <v>4.2</v>
      </c>
      <c r="H61" s="132">
        <f t="shared" ca="1" si="20"/>
        <v>4.2</v>
      </c>
      <c r="I61" s="132">
        <f t="shared" ca="1" si="20"/>
        <v>4.2</v>
      </c>
      <c r="J61" s="132">
        <f t="shared" ca="1" si="20"/>
        <v>4.2</v>
      </c>
      <c r="K61" s="132">
        <f t="shared" ca="1" si="20"/>
        <v>4.2</v>
      </c>
      <c r="L61" s="132">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v>0.02</v>
      </c>
      <c r="L65" s="130"/>
      <c r="M65" s="67">
        <f>SUM(C65:L65)</f>
        <v>0.02</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0"/>
      <c r="J66" s="130"/>
      <c r="K66" s="147">
        <v>7</v>
      </c>
      <c r="L66" s="130"/>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6.7926541774187301</v>
      </c>
      <c r="I69" s="132">
        <f ca="1">IF(I27&lt;&gt;"",MIN(7.5-VLOOKUP(I38,LowerBasinCuts!$C$5:$P$13,14),I68),"")</f>
        <v>6.3703582757240831</v>
      </c>
      <c r="J69" s="132">
        <f ca="1">IF(J27&lt;&gt;"",MIN(7.5-VLOOKUP(J38,LowerBasinCuts!$C$5:$P$13,14),J68),"")</f>
        <v>6.3862442939164978</v>
      </c>
      <c r="K69" s="132">
        <f ca="1">IF(K27&lt;&gt;"",MIN(7.5-VLOOKUP(K38,LowerBasinCuts!$C$5:$P$13,14),K68),"")</f>
        <v>6.3889662944951819</v>
      </c>
      <c r="L69" s="132">
        <f ca="1">IF(L27&lt;&gt;"",MIN(7.5-VLOOKUP(L38,LowerBasinCuts!$C$5:$P$13,14),L68),"")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1.6E-2</v>
      </c>
      <c r="F73" s="130"/>
      <c r="G73" s="130"/>
      <c r="H73" s="130">
        <v>1.6E-2</v>
      </c>
      <c r="I73" s="130"/>
      <c r="J73" s="130"/>
      <c r="K73" s="130">
        <v>1.6E-2</v>
      </c>
      <c r="L73" s="130"/>
      <c r="M73" s="67">
        <f>SUM(C73:L73)</f>
        <v>4.8000000000000001E-2</v>
      </c>
      <c r="N73" t="str">
        <f>IF(A73="","",N65)</f>
        <v>Add if multiple transactions, e.g.: 0.5 + 0.25</v>
      </c>
    </row>
    <row r="74" spans="1:14" x14ac:dyDescent="0.35">
      <c r="A74" s="32" t="str">
        <f>IF(A73="","","   Cash Intake(+) and Payments(-) [$ Mill]")</f>
        <v xml:space="preserve">   Cash Intake(+) and Payments(-) [$ Mill]</v>
      </c>
      <c r="C74" s="131"/>
      <c r="D74" s="131"/>
      <c r="E74" s="131">
        <v>5.6000000000000005</v>
      </c>
      <c r="F74" s="131"/>
      <c r="G74" s="131"/>
      <c r="H74" s="131">
        <v>5.6000000000000005</v>
      </c>
      <c r="I74" s="131"/>
      <c r="J74" s="131"/>
      <c r="K74" s="131">
        <v>5.6000000000000005</v>
      </c>
      <c r="L74" s="131"/>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29">MIN(D46,D76)</f>
        <v>1.4473333333333334</v>
      </c>
      <c r="E77" s="132">
        <f t="shared" ca="1" si="29"/>
        <v>1.4083333333333332</v>
      </c>
      <c r="F77" s="132">
        <f t="shared" ca="1" si="29"/>
        <v>1.4083333333333332</v>
      </c>
      <c r="G77" s="132">
        <f t="shared" ca="1" si="29"/>
        <v>1.4083333333333332</v>
      </c>
      <c r="H77" s="132">
        <f t="shared" ca="1" si="29"/>
        <v>1.4083333333333332</v>
      </c>
      <c r="I77" s="132">
        <f t="shared" ca="1" si="29"/>
        <v>1.3843333333333332</v>
      </c>
      <c r="J77" s="132">
        <f t="shared" ca="1" si="29"/>
        <v>1.4083333333333332</v>
      </c>
      <c r="K77" s="132">
        <f t="shared" ca="1" si="29"/>
        <v>1.4083333333333332</v>
      </c>
      <c r="L77" s="132">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39" t="str">
        <f>IF(A$9="","[Unused]",A9)</f>
        <v>Colorado River Delta</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xml:space="preserve">   Volume of Sales(+) and Purchases(-) [maf]</v>
      </c>
      <c r="C89" s="130"/>
      <c r="D89" s="130"/>
      <c r="E89" s="130">
        <f>-E73</f>
        <v>-1.6E-2</v>
      </c>
      <c r="F89" s="130"/>
      <c r="G89" s="130"/>
      <c r="H89" s="130">
        <f>-H73</f>
        <v>-1.6E-2</v>
      </c>
      <c r="I89" s="130"/>
      <c r="J89" s="130"/>
      <c r="K89" s="130">
        <f>-SUM(K73,K65)</f>
        <v>-3.6000000000000004E-2</v>
      </c>
      <c r="L89" s="130"/>
      <c r="M89" s="67">
        <f>SUM(C89:L89)</f>
        <v>-6.8000000000000005E-2</v>
      </c>
      <c r="N89" t="str">
        <f>IF(A89="","",N81)</f>
        <v>Add if multiple transactions, e.g.: 0.5 + 0.25</v>
      </c>
    </row>
    <row r="90" spans="1:14" x14ac:dyDescent="0.35">
      <c r="A90" s="32" t="str">
        <f>IF(A89="","","   Cash Intake(+) and Payments(-) [$ Mill]")</f>
        <v xml:space="preserve">   Cash Intake(+) and Payments(-) [$ Mill]</v>
      </c>
      <c r="C90" s="131"/>
      <c r="D90" s="131"/>
      <c r="E90" s="131">
        <f>-E74</f>
        <v>-5.6000000000000005</v>
      </c>
      <c r="F90" s="131"/>
      <c r="G90" s="131"/>
      <c r="H90" s="131">
        <f>-H74</f>
        <v>-5.6000000000000005</v>
      </c>
      <c r="I90" s="131"/>
      <c r="J90" s="131"/>
      <c r="K90" s="130">
        <f>-SUM(K74,K66)</f>
        <v>-12.600000000000001</v>
      </c>
      <c r="L90" s="131"/>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32"/>
      <c r="D93" s="132"/>
      <c r="E93" s="132"/>
      <c r="F93" s="132"/>
      <c r="G93" s="132"/>
      <c r="H93" s="132"/>
      <c r="I93" s="132"/>
      <c r="J93" s="132"/>
      <c r="K93" s="132"/>
      <c r="L93" s="132"/>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32"/>
      <c r="D101" s="132"/>
      <c r="E101" s="132"/>
      <c r="F101" s="132"/>
      <c r="G101" s="132"/>
      <c r="H101" s="132"/>
      <c r="I101" s="132"/>
      <c r="J101" s="132"/>
      <c r="K101" s="132"/>
      <c r="L101" s="132"/>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138</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281</v>
      </c>
      <c r="B133" s="1"/>
    </row>
    <row r="134" spans="1:14" x14ac:dyDescent="0.35">
      <c r="A134" s="32" t="s">
        <v>282</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3">IF(D$26&lt;&gt;"",0.2,"")</f>
        <v>0.2</v>
      </c>
      <c r="E139" s="136">
        <f t="shared" si="53"/>
        <v>0.2</v>
      </c>
      <c r="F139" s="136">
        <f t="shared" si="53"/>
        <v>0.2</v>
      </c>
      <c r="G139" s="136">
        <f t="shared" si="53"/>
        <v>0.2</v>
      </c>
      <c r="H139" s="136">
        <f t="shared" si="53"/>
        <v>0.2</v>
      </c>
      <c r="I139" s="136">
        <f t="shared" si="53"/>
        <v>0.2</v>
      </c>
      <c r="J139" s="136">
        <f t="shared" si="53"/>
        <v>0.2</v>
      </c>
      <c r="K139" s="136">
        <f t="shared" si="53"/>
        <v>0.2</v>
      </c>
      <c r="L139" s="136">
        <f t="shared" si="53"/>
        <v>0.2</v>
      </c>
    </row>
    <row r="140" spans="1:14" x14ac:dyDescent="0.3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I10" sqref="I10"/>
    </sheetView>
  </sheetViews>
  <sheetFormatPr defaultRowHeight="14.5" x14ac:dyDescent="0.35"/>
  <cols>
    <col min="1" max="1" width="7.54296875" customWidth="1"/>
    <col min="2" max="3" width="9.1796875" customWidth="1"/>
    <col min="4" max="4" width="8.54296875" style="2" customWidth="1"/>
    <col min="5" max="5" width="9" style="2" customWidth="1"/>
    <col min="6" max="6" width="8.7265625" style="2" customWidth="1"/>
    <col min="7" max="7" width="8.81640625" style="2" customWidth="1"/>
    <col min="8" max="8" width="8.7265625" style="2" customWidth="1"/>
    <col min="9" max="9" width="8.5429687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1796875" customWidth="1"/>
    <col min="16" max="16" width="8.81640625" customWidth="1"/>
  </cols>
  <sheetData>
    <row r="1" spans="1:16" x14ac:dyDescent="0.35">
      <c r="A1" s="1" t="s">
        <v>236</v>
      </c>
    </row>
    <row r="3" spans="1:16" s="1" customFormat="1" x14ac:dyDescent="0.35">
      <c r="D3" s="188" t="s">
        <v>237</v>
      </c>
      <c r="E3" s="188"/>
      <c r="F3" s="188" t="s">
        <v>238</v>
      </c>
      <c r="G3" s="188"/>
      <c r="H3" s="188"/>
      <c r="I3" s="188" t="s">
        <v>239</v>
      </c>
      <c r="J3" s="188"/>
      <c r="K3" s="188"/>
      <c r="M3" s="188" t="s">
        <v>41</v>
      </c>
      <c r="N3" s="188"/>
      <c r="O3" s="188"/>
    </row>
    <row r="4" spans="1:16" s="71" customFormat="1" ht="42.65" customHeight="1" x14ac:dyDescent="0.35">
      <c r="A4" s="70" t="s">
        <v>127</v>
      </c>
      <c r="B4" s="70" t="s">
        <v>128</v>
      </c>
      <c r="C4" s="70" t="s">
        <v>248</v>
      </c>
      <c r="D4" s="70" t="s">
        <v>240</v>
      </c>
      <c r="E4" s="70" t="s">
        <v>241</v>
      </c>
      <c r="F4" s="70" t="s">
        <v>240</v>
      </c>
      <c r="G4" s="70" t="s">
        <v>241</v>
      </c>
      <c r="H4" s="70" t="s">
        <v>242</v>
      </c>
      <c r="I4" s="70" t="s">
        <v>240</v>
      </c>
      <c r="J4" s="70" t="s">
        <v>241</v>
      </c>
      <c r="K4" s="70" t="s">
        <v>242</v>
      </c>
      <c r="L4" s="70" t="s">
        <v>246</v>
      </c>
      <c r="M4" s="70" t="s">
        <v>244</v>
      </c>
      <c r="N4" s="70" t="s">
        <v>245</v>
      </c>
      <c r="O4" s="70" t="s">
        <v>243</v>
      </c>
      <c r="P4" s="70" t="s">
        <v>131</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7"/>
    </row>
    <row r="15" spans="1:16" x14ac:dyDescent="0.35">
      <c r="B15" s="75"/>
      <c r="C15" s="76"/>
    </row>
    <row r="16" spans="1:16" x14ac:dyDescent="0.35">
      <c r="A16" t="s">
        <v>247</v>
      </c>
    </row>
    <row r="17" spans="1:16" x14ac:dyDescent="0.35">
      <c r="A17" s="72">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35">
      <c r="A26" s="38">
        <v>955</v>
      </c>
    </row>
    <row r="29" spans="1:16" x14ac:dyDescent="0.35">
      <c r="A29" s="39"/>
      <c r="I29" s="9"/>
      <c r="L29" s="30"/>
      <c r="O29" s="2"/>
      <c r="P29" s="73"/>
    </row>
    <row r="30" spans="1:16" x14ac:dyDescent="0.35">
      <c r="A30" s="39"/>
      <c r="I30" s="9"/>
      <c r="L30" s="30"/>
      <c r="O30" s="2"/>
      <c r="P30" s="73"/>
    </row>
    <row r="31" spans="1:16" x14ac:dyDescent="0.35">
      <c r="A31" s="39"/>
      <c r="I31" s="9"/>
      <c r="L31" s="30"/>
      <c r="O31" s="2"/>
      <c r="P31" s="73"/>
    </row>
    <row r="32" spans="1:16" x14ac:dyDescent="0.35">
      <c r="A32" s="39"/>
      <c r="I32" s="9"/>
      <c r="L32" s="30"/>
      <c r="O32" s="2"/>
      <c r="P32" s="73"/>
    </row>
    <row r="33" spans="1:16" x14ac:dyDescent="0.35">
      <c r="A33" s="39"/>
      <c r="I33" s="9"/>
      <c r="L33" s="30"/>
      <c r="O33" s="2"/>
      <c r="P33" s="73"/>
    </row>
    <row r="34" spans="1:16" x14ac:dyDescent="0.35">
      <c r="A34" s="39"/>
      <c r="I34" s="9"/>
      <c r="L34" s="30"/>
      <c r="O34" s="2"/>
      <c r="P34" s="73"/>
    </row>
    <row r="35" spans="1:16" x14ac:dyDescent="0.35">
      <c r="A35" s="39"/>
      <c r="I35" s="9"/>
      <c r="L35" s="30"/>
      <c r="O35" s="2"/>
      <c r="P35" s="73"/>
    </row>
    <row r="36" spans="1:16" x14ac:dyDescent="0.3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F15"/>
  <sheetViews>
    <sheetView topLeftCell="A6" zoomScale="170" zoomScaleNormal="170" workbookViewId="0">
      <selection activeCell="F12" sqref="F12"/>
    </sheetView>
  </sheetViews>
  <sheetFormatPr defaultRowHeight="14.5" x14ac:dyDescent="0.35"/>
  <cols>
    <col min="1" max="1" width="10.81640625" style="85" customWidth="1"/>
    <col min="2" max="2" width="12.7265625" style="85" customWidth="1"/>
    <col min="3" max="3" width="9.453125" style="85" customWidth="1"/>
    <col min="4" max="4" width="46.26953125" style="85" customWidth="1"/>
    <col min="5" max="5" width="14.453125" style="123" customWidth="1"/>
    <col min="6" max="6" width="10.54296875" style="2" customWidth="1"/>
  </cols>
  <sheetData>
    <row r="1" spans="1:6" x14ac:dyDescent="0.35">
      <c r="A1" s="84" t="s">
        <v>270</v>
      </c>
    </row>
    <row r="2" spans="1:6" x14ac:dyDescent="0.35">
      <c r="A2" s="85" t="s">
        <v>271</v>
      </c>
    </row>
    <row r="4" spans="1:6" s="78" customFormat="1" ht="43.5" x14ac:dyDescent="0.35">
      <c r="A4" s="56" t="s">
        <v>272</v>
      </c>
      <c r="B4" s="56" t="s">
        <v>277</v>
      </c>
      <c r="C4" s="56" t="s">
        <v>278</v>
      </c>
      <c r="D4" s="57" t="s">
        <v>273</v>
      </c>
      <c r="E4" s="56" t="s">
        <v>298</v>
      </c>
      <c r="F4" s="118" t="s">
        <v>299</v>
      </c>
    </row>
    <row r="5" spans="1:6" s="78" customFormat="1" ht="58" x14ac:dyDescent="0.35">
      <c r="A5" s="90">
        <f>'Powell-Elevation-Area'!A5</f>
        <v>3370</v>
      </c>
      <c r="B5" s="106" t="s">
        <v>286</v>
      </c>
      <c r="C5" s="91" t="s">
        <v>280</v>
      </c>
      <c r="D5" s="92" t="str">
        <f>D7</f>
        <v>Highest uncertainty for native fish. Also represent a substantial risk to the tailwater trout fishery, as sustained temperatures of 19oC or higher are unsuitable for trout.</v>
      </c>
      <c r="E5" s="124" t="s">
        <v>301</v>
      </c>
      <c r="F5" s="119" t="s">
        <v>300</v>
      </c>
    </row>
    <row r="6" spans="1:6" s="78" customFormat="1" ht="58" x14ac:dyDescent="0.35">
      <c r="A6" s="87">
        <v>3425</v>
      </c>
      <c r="B6" s="88" t="str">
        <f>B7</f>
        <v>&gt; 18</v>
      </c>
      <c r="C6" s="88" t="s">
        <v>280</v>
      </c>
      <c r="D6" s="89" t="str">
        <f>D7</f>
        <v>Highest uncertainty for native fish. Also represent a substantial risk to the tailwater trout fishery, as sustained temperatures of 19oC or higher are unsuitable for trout.</v>
      </c>
      <c r="E6" s="124" t="str">
        <f>E5</f>
        <v>Highly uncertain</v>
      </c>
      <c r="F6" s="119" t="s">
        <v>300</v>
      </c>
    </row>
    <row r="7" spans="1:6" s="78" customFormat="1" ht="58" x14ac:dyDescent="0.35">
      <c r="A7" s="93">
        <v>3490</v>
      </c>
      <c r="B7" s="94" t="s">
        <v>286</v>
      </c>
      <c r="C7" s="94" t="s">
        <v>279</v>
      </c>
      <c r="D7" s="95" t="s">
        <v>276</v>
      </c>
      <c r="E7" s="125" t="str">
        <f>E6</f>
        <v>Highly uncertain</v>
      </c>
      <c r="F7" s="119" t="s">
        <v>300</v>
      </c>
    </row>
    <row r="8" spans="1:6" ht="72.5" x14ac:dyDescent="0.35">
      <c r="A8" s="96">
        <v>3525</v>
      </c>
      <c r="B8" s="97" t="s">
        <v>285</v>
      </c>
      <c r="C8" s="97" t="s">
        <v>279</v>
      </c>
      <c r="D8" s="98" t="s">
        <v>275</v>
      </c>
      <c r="E8" s="126" t="s">
        <v>302</v>
      </c>
      <c r="F8" s="120" t="s">
        <v>305</v>
      </c>
    </row>
    <row r="9" spans="1:6" ht="43.5" x14ac:dyDescent="0.35">
      <c r="A9" s="99">
        <v>3600</v>
      </c>
      <c r="B9" s="100" t="s">
        <v>284</v>
      </c>
      <c r="C9" s="100" t="s">
        <v>279</v>
      </c>
      <c r="D9" s="101" t="s">
        <v>294</v>
      </c>
      <c r="E9" s="127" t="s">
        <v>295</v>
      </c>
      <c r="F9" s="121" t="str">
        <f>F8</f>
        <v>Help grow + incubate</v>
      </c>
    </row>
    <row r="10" spans="1:6" ht="101.5" x14ac:dyDescent="0.35">
      <c r="A10" s="102">
        <v>3675</v>
      </c>
      <c r="B10" s="103" t="s">
        <v>283</v>
      </c>
      <c r="C10" s="103" t="s">
        <v>279</v>
      </c>
      <c r="D10" s="104" t="s">
        <v>274</v>
      </c>
      <c r="E10" s="128" t="s">
        <v>304</v>
      </c>
      <c r="F10" s="122" t="s">
        <v>306</v>
      </c>
    </row>
    <row r="11" spans="1:6" ht="101.5" x14ac:dyDescent="0.35">
      <c r="A11" s="102">
        <v>3700</v>
      </c>
      <c r="B11" s="103" t="str">
        <f>B10</f>
        <v>&lt; 12</v>
      </c>
      <c r="C11" s="103" t="s">
        <v>279</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8" t="str">
        <f>E10</f>
        <v>Help grow, reproduce, and survive</v>
      </c>
      <c r="F11" s="122" t="s">
        <v>306</v>
      </c>
    </row>
    <row r="13" spans="1:6" ht="16.5" x14ac:dyDescent="0.35">
      <c r="D13" s="86"/>
    </row>
    <row r="14" spans="1:6" ht="16.5" x14ac:dyDescent="0.35">
      <c r="D14" s="86"/>
    </row>
    <row r="15" spans="1:6" ht="16.5" x14ac:dyDescent="0.35">
      <c r="D15" s="86"/>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587" zoomScale="160" zoomScaleNormal="160" workbookViewId="0">
      <selection activeCell="B587" sqref="B58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119</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107</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189"/>
      <c r="D5" s="189"/>
      <c r="E5" s="189"/>
      <c r="F5" s="189"/>
      <c r="G5" s="189"/>
      <c r="H5" s="189"/>
    </row>
    <row r="6" spans="1:11" x14ac:dyDescent="0.35">
      <c r="A6" s="16" t="s">
        <v>39</v>
      </c>
      <c r="B6" s="46"/>
      <c r="C6" s="189"/>
      <c r="D6" s="189"/>
      <c r="E6" s="189"/>
      <c r="F6" s="189"/>
      <c r="G6" s="189"/>
      <c r="H6" s="189"/>
    </row>
    <row r="7" spans="1:11" x14ac:dyDescent="0.35">
      <c r="A7" s="16" t="s">
        <v>40</v>
      </c>
      <c r="B7" s="46"/>
      <c r="C7" s="189"/>
      <c r="D7" s="189"/>
      <c r="E7" s="189"/>
      <c r="F7" s="189"/>
      <c r="G7" s="189"/>
      <c r="H7" s="189"/>
    </row>
    <row r="8" spans="1:11" x14ac:dyDescent="0.35">
      <c r="A8" s="16" t="s">
        <v>41</v>
      </c>
      <c r="B8" s="46"/>
      <c r="C8" s="189"/>
      <c r="D8" s="189"/>
      <c r="E8" s="189"/>
      <c r="F8" s="189"/>
      <c r="G8" s="189"/>
      <c r="H8" s="189"/>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109</v>
      </c>
      <c r="C17" s="13" t="s">
        <v>110</v>
      </c>
    </row>
    <row r="18" spans="1:13" x14ac:dyDescent="0.35">
      <c r="A18" t="s">
        <v>108</v>
      </c>
      <c r="B18" s="12">
        <v>5.73</v>
      </c>
      <c r="C18" s="12">
        <v>6</v>
      </c>
      <c r="D18" s="23" t="s">
        <v>139</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114</v>
      </c>
      <c r="C28"/>
    </row>
    <row r="29" spans="1:13" hidden="1" x14ac:dyDescent="0.3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103</v>
      </c>
      <c r="C39"/>
    </row>
    <row r="40" spans="1:13" x14ac:dyDescent="0.35">
      <c r="A40" s="32" t="s">
        <v>101</v>
      </c>
      <c r="B40" s="1"/>
      <c r="C40" s="25"/>
      <c r="D40" s="25"/>
      <c r="E40" s="25"/>
      <c r="F40" s="25"/>
      <c r="G40" s="25"/>
      <c r="H40" s="25"/>
      <c r="I40" s="25"/>
      <c r="J40" s="25"/>
      <c r="K40" s="25"/>
      <c r="L40" s="25"/>
    </row>
    <row r="41" spans="1:13" x14ac:dyDescent="0.35">
      <c r="A41" s="32" t="s">
        <v>102</v>
      </c>
      <c r="B41" s="1"/>
      <c r="C41" s="31"/>
      <c r="D41" s="31"/>
      <c r="E41" s="31"/>
      <c r="F41" s="31"/>
      <c r="G41" s="31"/>
      <c r="H41" s="31"/>
      <c r="I41" s="31"/>
      <c r="J41" s="31"/>
      <c r="K41" s="31"/>
      <c r="L41" s="31"/>
      <c r="M41" s="33">
        <f>SUM(C41:L41)</f>
        <v>0</v>
      </c>
    </row>
    <row r="42" spans="1:13" hidden="1" x14ac:dyDescent="0.35">
      <c r="A42" s="32" t="s">
        <v>104</v>
      </c>
      <c r="B42" s="1"/>
      <c r="C42" s="25"/>
      <c r="D42" s="25"/>
      <c r="E42" s="25"/>
      <c r="F42" s="25"/>
      <c r="G42" s="25"/>
      <c r="H42" s="25"/>
      <c r="I42" s="25"/>
      <c r="J42" s="25"/>
      <c r="K42" s="25"/>
      <c r="L42" s="25"/>
      <c r="M42" s="34"/>
    </row>
    <row r="43" spans="1:13" hidden="1" x14ac:dyDescent="0.35">
      <c r="A43" s="32" t="s">
        <v>105</v>
      </c>
      <c r="B43" s="1"/>
      <c r="C43" s="31"/>
      <c r="D43" s="31"/>
      <c r="E43" s="31"/>
      <c r="F43" s="31"/>
      <c r="G43" s="31"/>
      <c r="H43" s="31"/>
      <c r="I43" s="31"/>
      <c r="J43" s="31"/>
      <c r="K43" s="31"/>
      <c r="L43" s="31"/>
      <c r="M43" s="33">
        <f>SUM(C43:L43)</f>
        <v>0</v>
      </c>
    </row>
    <row r="44" spans="1:13" x14ac:dyDescent="0.35">
      <c r="A44" s="1" t="s">
        <v>121</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133</v>
      </c>
      <c r="B48" s="1"/>
      <c r="C48" s="29"/>
      <c r="D48" s="2"/>
      <c r="E48" s="2"/>
      <c r="F48" s="2"/>
      <c r="G48" s="2"/>
      <c r="H48" s="2"/>
      <c r="I48" s="2"/>
      <c r="J48" s="2"/>
      <c r="K48" s="2"/>
      <c r="L48" s="2"/>
    </row>
    <row r="49" spans="1:18" x14ac:dyDescent="0.3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3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3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7"/>
  <sheetViews>
    <sheetView topLeftCell="A4" zoomScale="150" zoomScaleNormal="150" workbookViewId="0">
      <selection activeCell="C5" sqref="C5"/>
    </sheetView>
  </sheetViews>
  <sheetFormatPr defaultRowHeight="14.5" x14ac:dyDescent="0.35"/>
  <cols>
    <col min="1" max="1" width="8.7265625" style="59"/>
    <col min="2" max="2" width="12.54296875" style="59" customWidth="1"/>
    <col min="3" max="3" width="29.81640625" style="58" customWidth="1"/>
    <col min="4" max="4" width="12.453125" style="61" customWidth="1"/>
    <col min="5" max="5" width="15.1796875" style="61" customWidth="1"/>
    <col min="6" max="6" width="10.54296875" style="59" customWidth="1"/>
    <col min="8" max="8" width="32.453125" style="79" customWidth="1"/>
    <col min="9" max="9" width="12.453125" style="79" customWidth="1"/>
    <col min="10" max="10" width="10.26953125" style="155" customWidth="1"/>
  </cols>
  <sheetData>
    <row r="1" spans="1:10" s="55" customFormat="1" ht="30.65" customHeight="1" x14ac:dyDescent="0.35">
      <c r="A1" s="56" t="s">
        <v>177</v>
      </c>
      <c r="B1" s="56" t="s">
        <v>158</v>
      </c>
      <c r="C1" s="57" t="s">
        <v>159</v>
      </c>
      <c r="D1" s="56" t="s">
        <v>161</v>
      </c>
      <c r="E1" s="56" t="s">
        <v>160</v>
      </c>
      <c r="F1" s="56" t="s">
        <v>162</v>
      </c>
      <c r="H1" s="152" t="s">
        <v>228</v>
      </c>
      <c r="I1" s="152" t="s">
        <v>160</v>
      </c>
      <c r="J1" s="153" t="s">
        <v>162</v>
      </c>
    </row>
    <row r="2" spans="1:10" x14ac:dyDescent="0.35">
      <c r="A2" s="80"/>
      <c r="B2" s="82"/>
      <c r="C2" s="81"/>
      <c r="D2" s="80"/>
      <c r="E2" s="80"/>
      <c r="F2" s="82"/>
      <c r="H2" s="58"/>
      <c r="I2" s="58"/>
      <c r="J2" s="59"/>
    </row>
    <row r="3" spans="1:10" ht="58" x14ac:dyDescent="0.35">
      <c r="A3" s="80">
        <v>3.5</v>
      </c>
      <c r="B3" s="82">
        <v>44432</v>
      </c>
      <c r="C3" s="81" t="s">
        <v>362</v>
      </c>
      <c r="D3" s="80" t="s">
        <v>152</v>
      </c>
      <c r="E3" s="80" t="s">
        <v>152</v>
      </c>
      <c r="F3" s="82">
        <v>44424</v>
      </c>
      <c r="H3" s="58" t="s">
        <v>346</v>
      </c>
      <c r="I3" s="58" t="s">
        <v>152</v>
      </c>
      <c r="J3" s="60">
        <v>44432</v>
      </c>
    </row>
    <row r="4" spans="1:10" ht="98.5" customHeight="1" x14ac:dyDescent="0.35">
      <c r="A4" s="80">
        <v>3.5</v>
      </c>
      <c r="B4" s="82">
        <v>44432</v>
      </c>
      <c r="C4" s="81" t="s">
        <v>372</v>
      </c>
      <c r="D4" s="80" t="s">
        <v>152</v>
      </c>
      <c r="E4" s="80" t="s">
        <v>355</v>
      </c>
      <c r="F4" s="82">
        <v>44424</v>
      </c>
      <c r="H4" s="58" t="s">
        <v>229</v>
      </c>
      <c r="I4" s="58" t="s">
        <v>152</v>
      </c>
      <c r="J4" s="59"/>
    </row>
    <row r="5" spans="1:10" ht="71.150000000000006" customHeight="1" x14ac:dyDescent="0.35">
      <c r="A5" s="80">
        <v>3.5</v>
      </c>
      <c r="B5" s="82">
        <v>44432</v>
      </c>
      <c r="C5" s="81" t="s">
        <v>356</v>
      </c>
      <c r="D5" s="80" t="s">
        <v>152</v>
      </c>
      <c r="E5" s="80"/>
      <c r="F5" s="82"/>
      <c r="H5" s="58" t="s">
        <v>263</v>
      </c>
      <c r="I5" s="58" t="s">
        <v>256</v>
      </c>
      <c r="J5" s="60">
        <v>44385</v>
      </c>
    </row>
    <row r="6" spans="1:10" ht="43.5" x14ac:dyDescent="0.35">
      <c r="A6" s="80" t="s">
        <v>334</v>
      </c>
      <c r="B6" s="82">
        <v>44423</v>
      </c>
      <c r="C6" s="81" t="s">
        <v>335</v>
      </c>
      <c r="D6" s="80" t="s">
        <v>152</v>
      </c>
      <c r="E6" s="80" t="s">
        <v>152</v>
      </c>
      <c r="F6" s="82"/>
      <c r="H6" s="58" t="s">
        <v>259</v>
      </c>
      <c r="I6" s="154" t="s">
        <v>328</v>
      </c>
      <c r="J6" s="60">
        <v>44391</v>
      </c>
    </row>
    <row r="7" spans="1:10" ht="43.5" x14ac:dyDescent="0.35">
      <c r="A7" s="80" t="s">
        <v>327</v>
      </c>
      <c r="B7" s="82">
        <v>44405</v>
      </c>
      <c r="C7" s="58" t="s">
        <v>329</v>
      </c>
      <c r="D7" s="80" t="s">
        <v>152</v>
      </c>
      <c r="E7" s="80" t="s">
        <v>328</v>
      </c>
      <c r="F7" s="82">
        <v>44405</v>
      </c>
      <c r="H7" s="58" t="s">
        <v>260</v>
      </c>
      <c r="I7" s="154" t="s">
        <v>328</v>
      </c>
      <c r="J7" s="60">
        <v>44391</v>
      </c>
    </row>
    <row r="8" spans="1:10" ht="29" x14ac:dyDescent="0.35">
      <c r="A8" s="80" t="s">
        <v>325</v>
      </c>
      <c r="B8" s="82">
        <v>44405</v>
      </c>
      <c r="C8" s="81" t="s">
        <v>326</v>
      </c>
      <c r="D8" s="80" t="s">
        <v>152</v>
      </c>
      <c r="E8" s="80" t="s">
        <v>152</v>
      </c>
      <c r="F8" s="82">
        <v>44405</v>
      </c>
      <c r="H8" s="58" t="s">
        <v>345</v>
      </c>
      <c r="I8" s="154" t="s">
        <v>328</v>
      </c>
      <c r="J8" s="60">
        <v>44391</v>
      </c>
    </row>
    <row r="9" spans="1:10" ht="72.5" x14ac:dyDescent="0.35">
      <c r="A9" s="80" t="s">
        <v>293</v>
      </c>
      <c r="B9" s="82">
        <v>44405</v>
      </c>
      <c r="C9" s="81" t="s">
        <v>324</v>
      </c>
      <c r="D9" s="80" t="s">
        <v>152</v>
      </c>
      <c r="E9" s="80" t="s">
        <v>328</v>
      </c>
      <c r="F9" s="82">
        <v>44391</v>
      </c>
      <c r="H9" s="58" t="s">
        <v>261</v>
      </c>
      <c r="I9" s="154" t="s">
        <v>328</v>
      </c>
      <c r="J9" s="60">
        <v>44391</v>
      </c>
    </row>
    <row r="10" spans="1:10" ht="43.5" x14ac:dyDescent="0.35">
      <c r="A10" s="80" t="s">
        <v>288</v>
      </c>
      <c r="B10" s="80" t="s">
        <v>289</v>
      </c>
      <c r="C10" s="58" t="s">
        <v>290</v>
      </c>
      <c r="D10" s="80" t="s">
        <v>152</v>
      </c>
      <c r="E10" s="80" t="s">
        <v>328</v>
      </c>
      <c r="F10" s="82">
        <v>44391</v>
      </c>
      <c r="H10" s="58" t="s">
        <v>262</v>
      </c>
      <c r="I10" s="154" t="s">
        <v>328</v>
      </c>
      <c r="J10" s="60">
        <v>44391</v>
      </c>
    </row>
    <row r="11" spans="1:10" ht="29" x14ac:dyDescent="0.35">
      <c r="A11" s="80" t="s">
        <v>288</v>
      </c>
      <c r="B11" s="80" t="s">
        <v>289</v>
      </c>
      <c r="C11" s="58" t="s">
        <v>258</v>
      </c>
      <c r="D11" s="80" t="s">
        <v>152</v>
      </c>
      <c r="E11" s="80" t="s">
        <v>328</v>
      </c>
      <c r="F11" s="82">
        <v>44391</v>
      </c>
      <c r="H11" s="58"/>
      <c r="I11" s="58"/>
      <c r="J11" s="59"/>
    </row>
    <row r="12" spans="1:10" ht="101.5" x14ac:dyDescent="0.35">
      <c r="A12" s="80" t="s">
        <v>266</v>
      </c>
      <c r="B12" s="82">
        <v>44403</v>
      </c>
      <c r="C12" s="81" t="s">
        <v>267</v>
      </c>
      <c r="D12" s="80" t="s">
        <v>152</v>
      </c>
      <c r="E12" s="80" t="s">
        <v>328</v>
      </c>
      <c r="F12" s="82">
        <v>44391</v>
      </c>
      <c r="H12" s="58"/>
      <c r="I12" s="58"/>
      <c r="J12" s="59"/>
    </row>
    <row r="13" spans="1:10" ht="58" x14ac:dyDescent="0.35">
      <c r="A13" s="59" t="s">
        <v>251</v>
      </c>
      <c r="B13" s="60">
        <v>44389</v>
      </c>
      <c r="C13" s="58" t="s">
        <v>252</v>
      </c>
      <c r="D13" s="61" t="s">
        <v>152</v>
      </c>
      <c r="E13" s="61" t="s">
        <v>152</v>
      </c>
      <c r="F13" s="60">
        <v>44389</v>
      </c>
      <c r="H13" s="58"/>
      <c r="I13" s="58"/>
      <c r="J13" s="59"/>
    </row>
    <row r="14" spans="1:10" ht="29" x14ac:dyDescent="0.35">
      <c r="A14" s="59" t="s">
        <v>249</v>
      </c>
      <c r="B14" s="60">
        <v>44389</v>
      </c>
      <c r="C14" s="58" t="s">
        <v>250</v>
      </c>
      <c r="D14" s="61" t="s">
        <v>152</v>
      </c>
      <c r="E14" s="61" t="s">
        <v>256</v>
      </c>
      <c r="F14" s="60">
        <v>44385</v>
      </c>
      <c r="H14" s="58"/>
      <c r="I14" s="58"/>
      <c r="J14" s="59"/>
    </row>
    <row r="15" spans="1:10" ht="58" x14ac:dyDescent="0.35">
      <c r="A15" s="59" t="s">
        <v>224</v>
      </c>
      <c r="B15" s="60">
        <v>44385</v>
      </c>
      <c r="C15" s="58" t="s">
        <v>225</v>
      </c>
      <c r="D15" s="61" t="s">
        <v>152</v>
      </c>
      <c r="E15" s="61" t="s">
        <v>152</v>
      </c>
      <c r="F15" s="60">
        <f>B15</f>
        <v>44385</v>
      </c>
    </row>
    <row r="16" spans="1:10" ht="29" x14ac:dyDescent="0.35">
      <c r="A16" s="59" t="s">
        <v>206</v>
      </c>
      <c r="B16" s="60">
        <v>44384</v>
      </c>
      <c r="C16" s="58" t="s">
        <v>226</v>
      </c>
      <c r="D16" s="61" t="s">
        <v>152</v>
      </c>
      <c r="E16" s="61" t="s">
        <v>152</v>
      </c>
      <c r="F16" s="60">
        <v>44384</v>
      </c>
    </row>
    <row r="17" spans="1:6" ht="43.5" x14ac:dyDescent="0.35">
      <c r="A17" s="59" t="s">
        <v>198</v>
      </c>
      <c r="B17" s="60">
        <v>44384</v>
      </c>
      <c r="C17" s="58" t="s">
        <v>227</v>
      </c>
      <c r="D17" s="61" t="s">
        <v>152</v>
      </c>
      <c r="E17" s="61" t="s">
        <v>152</v>
      </c>
      <c r="F17" s="60">
        <v>44384</v>
      </c>
    </row>
    <row r="18" spans="1:6" ht="43.5" x14ac:dyDescent="0.35">
      <c r="A18" s="59" t="s">
        <v>189</v>
      </c>
      <c r="B18" s="60">
        <v>44378</v>
      </c>
      <c r="C18" s="58" t="s">
        <v>190</v>
      </c>
      <c r="D18" s="61" t="s">
        <v>152</v>
      </c>
      <c r="E18" s="61" t="s">
        <v>152</v>
      </c>
      <c r="F18" s="60">
        <v>44378</v>
      </c>
    </row>
    <row r="19" spans="1:6" x14ac:dyDescent="0.35">
      <c r="A19" s="59" t="s">
        <v>187</v>
      </c>
      <c r="B19" s="60">
        <v>44377</v>
      </c>
      <c r="C19" s="58" t="s">
        <v>191</v>
      </c>
      <c r="D19" s="61" t="s">
        <v>152</v>
      </c>
      <c r="E19" s="61" t="s">
        <v>152</v>
      </c>
      <c r="F19" s="60">
        <v>44377</v>
      </c>
    </row>
    <row r="20" spans="1:6" ht="72.5" x14ac:dyDescent="0.35">
      <c r="A20" s="59" t="s">
        <v>185</v>
      </c>
      <c r="B20" s="60">
        <v>44377</v>
      </c>
      <c r="C20" s="58" t="s">
        <v>186</v>
      </c>
      <c r="D20" s="61" t="s">
        <v>152</v>
      </c>
      <c r="E20" s="61" t="s">
        <v>257</v>
      </c>
      <c r="F20" s="60">
        <v>44372</v>
      </c>
    </row>
    <row r="21" spans="1:6" ht="43.5" x14ac:dyDescent="0.35">
      <c r="A21" s="59">
        <v>3.3</v>
      </c>
      <c r="B21" s="60">
        <v>44377</v>
      </c>
      <c r="C21" s="58" t="s">
        <v>179</v>
      </c>
      <c r="D21" s="61" t="s">
        <v>152</v>
      </c>
      <c r="E21" s="61" t="s">
        <v>257</v>
      </c>
      <c r="F21" s="60">
        <v>44372</v>
      </c>
    </row>
    <row r="22" spans="1:6" ht="29" x14ac:dyDescent="0.35">
      <c r="A22" s="59" t="s">
        <v>178</v>
      </c>
      <c r="B22" s="60">
        <v>44377</v>
      </c>
      <c r="C22" s="58" t="s">
        <v>163</v>
      </c>
      <c r="D22" s="61" t="s">
        <v>152</v>
      </c>
      <c r="E22" s="61" t="s">
        <v>152</v>
      </c>
      <c r="F22" s="60">
        <v>44377</v>
      </c>
    </row>
    <row r="23" spans="1:6" ht="116" x14ac:dyDescent="0.35">
      <c r="A23" s="59">
        <v>3.2</v>
      </c>
      <c r="B23" s="60">
        <v>44367</v>
      </c>
      <c r="C23" s="58" t="s">
        <v>170</v>
      </c>
      <c r="D23" s="61" t="s">
        <v>152</v>
      </c>
      <c r="E23" s="61" t="s">
        <v>152</v>
      </c>
      <c r="F23" s="60">
        <v>44367</v>
      </c>
    </row>
    <row r="24" spans="1:6" ht="29" x14ac:dyDescent="0.35">
      <c r="A24" s="59">
        <v>3.1</v>
      </c>
      <c r="B24" s="60">
        <v>44331</v>
      </c>
      <c r="C24" s="58" t="s">
        <v>169</v>
      </c>
      <c r="D24" s="61" t="s">
        <v>152</v>
      </c>
      <c r="E24" s="61" t="s">
        <v>152</v>
      </c>
      <c r="F24" s="60">
        <v>44331</v>
      </c>
    </row>
    <row r="25" spans="1:6" ht="72.5" x14ac:dyDescent="0.35">
      <c r="A25" s="59">
        <v>3</v>
      </c>
      <c r="B25" s="60">
        <v>44319</v>
      </c>
      <c r="C25" s="58" t="s">
        <v>168</v>
      </c>
      <c r="D25" s="61" t="s">
        <v>152</v>
      </c>
      <c r="E25" s="61" t="s">
        <v>164</v>
      </c>
      <c r="F25" s="60">
        <v>44315</v>
      </c>
    </row>
    <row r="26" spans="1:6" ht="29" x14ac:dyDescent="0.35">
      <c r="A26" s="59">
        <v>2</v>
      </c>
      <c r="B26" s="60">
        <v>44307</v>
      </c>
      <c r="C26" s="58" t="s">
        <v>165</v>
      </c>
      <c r="D26" s="61" t="s">
        <v>152</v>
      </c>
      <c r="E26" s="61" t="s">
        <v>256</v>
      </c>
      <c r="F26" s="60">
        <v>44294</v>
      </c>
    </row>
    <row r="27" spans="1:6" ht="29" x14ac:dyDescent="0.35">
      <c r="A27" s="63">
        <v>1</v>
      </c>
      <c r="B27" s="60">
        <v>44291</v>
      </c>
      <c r="C27" s="58" t="s">
        <v>167</v>
      </c>
      <c r="D27" s="61" t="s">
        <v>152</v>
      </c>
      <c r="E27" s="61" t="s">
        <v>166</v>
      </c>
      <c r="F27"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zoomScale="150" zoomScaleNormal="150" workbookViewId="0">
      <selection activeCell="C22" sqref="C2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181" t="s">
        <v>150</v>
      </c>
      <c r="B3" s="181"/>
      <c r="C3" s="181"/>
      <c r="D3" s="181"/>
      <c r="E3" s="181"/>
      <c r="F3" s="181"/>
      <c r="G3" s="181"/>
      <c r="H3" s="114"/>
      <c r="I3" s="114"/>
      <c r="J3" s="114"/>
      <c r="K3" s="114"/>
    </row>
    <row r="4" spans="1:13" x14ac:dyDescent="0.35">
      <c r="A4" s="53" t="s">
        <v>38</v>
      </c>
      <c r="B4" s="53" t="s">
        <v>42</v>
      </c>
      <c r="C4" s="182" t="s">
        <v>43</v>
      </c>
      <c r="D4" s="183"/>
      <c r="E4" s="183"/>
      <c r="F4" s="183"/>
      <c r="G4" s="184"/>
      <c r="M4" s="1" t="s">
        <v>307</v>
      </c>
    </row>
    <row r="5" spans="1:13" x14ac:dyDescent="0.35">
      <c r="A5" s="129" t="s">
        <v>39</v>
      </c>
      <c r="B5" s="129"/>
      <c r="C5" s="185"/>
      <c r="D5" s="186"/>
      <c r="E5" s="186"/>
      <c r="F5" s="186"/>
      <c r="G5" s="186"/>
      <c r="M5" t="s">
        <v>308</v>
      </c>
    </row>
    <row r="6" spans="1:13" x14ac:dyDescent="0.35">
      <c r="A6" s="129" t="s">
        <v>40</v>
      </c>
      <c r="B6" s="129"/>
      <c r="C6" s="185"/>
      <c r="D6" s="186"/>
      <c r="E6" s="186"/>
      <c r="F6" s="186"/>
      <c r="G6" s="186"/>
      <c r="M6" t="s">
        <v>313</v>
      </c>
    </row>
    <row r="7" spans="1:13" x14ac:dyDescent="0.35">
      <c r="A7" s="129" t="s">
        <v>41</v>
      </c>
      <c r="B7" s="129"/>
      <c r="C7" s="185"/>
      <c r="D7" s="186"/>
      <c r="E7" s="186"/>
      <c r="F7" s="186"/>
      <c r="G7" s="186"/>
      <c r="M7" t="s">
        <v>314</v>
      </c>
    </row>
    <row r="8" spans="1:13" x14ac:dyDescent="0.35">
      <c r="A8" s="113" t="s">
        <v>156</v>
      </c>
      <c r="B8" s="113"/>
      <c r="C8" s="180"/>
      <c r="D8" s="180"/>
      <c r="E8" s="180"/>
      <c r="F8" s="180"/>
      <c r="G8" s="180"/>
    </row>
    <row r="9" spans="1:13" x14ac:dyDescent="0.35">
      <c r="A9" s="129"/>
      <c r="B9" s="129"/>
      <c r="C9" s="174"/>
      <c r="D9" s="174"/>
      <c r="E9" s="174"/>
      <c r="F9" s="174"/>
      <c r="G9" s="174"/>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56">
        <v>5.73</v>
      </c>
      <c r="C20" s="156">
        <v>6</v>
      </c>
      <c r="D20" s="23" t="s">
        <v>111</v>
      </c>
    </row>
    <row r="21" spans="1:14" x14ac:dyDescent="0.35">
      <c r="A21" t="s">
        <v>140</v>
      </c>
      <c r="B21" s="156">
        <v>11</v>
      </c>
      <c r="C21" s="156">
        <v>10.1</v>
      </c>
      <c r="D21" s="11" t="s">
        <v>34</v>
      </c>
    </row>
    <row r="22" spans="1:14" x14ac:dyDescent="0.35">
      <c r="A22" t="s">
        <v>188</v>
      </c>
      <c r="B22" s="157">
        <v>3525</v>
      </c>
      <c r="C22" s="157">
        <v>1020</v>
      </c>
      <c r="D22" s="11" t="s">
        <v>343</v>
      </c>
    </row>
    <row r="23" spans="1:14" x14ac:dyDescent="0.35">
      <c r="A23" t="s">
        <v>174</v>
      </c>
      <c r="B23" s="156">
        <f>VLOOKUP(B22,'Powell-Elevation-Area'!$A$5:$B$689,2)/1000000</f>
        <v>5.9265762500000001</v>
      </c>
      <c r="C23" s="156">
        <f>VLOOKUP(C22,'Mead-Elevation-Area'!$A$5:$B$689,2)/1000000</f>
        <v>5.664593</v>
      </c>
      <c r="D23" s="11"/>
      <c r="E23" s="45"/>
    </row>
    <row r="24" spans="1:14" x14ac:dyDescent="0.35">
      <c r="A24" t="s">
        <v>342</v>
      </c>
      <c r="B24" s="156">
        <v>78.099999999999994</v>
      </c>
      <c r="C24"/>
      <c r="D24" s="158" t="s">
        <v>357</v>
      </c>
      <c r="E24" s="45"/>
    </row>
    <row r="25" spans="1:14" x14ac:dyDescent="0.35">
      <c r="B25" s="45"/>
    </row>
    <row r="26" spans="1:14" s="1" customFormat="1" x14ac:dyDescent="0.35">
      <c r="A26" s="142" t="s">
        <v>35</v>
      </c>
      <c r="B26" s="143" t="s">
        <v>48</v>
      </c>
      <c r="C26" s="143" t="s">
        <v>5</v>
      </c>
      <c r="D26" s="143" t="s">
        <v>6</v>
      </c>
      <c r="E26" s="143" t="s">
        <v>7</v>
      </c>
      <c r="F26" s="143" t="s">
        <v>8</v>
      </c>
      <c r="G26" s="143" t="s">
        <v>9</v>
      </c>
      <c r="H26" s="143" t="s">
        <v>10</v>
      </c>
      <c r="I26" s="143" t="s">
        <v>11</v>
      </c>
      <c r="J26" s="143" t="s">
        <v>12</v>
      </c>
      <c r="K26" s="143" t="s">
        <v>36</v>
      </c>
      <c r="L26" s="143" t="s">
        <v>37</v>
      </c>
      <c r="M26" s="143" t="s">
        <v>106</v>
      </c>
      <c r="N26" s="143" t="s">
        <v>171</v>
      </c>
    </row>
    <row r="27" spans="1:14" x14ac:dyDescent="0.35">
      <c r="A27" s="1" t="s">
        <v>44</v>
      </c>
      <c r="B27" s="1"/>
      <c r="C27" s="137"/>
      <c r="D27" s="137"/>
      <c r="E27" s="137"/>
      <c r="F27" s="137"/>
      <c r="G27" s="137"/>
      <c r="H27" s="137"/>
      <c r="I27" s="137"/>
      <c r="J27" s="137"/>
      <c r="K27" s="137"/>
      <c r="L27" s="137"/>
    </row>
    <row r="28" spans="1:14" x14ac:dyDescent="0.35">
      <c r="A28" s="1" t="s">
        <v>120</v>
      </c>
      <c r="B28" s="1"/>
      <c r="C28" s="136" t="str">
        <f>IF(C$27&lt;&gt;"",0.8,"")</f>
        <v/>
      </c>
      <c r="D28" s="136" t="str">
        <f t="shared" ref="D28:L28" si="0">IF(D$27&lt;&gt;"",0.8,"")</f>
        <v/>
      </c>
      <c r="E28" s="136" t="str">
        <f t="shared" si="0"/>
        <v/>
      </c>
      <c r="F28" s="136" t="str">
        <f t="shared" si="0"/>
        <v/>
      </c>
      <c r="G28" s="136" t="str">
        <f t="shared" si="0"/>
        <v/>
      </c>
      <c r="H28" s="136" t="str">
        <f t="shared" si="0"/>
        <v/>
      </c>
      <c r="I28" s="136" t="str">
        <f t="shared" si="0"/>
        <v/>
      </c>
      <c r="J28" s="136" t="str">
        <f t="shared" si="0"/>
        <v/>
      </c>
      <c r="K28" s="136" t="str">
        <f t="shared" si="0"/>
        <v/>
      </c>
      <c r="L28" s="136" t="str">
        <f t="shared" si="0"/>
        <v/>
      </c>
    </row>
    <row r="29" spans="1:14" x14ac:dyDescent="0.35">
      <c r="A29" s="1" t="s">
        <v>344</v>
      </c>
      <c r="B29" s="1"/>
      <c r="C29" s="136" t="str">
        <f>IF(C$27&lt;&gt;"",0.2,"")</f>
        <v/>
      </c>
      <c r="D29" s="136" t="str">
        <f t="shared" ref="D29:L29" si="1">IF(D$27&lt;&gt;"",0.2,"")</f>
        <v/>
      </c>
      <c r="E29" s="136" t="str">
        <f t="shared" si="1"/>
        <v/>
      </c>
      <c r="F29" s="136" t="str">
        <f t="shared" si="1"/>
        <v/>
      </c>
      <c r="G29" s="136" t="str">
        <f t="shared" si="1"/>
        <v/>
      </c>
      <c r="H29" s="136" t="str">
        <f t="shared" si="1"/>
        <v/>
      </c>
      <c r="I29" s="136" t="str">
        <f t="shared" si="1"/>
        <v/>
      </c>
      <c r="J29" s="136" t="str">
        <f t="shared" si="1"/>
        <v/>
      </c>
      <c r="K29" s="136" t="str">
        <f t="shared" si="1"/>
        <v/>
      </c>
      <c r="L29" s="136" t="str">
        <f t="shared" si="1"/>
        <v/>
      </c>
    </row>
    <row r="30" spans="1:14" x14ac:dyDescent="0.35">
      <c r="A30" s="1" t="s">
        <v>291</v>
      </c>
      <c r="B30" s="1"/>
      <c r="C30" s="136" t="str">
        <f>IF(C$27&lt;&gt;"",0.6,"")</f>
        <v/>
      </c>
      <c r="D30" s="136" t="str">
        <f t="shared" ref="D30:L30" si="2">IF(D$27&lt;&gt;"",0.6,"")</f>
        <v/>
      </c>
      <c r="E30" s="136" t="str">
        <f t="shared" si="2"/>
        <v/>
      </c>
      <c r="F30" s="136" t="str">
        <f t="shared" si="2"/>
        <v/>
      </c>
      <c r="G30" s="136" t="str">
        <f t="shared" si="2"/>
        <v/>
      </c>
      <c r="H30" s="136" t="str">
        <f t="shared" si="2"/>
        <v/>
      </c>
      <c r="I30" s="136" t="str">
        <f t="shared" si="2"/>
        <v/>
      </c>
      <c r="J30" s="136" t="str">
        <f t="shared" si="2"/>
        <v/>
      </c>
      <c r="K30" s="136" t="str">
        <f t="shared" si="2"/>
        <v/>
      </c>
      <c r="L30" s="136" t="str">
        <f t="shared" si="2"/>
        <v/>
      </c>
    </row>
    <row r="31" spans="1:14" x14ac:dyDescent="0.35">
      <c r="A31" s="1" t="s">
        <v>123</v>
      </c>
      <c r="B31" s="110">
        <f>SUM(B32:B37)-SUM(B21:C21)</f>
        <v>0</v>
      </c>
      <c r="C31" s="14" t="str">
        <f>IF(C$27&lt;&gt;"",SUM(B21:C21),"")</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35">
      <c r="A32" t="str">
        <f t="shared" ref="A32:A37" si="4">IF(A5="","","    "&amp;A5&amp;" Balance")</f>
        <v xml:space="preserve">    Upper Basin Balance</v>
      </c>
      <c r="B32" s="111">
        <f>B21-B23</f>
        <v>5.0734237499999999</v>
      </c>
      <c r="C32" s="108"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t="s">
        <v>176</v>
      </c>
    </row>
    <row r="33" spans="1:14" x14ac:dyDescent="0.35">
      <c r="A33" t="str">
        <f t="shared" si="4"/>
        <v xml:space="preserve">    Lower Basin Balance</v>
      </c>
      <c r="B33" s="111">
        <f>C21-C23-B34</f>
        <v>4.2614069999999993</v>
      </c>
      <c r="C33" s="108"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t="s">
        <v>173</v>
      </c>
    </row>
    <row r="34" spans="1:14" x14ac:dyDescent="0.35">
      <c r="A34" t="str">
        <f t="shared" si="4"/>
        <v xml:space="preserve">    Mexico Balance</v>
      </c>
      <c r="B34" s="112">
        <v>0.17399999999999999</v>
      </c>
      <c r="C34" s="109" t="str">
        <f t="shared" si="6"/>
        <v/>
      </c>
      <c r="D34" s="52" t="str">
        <f t="shared" si="7"/>
        <v/>
      </c>
      <c r="E34" s="52" t="str">
        <f t="shared" si="7"/>
        <v/>
      </c>
      <c r="F34" s="52" t="str">
        <f t="shared" si="7"/>
        <v/>
      </c>
      <c r="G34" s="52" t="str">
        <f t="shared" si="7"/>
        <v/>
      </c>
      <c r="H34" s="14" t="str">
        <f t="shared" si="7"/>
        <v/>
      </c>
      <c r="I34" s="14" t="str">
        <f t="shared" si="7"/>
        <v/>
      </c>
      <c r="J34" s="14" t="str">
        <f t="shared" si="7"/>
        <v/>
      </c>
      <c r="K34" s="14" t="str">
        <f t="shared" si="7"/>
        <v/>
      </c>
      <c r="L34" s="14" t="str">
        <f t="shared" si="7"/>
        <v/>
      </c>
      <c r="N34" t="s">
        <v>172</v>
      </c>
    </row>
    <row r="35" spans="1:14" x14ac:dyDescent="0.35">
      <c r="A35" t="str">
        <f t="shared" si="4"/>
        <v xml:space="preserve">    Shared, Reserve Balance</v>
      </c>
      <c r="B35" s="111">
        <f>SUM(B23:C23)</f>
        <v>11.59116925</v>
      </c>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t="str">
        <f t="shared" si="4"/>
        <v/>
      </c>
      <c r="B36" s="111"/>
      <c r="C36" s="108"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t="s">
        <v>175</v>
      </c>
    </row>
    <row r="37" spans="1:14" x14ac:dyDescent="0.35">
      <c r="A37" t="str">
        <f t="shared" si="4"/>
        <v/>
      </c>
      <c r="B37" s="113"/>
      <c r="C37" s="108"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row>
    <row r="38" spans="1:14" x14ac:dyDescent="0.35">
      <c r="A38" s="1" t="s">
        <v>195</v>
      </c>
      <c r="C38"/>
    </row>
    <row r="39" spans="1:14" x14ac:dyDescent="0.35">
      <c r="A39" t="s">
        <v>112</v>
      </c>
      <c r="C39" s="14" t="str">
        <f>IF(C$27&lt;&gt;"",B21,"")</f>
        <v/>
      </c>
      <c r="D39" s="14" t="str">
        <f>IF(D$27&lt;&gt;"",C131,"")</f>
        <v/>
      </c>
      <c r="E39" s="14" t="str">
        <f t="shared" ref="E39:G40" si="8">IF(E$27&lt;&gt;"",D131,"")</f>
        <v/>
      </c>
      <c r="F39" s="14" t="str">
        <f t="shared" si="8"/>
        <v/>
      </c>
      <c r="G39" s="14" t="str">
        <f t="shared" si="8"/>
        <v/>
      </c>
      <c r="H39" s="14" t="str">
        <f t="shared" ref="H39:H40" si="9">IF(H$27&lt;&gt;"",G131,"")</f>
        <v/>
      </c>
      <c r="I39" s="14" t="str">
        <f t="shared" ref="I39:I40" si="10">IF(I$27&lt;&gt;"",H131,"")</f>
        <v/>
      </c>
      <c r="J39" s="14" t="str">
        <f t="shared" ref="J39:J40" si="11">IF(J$27&lt;&gt;"",I131,"")</f>
        <v/>
      </c>
      <c r="K39" s="14" t="str">
        <f t="shared" ref="K39:K40" si="12">IF(K$27&lt;&gt;"",J131,"")</f>
        <v/>
      </c>
      <c r="L39" s="14" t="str">
        <f t="shared" ref="L39:L40" si="13">IF(L$27&lt;&gt;"",K131,"")</f>
        <v/>
      </c>
    </row>
    <row r="40" spans="1:14" x14ac:dyDescent="0.35">
      <c r="A40" t="s">
        <v>113</v>
      </c>
      <c r="C40" s="14" t="str">
        <f>IF(C$27&lt;&gt;"",C21,"")</f>
        <v/>
      </c>
      <c r="D40" s="14" t="str">
        <f>IF(D$27&lt;&gt;"",C132,"")</f>
        <v/>
      </c>
      <c r="E40" s="14" t="str">
        <f t="shared" si="8"/>
        <v/>
      </c>
      <c r="F40" s="14" t="str">
        <f t="shared" si="8"/>
        <v/>
      </c>
      <c r="G40" s="14" t="str">
        <f t="shared" si="8"/>
        <v/>
      </c>
      <c r="H40" s="14" t="str">
        <f t="shared" si="9"/>
        <v/>
      </c>
      <c r="I40" s="14" t="str">
        <f t="shared" si="10"/>
        <v/>
      </c>
      <c r="J40" s="14" t="str">
        <f t="shared" si="11"/>
        <v/>
      </c>
      <c r="K40" s="14" t="str">
        <f t="shared" si="12"/>
        <v/>
      </c>
      <c r="L40" s="14" t="str">
        <f t="shared" si="13"/>
        <v/>
      </c>
    </row>
    <row r="41" spans="1:14" x14ac:dyDescent="0.35">
      <c r="A41" s="1" t="s">
        <v>118</v>
      </c>
      <c r="B41" s="1"/>
      <c r="C41" s="14" t="str">
        <f>IF(C$27&lt;&gt;"",VLOOKUP(C39*1000000,'Powell-Elevation-Area'!$B$5:$D$689,3)*$B$20/1000000 + VLOOKUP(C40*1000000,'Mead-Elevation-Area'!$B$5:$D$676,3)*$C$20/1000000,"")</f>
        <v/>
      </c>
      <c r="D41" s="14" t="str">
        <f>IF(D$27&lt;&gt;"",VLOOKUP(D39*1000000,'Powell-Elevation-Area'!$B$5:$D$689,3)*$B$20/1000000 + VLOOKUP(D40*1000000,'Mead-Elevation-Area'!$B$5:$D$676,3)*$C$20/1000000,"")</f>
        <v/>
      </c>
      <c r="E41" s="14" t="str">
        <f>IF(E$27&lt;&gt;"",VLOOKUP(E39*1000000,'Powell-Elevation-Area'!$B$5:$D$689,3)*$B$20/1000000 + VLOOKUP(E40*1000000,'Mead-Elevation-Area'!$B$5:$D$676,3)*$C$20/1000000,"")</f>
        <v/>
      </c>
      <c r="F41" s="14" t="str">
        <f>IF(F$27&lt;&gt;"",VLOOKUP(F39*1000000,'Powell-Elevation-Area'!$B$5:$D$689,3)*$B$20/1000000 + VLOOKUP(F40*1000000,'Mead-Elevation-Area'!$B$5:$D$676,3)*$C$20/1000000,"")</f>
        <v/>
      </c>
      <c r="G41" s="14" t="str">
        <f>IF(G$27&lt;&gt;"",VLOOKUP(G39*1000000,'Powell-Elevation-Area'!$B$5:$D$689,3)*$B$20/1000000 + VLOOKUP(G40*1000000,'Mead-Elevation-Area'!$B$5:$D$676,3)*$C$20/1000000,"")</f>
        <v/>
      </c>
      <c r="H41" s="14" t="str">
        <f>IF(H$27&lt;&gt;"",VLOOKUP(H39*1000000,'Powell-Elevation-Area'!$B$5:$D$689,3)*$B$20/1000000 + VLOOKUP(H40*1000000,'Mead-Elevation-Area'!$B$5:$D$676,3)*$C$20/1000000,"")</f>
        <v/>
      </c>
      <c r="I41" s="14" t="str">
        <f>IF(I$27&lt;&gt;"",VLOOKUP(I39*1000000,'Powell-Elevation-Area'!$B$5:$D$689,3)*$B$20/1000000 + VLOOKUP(I40*1000000,'Mead-Elevation-Area'!$B$5:$D$676,3)*$C$20/1000000,"")</f>
        <v/>
      </c>
      <c r="J41" s="14" t="str">
        <f>IF(J$27&lt;&gt;"",VLOOKUP(J39*1000000,'Powell-Elevation-Area'!$B$5:$D$689,3)*$B$20/1000000 + VLOOKUP(J40*1000000,'Mead-Elevation-Area'!$B$5:$D$676,3)*$C$20/1000000,"")</f>
        <v/>
      </c>
      <c r="K41" s="14" t="str">
        <f>IF(K$27&lt;&gt;"",VLOOKUP(K39*1000000,'Powell-Elevation-Area'!$B$5:$D$689,3)*$B$20/1000000 + VLOOKUP(K40*1000000,'Mead-Elevation-Area'!$B$5:$D$676,3)*$C$20/1000000,"")</f>
        <v/>
      </c>
      <c r="L41" s="14" t="str">
        <f>IF(L$27&lt;&gt;"",VLOOKUP(L39*1000000,'Powell-Elevation-Area'!$B$5:$D$689,3)*$B$20/1000000 + VLOOKUP(L40*1000000,'Mead-Elevation-Area'!$B$5:$D$676,3)*$C$20/1000000,"")</f>
        <v/>
      </c>
    </row>
    <row r="42" spans="1:14" x14ac:dyDescent="0.35">
      <c r="A42" t="str">
        <f t="shared" ref="A42:A47" si="14">IF(A5="","","    "&amp;A5&amp;" Share")</f>
        <v xml:space="preserve">    Upper Basin Share</v>
      </c>
      <c r="B42" s="1"/>
      <c r="C42" s="14" t="str">
        <f t="shared" ref="C42:L42" si="15">IF(OR(C$27="",$A42=""),"",C$41*C32/C$31)</f>
        <v/>
      </c>
      <c r="D42" s="14" t="str">
        <f t="shared" si="15"/>
        <v/>
      </c>
      <c r="E42" s="14" t="str">
        <f t="shared" si="15"/>
        <v/>
      </c>
      <c r="F42" s="14" t="str">
        <f t="shared" si="15"/>
        <v/>
      </c>
      <c r="G42" s="14" t="str">
        <f t="shared" si="15"/>
        <v/>
      </c>
      <c r="H42" s="14" t="str">
        <f t="shared" si="15"/>
        <v/>
      </c>
      <c r="I42" s="14" t="str">
        <f t="shared" si="15"/>
        <v/>
      </c>
      <c r="J42" s="14" t="str">
        <f t="shared" si="15"/>
        <v/>
      </c>
      <c r="K42" s="14" t="str">
        <f t="shared" si="15"/>
        <v/>
      </c>
      <c r="L42" s="14" t="str">
        <f t="shared" si="15"/>
        <v/>
      </c>
    </row>
    <row r="43" spans="1:14" x14ac:dyDescent="0.35">
      <c r="A43" t="str">
        <f t="shared" si="14"/>
        <v xml:space="preserve">    Lower Basin Share</v>
      </c>
      <c r="B43" s="1"/>
      <c r="C43" s="14" t="str">
        <f t="shared" ref="C43:L43" si="16">IF(OR(C$27="",$A43=""),"",C$41*C33/C$31)</f>
        <v/>
      </c>
      <c r="D43" s="14" t="str">
        <f t="shared" si="16"/>
        <v/>
      </c>
      <c r="E43" s="14" t="str">
        <f t="shared" si="16"/>
        <v/>
      </c>
      <c r="F43" s="14" t="str">
        <f t="shared" si="16"/>
        <v/>
      </c>
      <c r="G43" s="14" t="str">
        <f t="shared" si="16"/>
        <v/>
      </c>
      <c r="H43" s="14" t="str">
        <f t="shared" si="16"/>
        <v/>
      </c>
      <c r="I43" s="14" t="str">
        <f t="shared" si="16"/>
        <v/>
      </c>
      <c r="J43" s="14" t="str">
        <f t="shared" si="16"/>
        <v/>
      </c>
      <c r="K43" s="14" t="str">
        <f t="shared" si="16"/>
        <v/>
      </c>
      <c r="L43" s="14" t="str">
        <f t="shared" si="16"/>
        <v/>
      </c>
    </row>
    <row r="44" spans="1:14" x14ac:dyDescent="0.35">
      <c r="A44" t="str">
        <f t="shared" si="14"/>
        <v xml:space="preserve">    Mexico Share</v>
      </c>
      <c r="B44" s="1"/>
      <c r="C44" s="14" t="str">
        <f t="shared" ref="C44:L44" si="17">IF(OR(C$27="",$A44=""),"",C$41*C34/C$31)</f>
        <v/>
      </c>
      <c r="D44" s="14" t="str">
        <f t="shared" si="17"/>
        <v/>
      </c>
      <c r="E44" s="14" t="str">
        <f t="shared" si="17"/>
        <v/>
      </c>
      <c r="F44" s="14" t="str">
        <f t="shared" si="17"/>
        <v/>
      </c>
      <c r="G44" s="14" t="str">
        <f t="shared" si="17"/>
        <v/>
      </c>
      <c r="H44" s="14" t="str">
        <f t="shared" si="17"/>
        <v/>
      </c>
      <c r="I44" s="14" t="str">
        <f t="shared" si="17"/>
        <v/>
      </c>
      <c r="J44" s="14" t="str">
        <f t="shared" si="17"/>
        <v/>
      </c>
      <c r="K44" s="14" t="str">
        <f t="shared" si="17"/>
        <v/>
      </c>
      <c r="L44" s="14" t="str">
        <f t="shared" si="17"/>
        <v/>
      </c>
    </row>
    <row r="45" spans="1:14" x14ac:dyDescent="0.35">
      <c r="A45" t="str">
        <f t="shared" si="14"/>
        <v xml:space="preserve">    Shared, Reserve Share</v>
      </c>
      <c r="B45" s="1"/>
      <c r="C45" s="14" t="str">
        <f t="shared" ref="C45:L45" si="18">IF(OR(C$27="",$A45=""),"",C$41*C35/C$31)</f>
        <v/>
      </c>
      <c r="D45" s="14" t="str">
        <f t="shared" si="18"/>
        <v/>
      </c>
      <c r="E45" s="14" t="str">
        <f t="shared" si="18"/>
        <v/>
      </c>
      <c r="F45" s="14" t="str">
        <f t="shared" si="18"/>
        <v/>
      </c>
      <c r="G45" s="14" t="str">
        <f t="shared" si="18"/>
        <v/>
      </c>
      <c r="H45" s="14" t="str">
        <f t="shared" si="18"/>
        <v/>
      </c>
      <c r="I45" s="14" t="str">
        <f t="shared" si="18"/>
        <v/>
      </c>
      <c r="J45" s="14" t="str">
        <f t="shared" si="18"/>
        <v/>
      </c>
      <c r="K45" s="14" t="str">
        <f t="shared" si="18"/>
        <v/>
      </c>
      <c r="L45" s="14" t="str">
        <f t="shared" si="18"/>
        <v/>
      </c>
    </row>
    <row r="46" spans="1:14" x14ac:dyDescent="0.35">
      <c r="A46" t="str">
        <f t="shared" si="14"/>
        <v/>
      </c>
      <c r="B46" s="1"/>
      <c r="C46" s="14" t="str">
        <f t="shared" ref="C46:L46" si="19">IF(OR(C$27="",$A46=""),"",C$41*C36/C$31)</f>
        <v/>
      </c>
      <c r="D46" s="14" t="str">
        <f t="shared" si="19"/>
        <v/>
      </c>
      <c r="E46" s="14" t="str">
        <f t="shared" si="19"/>
        <v/>
      </c>
      <c r="F46" s="14" t="str">
        <f t="shared" si="19"/>
        <v/>
      </c>
      <c r="G46" s="14" t="str">
        <f t="shared" si="19"/>
        <v/>
      </c>
      <c r="H46" s="14" t="str">
        <f t="shared" si="19"/>
        <v/>
      </c>
      <c r="I46" s="14" t="str">
        <f t="shared" si="19"/>
        <v/>
      </c>
      <c r="J46" s="14" t="str">
        <f t="shared" si="19"/>
        <v/>
      </c>
      <c r="K46" s="14" t="str">
        <f t="shared" si="19"/>
        <v/>
      </c>
      <c r="L46" s="14" t="str">
        <f t="shared" si="19"/>
        <v/>
      </c>
    </row>
    <row r="47" spans="1:14" x14ac:dyDescent="0.35">
      <c r="A47" t="str">
        <f t="shared" si="14"/>
        <v/>
      </c>
      <c r="B47" s="1"/>
      <c r="C47" s="14" t="str">
        <f t="shared" ref="C47:L47" si="20">IF(OR(C$27="",$A47=""),"",C$41*C37/C$31)</f>
        <v/>
      </c>
      <c r="D47" s="14" t="str">
        <f t="shared" si="20"/>
        <v/>
      </c>
      <c r="E47" s="14" t="str">
        <f t="shared" si="20"/>
        <v/>
      </c>
      <c r="F47" s="14" t="str">
        <f t="shared" si="20"/>
        <v/>
      </c>
      <c r="G47" s="14" t="str">
        <f t="shared" si="20"/>
        <v/>
      </c>
      <c r="H47" s="14" t="str">
        <f t="shared" si="20"/>
        <v/>
      </c>
      <c r="I47" s="14" t="str">
        <f t="shared" si="20"/>
        <v/>
      </c>
      <c r="J47" s="14" t="str">
        <f t="shared" si="20"/>
        <v/>
      </c>
      <c r="K47" s="14" t="str">
        <f t="shared" si="20"/>
        <v/>
      </c>
      <c r="L47" s="14" t="str">
        <f t="shared" si="20"/>
        <v/>
      </c>
    </row>
    <row r="48" spans="1:14" x14ac:dyDescent="0.35">
      <c r="A48" s="1" t="s">
        <v>255</v>
      </c>
      <c r="B48" s="74"/>
      <c r="C48" s="49" t="str">
        <f>IF(C$27&lt;&gt;"",1.5-0.21/9/2-VLOOKUP(C40,LowerBasinCuts!$C$5:$P$13,13),"")</f>
        <v/>
      </c>
      <c r="D48" s="49" t="str">
        <f>IF(D$27&lt;&gt;"",1.5-0.21/9/2-VLOOKUP(D40,LowerBasinCuts!$C$5:$P$13,13),"")</f>
        <v/>
      </c>
      <c r="E48" s="49" t="str">
        <f>IF(E$27&lt;&gt;"",1.5-0.21/9/2-VLOOKUP(E40,LowerBasinCuts!$C$5:$P$13,13),"")</f>
        <v/>
      </c>
      <c r="F48" s="49" t="str">
        <f>IF(F$27&lt;&gt;"",1.5-0.21/9/2-VLOOKUP(F40,LowerBasinCuts!$C$5:$P$13,13),"")</f>
        <v/>
      </c>
      <c r="G48" s="49" t="str">
        <f>IF(G$27&lt;&gt;"",1.5-0.21/9/2-VLOOKUP(G40,LowerBasinCuts!$C$5:$P$13,13),"")</f>
        <v/>
      </c>
      <c r="H48" s="49" t="str">
        <f>IF(H$27&lt;&gt;"",1.5-0.21/9/2-VLOOKUP(H40,LowerBasinCuts!$C$5:$P$13,13),"")</f>
        <v/>
      </c>
      <c r="I48" s="49" t="str">
        <f>IF(I$27&lt;&gt;"",1.5-0.21/9/2-VLOOKUP(I40,LowerBasinCuts!$C$5:$P$13,13),"")</f>
        <v/>
      </c>
      <c r="J48" s="49" t="str">
        <f>IF(J$27&lt;&gt;"",1.5-0.21/9/2-VLOOKUP(J40,LowerBasinCuts!$C$5:$P$13,13),"")</f>
        <v/>
      </c>
      <c r="K48" s="49" t="str">
        <f>IF(K$27&lt;&gt;"",1.5-0.21/9/2-VLOOKUP(K40,LowerBasinCuts!$C$5:$P$13,13),"")</f>
        <v/>
      </c>
      <c r="L48" s="49" t="str">
        <f>IF(L$27&lt;&gt;"",1.5-0.21/9/2-VLOOKUP(L40,LowerBasinCuts!$C$5:$P$13,13),"")</f>
        <v/>
      </c>
      <c r="N48" t="s">
        <v>360</v>
      </c>
    </row>
    <row r="49" spans="1:14" x14ac:dyDescent="0.35">
      <c r="A49" s="1" t="s">
        <v>292</v>
      </c>
      <c r="B49" s="1"/>
      <c r="C49" s="51" t="str">
        <f>IF(C27="","",SUM(C27:C29)-C30)</f>
        <v/>
      </c>
      <c r="D49" s="51" t="str">
        <f t="shared" ref="D49:L49" si="21">IF(D27="","",SUM(D27:D29)-D30)</f>
        <v/>
      </c>
      <c r="E49" s="51" t="str">
        <f t="shared" si="21"/>
        <v/>
      </c>
      <c r="F49" s="51" t="str">
        <f t="shared" si="21"/>
        <v/>
      </c>
      <c r="G49" s="51" t="str">
        <f t="shared" si="21"/>
        <v/>
      </c>
      <c r="H49" s="51" t="str">
        <f t="shared" si="21"/>
        <v/>
      </c>
      <c r="I49" s="51" t="str">
        <f t="shared" si="21"/>
        <v/>
      </c>
      <c r="J49" s="51" t="str">
        <f t="shared" si="21"/>
        <v/>
      </c>
      <c r="K49" s="51" t="str">
        <f t="shared" si="21"/>
        <v/>
      </c>
      <c r="L49" s="51" t="str">
        <f t="shared" si="21"/>
        <v/>
      </c>
      <c r="M49" s="45"/>
      <c r="N49" s="45"/>
    </row>
    <row r="50" spans="1:14" x14ac:dyDescent="0.35">
      <c r="A50" t="str">
        <f t="shared" ref="A50:A55" si="22">IF(A5="","","    To "&amp;A5)</f>
        <v xml:space="preserve">    To Upper Basin</v>
      </c>
      <c r="B50" s="134" t="s">
        <v>146</v>
      </c>
      <c r="C50" s="108" t="str">
        <f>IF(OR(C$27="",$A50=""),"",MAX(C27-(82.3-$B$24)-C45*$B$23/SUM($B$23:$C$23),0))</f>
        <v/>
      </c>
      <c r="D50" s="108" t="str">
        <f>IF(OR(D$27="",$A50=""),"",MAX(0,D27-$B$51-D48/2-D53*$B$23/SUM($B$23:$C$23)))</f>
        <v/>
      </c>
      <c r="E50" s="108" t="str">
        <f t="shared" ref="E50:G50" si="23">IF(OR(E$27="",$A50=""),"",MAX(0,E49-SUM(E51:E55)))</f>
        <v/>
      </c>
      <c r="F50" s="108" t="str">
        <f t="shared" si="23"/>
        <v/>
      </c>
      <c r="G50" s="108" t="str">
        <f t="shared" si="23"/>
        <v/>
      </c>
      <c r="H50" s="108" t="str">
        <f t="shared" ref="H50" si="24">IF(OR(H$27="",$A50=""),"",MAX(0,H49-SUM(H51:H55)))</f>
        <v/>
      </c>
      <c r="I50" s="108" t="str">
        <f t="shared" ref="I50" si="25">IF(OR(I$27="",$A50=""),"",MAX(0,I49-SUM(I51:I55)))</f>
        <v/>
      </c>
      <c r="J50" s="108" t="str">
        <f t="shared" ref="J50" si="26">IF(OR(J$27="",$A50=""),"",MAX(0,J49-SUM(J51:J55)))</f>
        <v/>
      </c>
      <c r="K50" s="108" t="str">
        <f t="shared" ref="K50" si="27">IF(OR(K$27="",$A50=""),"",MAX(0,K49-SUM(K51:K55)))</f>
        <v/>
      </c>
      <c r="L50" s="108" t="str">
        <f t="shared" ref="L50" si="28">IF(OR(L$27="",$A50=""),"",MAX(0,L49-SUM(L51:L55)))</f>
        <v/>
      </c>
      <c r="M50" s="29"/>
      <c r="N50" s="158" t="s">
        <v>373</v>
      </c>
    </row>
    <row r="51" spans="1:14" x14ac:dyDescent="0.35">
      <c r="A51" t="str">
        <f t="shared" si="22"/>
        <v xml:space="preserve">    To Lower Basin</v>
      </c>
      <c r="B51" s="135">
        <f>7.5</f>
        <v>7.5</v>
      </c>
      <c r="C51" s="108" t="str">
        <f>IF(OR(C$27="",$A51=""),"",C28+C29-C30-C53*$C$23/SUM($B$23:$C$23)-C52+MIN(82.3-$B$24,C27))</f>
        <v/>
      </c>
      <c r="D51" s="108" t="str">
        <f>IF(OR(D$27="",$A51=""),"",D28+D29-D30-D53*$C$23/SUM($B$23:$C$23)-D52/2+MIN($B51,D27-D52/2))</f>
        <v/>
      </c>
      <c r="E51" s="108" t="str">
        <f t="shared" ref="E51:L51" si="29">IF(OR(E$27="",$A51=""),"",E28+E29-E30-E53*$C$23/SUM($B$23:$C$23)-E52/2+MIN($B51,E27-E52/2))</f>
        <v/>
      </c>
      <c r="F51" s="108" t="str">
        <f t="shared" si="29"/>
        <v/>
      </c>
      <c r="G51" s="108" t="str">
        <f t="shared" si="29"/>
        <v/>
      </c>
      <c r="H51" s="108" t="str">
        <f t="shared" si="29"/>
        <v/>
      </c>
      <c r="I51" s="108" t="str">
        <f t="shared" si="29"/>
        <v/>
      </c>
      <c r="J51" s="108" t="str">
        <f t="shared" si="29"/>
        <v/>
      </c>
      <c r="K51" s="108" t="str">
        <f t="shared" si="29"/>
        <v/>
      </c>
      <c r="L51" s="108" t="str">
        <f t="shared" si="29"/>
        <v/>
      </c>
      <c r="M51" s="29"/>
      <c r="N51" s="29"/>
    </row>
    <row r="52" spans="1:14" x14ac:dyDescent="0.35">
      <c r="A52" t="str">
        <f t="shared" si="22"/>
        <v xml:space="preserve">    To Mexico</v>
      </c>
      <c r="B52" s="135" t="s">
        <v>359</v>
      </c>
      <c r="C52" s="108" t="str">
        <f>IF(OR(C$27="",$A52=""),"",IF(C$49&gt;SUM(C53:C54,C48),C48,C$49-SUM(C53:C54)))</f>
        <v/>
      </c>
      <c r="D52" s="108" t="str">
        <f t="shared" ref="D52:L52" si="30">IF(OR(D$27="",$A52=""),"",IF(D$49&gt;SUM(D53:D54,D48),D48,D$49-SUM(D53:D54)))</f>
        <v/>
      </c>
      <c r="E52" s="108" t="str">
        <f t="shared" si="30"/>
        <v/>
      </c>
      <c r="F52" s="108" t="str">
        <f t="shared" si="30"/>
        <v/>
      </c>
      <c r="G52" s="108" t="str">
        <f t="shared" si="30"/>
        <v/>
      </c>
      <c r="H52" s="108" t="str">
        <f t="shared" si="30"/>
        <v/>
      </c>
      <c r="I52" s="108" t="str">
        <f t="shared" si="30"/>
        <v/>
      </c>
      <c r="J52" s="108" t="str">
        <f t="shared" si="30"/>
        <v/>
      </c>
      <c r="K52" s="108" t="str">
        <f t="shared" si="30"/>
        <v/>
      </c>
      <c r="L52" s="108" t="str">
        <f t="shared" si="30"/>
        <v/>
      </c>
      <c r="M52" s="29"/>
      <c r="N52" s="158" t="s">
        <v>361</v>
      </c>
    </row>
    <row r="53" spans="1:14" x14ac:dyDescent="0.35">
      <c r="A53" t="str">
        <f t="shared" si="22"/>
        <v xml:space="preserve">    To Shared, Reserve</v>
      </c>
      <c r="B53" s="135" t="s">
        <v>183</v>
      </c>
      <c r="C53" s="108" t="str">
        <f>IF(OR(C$27="",$A53=""),"",IF(C$49&gt;C45,C45,C49))</f>
        <v/>
      </c>
      <c r="D53" s="108" t="str">
        <f t="shared" ref="D53:L53" si="31">IF(OR(D$27="",$A53=""),"",IF(D$49&gt;D45,D45,D49))</f>
        <v/>
      </c>
      <c r="E53" s="108" t="str">
        <f t="shared" si="31"/>
        <v/>
      </c>
      <c r="F53" s="108" t="str">
        <f t="shared" si="31"/>
        <v/>
      </c>
      <c r="G53" s="108" t="str">
        <f t="shared" si="31"/>
        <v/>
      </c>
      <c r="H53" s="108" t="str">
        <f t="shared" si="31"/>
        <v/>
      </c>
      <c r="I53" s="108" t="str">
        <f t="shared" si="31"/>
        <v/>
      </c>
      <c r="J53" s="108" t="str">
        <f t="shared" si="31"/>
        <v/>
      </c>
      <c r="K53" s="108" t="str">
        <f t="shared" si="31"/>
        <v/>
      </c>
      <c r="L53" s="108" t="str">
        <f t="shared" si="31"/>
        <v/>
      </c>
      <c r="M53" s="29"/>
      <c r="N53" s="158" t="s">
        <v>358</v>
      </c>
    </row>
    <row r="54" spans="1:14" x14ac:dyDescent="0.35">
      <c r="A54" t="str">
        <f t="shared" si="22"/>
        <v/>
      </c>
      <c r="B54" s="135"/>
      <c r="C54" s="108"/>
      <c r="D54" s="108"/>
      <c r="E54" s="108"/>
      <c r="F54" s="108"/>
      <c r="G54" s="108"/>
      <c r="H54" s="108"/>
      <c r="I54" s="108"/>
      <c r="J54" s="108"/>
      <c r="K54" s="108"/>
      <c r="L54" s="108"/>
      <c r="M54" s="29"/>
      <c r="N54" s="29"/>
    </row>
    <row r="55" spans="1:14" x14ac:dyDescent="0.35">
      <c r="A55" t="str">
        <f t="shared" si="22"/>
        <v/>
      </c>
      <c r="B55" s="135"/>
      <c r="C55" s="109"/>
      <c r="D55" s="109"/>
      <c r="E55" s="109"/>
      <c r="F55" s="109"/>
      <c r="G55" s="109"/>
      <c r="H55" s="109"/>
      <c r="I55" s="109"/>
      <c r="J55" s="109"/>
      <c r="K55" s="109"/>
      <c r="L55" s="109"/>
      <c r="M55" s="29"/>
      <c r="N55" s="29"/>
    </row>
    <row r="56" spans="1:14" x14ac:dyDescent="0.35">
      <c r="C56" s="30"/>
      <c r="D56" s="30"/>
      <c r="E56" s="45"/>
      <c r="F56" s="45"/>
      <c r="G56" s="45"/>
    </row>
    <row r="57" spans="1:14" x14ac:dyDescent="0.35">
      <c r="A57" s="138" t="s">
        <v>180</v>
      </c>
      <c r="B57" s="138"/>
      <c r="C57" s="138"/>
      <c r="D57" s="138"/>
      <c r="E57" s="138"/>
      <c r="F57" s="138"/>
      <c r="G57" s="138"/>
      <c r="H57" s="138"/>
      <c r="I57" s="138"/>
      <c r="J57" s="138"/>
      <c r="K57" s="138"/>
      <c r="L57" s="138"/>
      <c r="M57" s="138"/>
      <c r="N57" s="138"/>
    </row>
    <row r="58" spans="1:14" x14ac:dyDescent="0.35">
      <c r="A58" s="139" t="str">
        <f>IF(A$5="[Unused]","",A5)</f>
        <v>Upper Basin</v>
      </c>
      <c r="B58" s="139"/>
      <c r="C58" s="139"/>
      <c r="D58" s="139"/>
      <c r="E58" s="139"/>
      <c r="F58" s="139"/>
      <c r="G58" s="139"/>
      <c r="H58" s="139"/>
      <c r="I58" s="139"/>
      <c r="J58" s="139"/>
      <c r="K58" s="139"/>
      <c r="L58" s="139"/>
      <c r="M58" s="140" t="s">
        <v>106</v>
      </c>
      <c r="N58" s="139" t="s">
        <v>171</v>
      </c>
    </row>
    <row r="59" spans="1:14" x14ac:dyDescent="0.35">
      <c r="A59" s="32" t="str">
        <f>IF(A58="[Unused]","","   Volume of Sales(+) and Purchases(-) [maf]")</f>
        <v xml:space="preserve">   Volume of Sales(+) and Purchases(-) [maf]</v>
      </c>
      <c r="C59" s="130"/>
      <c r="D59" s="130"/>
      <c r="E59" s="130"/>
      <c r="F59" s="130"/>
      <c r="G59" s="130"/>
      <c r="H59" s="130"/>
      <c r="I59" s="130"/>
      <c r="J59" s="130"/>
      <c r="K59" s="130"/>
      <c r="L59" s="130"/>
      <c r="M59" s="67">
        <f>SUM(C59:L59)</f>
        <v>0</v>
      </c>
      <c r="N59" t="str">
        <f>IF(A59="","","Add if multiple transactions, e.g.: 0.5 + 0.25")</f>
        <v>Add if multiple transactions, e.g.: 0.5 + 0.25</v>
      </c>
    </row>
    <row r="60" spans="1:14" x14ac:dyDescent="0.35">
      <c r="A60" s="32" t="str">
        <f>IF(A59="","","   Cash Intake(+) and Payments(-) [$ Mill]")</f>
        <v xml:space="preserve">   Cash Intake(+) and Payments(-) [$ Mill]</v>
      </c>
      <c r="C60" s="131"/>
      <c r="D60" s="131"/>
      <c r="E60" s="131"/>
      <c r="F60" s="130"/>
      <c r="G60" s="131"/>
      <c r="H60" s="131"/>
      <c r="I60" s="131"/>
      <c r="J60" s="131"/>
      <c r="K60" s="131"/>
      <c r="L60" s="131"/>
      <c r="M60" s="65">
        <f>SUM(C60:L60)</f>
        <v>0</v>
      </c>
      <c r="N60" t="str">
        <f>IF(A60="","","Add if multiple transactions, e.g.: $350*0.5 + $450*0.25")</f>
        <v>Add if multiple transactions, e.g.: $350*0.5 + $450*0.25</v>
      </c>
    </row>
    <row r="61" spans="1:14" x14ac:dyDescent="0.35">
      <c r="A61" s="32" t="str">
        <f>IF(A60="","","   Volume of all players (should be zero)")</f>
        <v xml:space="preserve">   Volume of all players (should be zero)</v>
      </c>
      <c r="C61" s="67" t="str">
        <f t="shared" ref="C61:M61" si="32">IF(OR(C$27="",$A61=""),"",C$114)</f>
        <v/>
      </c>
      <c r="D61" s="67" t="str">
        <f t="shared" si="32"/>
        <v/>
      </c>
      <c r="E61" s="67" t="str">
        <f t="shared" si="32"/>
        <v/>
      </c>
      <c r="F61" s="67" t="str">
        <f t="shared" si="32"/>
        <v/>
      </c>
      <c r="G61" s="67" t="str">
        <f t="shared" si="32"/>
        <v/>
      </c>
      <c r="H61" s="67" t="str">
        <f t="shared" si="32"/>
        <v/>
      </c>
      <c r="I61" s="67" t="str">
        <f t="shared" si="32"/>
        <v/>
      </c>
      <c r="J61" s="67" t="str">
        <f t="shared" si="32"/>
        <v/>
      </c>
      <c r="K61" s="67" t="str">
        <f t="shared" si="32"/>
        <v/>
      </c>
      <c r="L61" s="67" t="str">
        <f t="shared" si="32"/>
        <v/>
      </c>
      <c r="M61" t="str">
        <f t="shared" si="32"/>
        <v/>
      </c>
      <c r="N61" t="str">
        <f>IF(A61="","","If non-zero, players need to change amount(s)")</f>
        <v>If non-zero, players need to change amount(s)</v>
      </c>
    </row>
    <row r="62" spans="1:14" x14ac:dyDescent="0.35">
      <c r="A62" s="1" t="str">
        <f>IF(A60="","","   Available Water [maf]")</f>
        <v xml:space="preserve">   Available Water [maf]</v>
      </c>
      <c r="C62" s="14" t="str">
        <f>IF(OR(C$27="",$A62=""),"",C32+C50-C42-C59)</f>
        <v/>
      </c>
      <c r="D62" s="14" t="str">
        <f t="shared" ref="D62:L62" si="33">IF(OR(D$27="",$A62=""),"",D32+D50-D42-D59)</f>
        <v/>
      </c>
      <c r="E62" s="14" t="str">
        <f t="shared" si="33"/>
        <v/>
      </c>
      <c r="F62" s="14" t="str">
        <f t="shared" si="33"/>
        <v/>
      </c>
      <c r="G62" s="14" t="str">
        <f t="shared" si="33"/>
        <v/>
      </c>
      <c r="H62" s="14" t="str">
        <f t="shared" si="33"/>
        <v/>
      </c>
      <c r="I62" s="14" t="str">
        <f t="shared" si="33"/>
        <v/>
      </c>
      <c r="J62" s="14" t="str">
        <f t="shared" si="33"/>
        <v/>
      </c>
      <c r="K62" s="14" t="str">
        <f t="shared" si="33"/>
        <v/>
      </c>
      <c r="L62" s="14" t="str">
        <f t="shared" si="33"/>
        <v/>
      </c>
      <c r="N62" t="str">
        <f>IF(A62="","","Available water = Account Balance + Available Inflow - Evaporation + Sales - Purchases")</f>
        <v>Available water = Account Balance + Available Inflow - Evaporation + Sales - Purchases</v>
      </c>
    </row>
    <row r="63" spans="1:14" x14ac:dyDescent="0.35">
      <c r="A63" s="1" t="str">
        <f>IF(A62="","","   Account Withdraw [maf] (less than available water)")</f>
        <v xml:space="preserve">   Account Withdraw [maf] (less than available water)</v>
      </c>
      <c r="C63" s="132"/>
      <c r="D63" s="132"/>
      <c r="E63" s="132"/>
      <c r="F63" s="132"/>
      <c r="G63" s="132"/>
      <c r="H63" s="132"/>
      <c r="I63" s="132"/>
      <c r="J63" s="132"/>
      <c r="K63" s="132"/>
      <c r="L63" s="132"/>
      <c r="N63" t="str">
        <f>IF(A63="","","Must be less than Available water")</f>
        <v>Must be less than Available water</v>
      </c>
    </row>
    <row r="64" spans="1:14" x14ac:dyDescent="0.35">
      <c r="A64" s="32" t="str">
        <f>IF(A63="","","   End of Year Balance [maf]")</f>
        <v xml:space="preserve">   End of Year Balance [maf]</v>
      </c>
      <c r="C64" s="66" t="str">
        <f>IF(OR(C$27="",$A64=""),"",C62-C63)</f>
        <v/>
      </c>
      <c r="D64" s="66" t="str">
        <f t="shared" ref="D64:L64" si="34">IF(OR(D$27="",$A64=""),"",D62-D63)</f>
        <v/>
      </c>
      <c r="E64" s="66" t="str">
        <f t="shared" si="34"/>
        <v/>
      </c>
      <c r="F64" s="66" t="str">
        <f t="shared" si="34"/>
        <v/>
      </c>
      <c r="G64" s="66" t="str">
        <f t="shared" si="34"/>
        <v/>
      </c>
      <c r="H64" s="66" t="str">
        <f t="shared" si="34"/>
        <v/>
      </c>
      <c r="I64" s="66" t="str">
        <f t="shared" si="34"/>
        <v/>
      </c>
      <c r="J64" s="66" t="str">
        <f t="shared" si="34"/>
        <v/>
      </c>
      <c r="K64" s="66" t="str">
        <f t="shared" si="34"/>
        <v/>
      </c>
      <c r="L64" s="66" t="str">
        <f t="shared" si="34"/>
        <v/>
      </c>
      <c r="N64" t="str">
        <f>IF(A64="","","Available water - Account Withdraw")</f>
        <v>Available water - Account Withdraw</v>
      </c>
    </row>
    <row r="65" spans="1:14" x14ac:dyDescent="0.35">
      <c r="C65"/>
    </row>
    <row r="66" spans="1:14" x14ac:dyDescent="0.35">
      <c r="A66" s="139" t="str">
        <f>IF(A$6="","[Unused]",A6)</f>
        <v>Lower Basin</v>
      </c>
      <c r="B66" s="139"/>
      <c r="C66" s="139"/>
      <c r="D66" s="139"/>
      <c r="E66" s="139"/>
      <c r="F66" s="139"/>
      <c r="G66" s="139"/>
      <c r="H66" s="139"/>
      <c r="I66" s="139"/>
      <c r="J66" s="139"/>
      <c r="K66" s="139"/>
      <c r="L66" s="139"/>
      <c r="M66" s="140" t="s">
        <v>106</v>
      </c>
      <c r="N66" s="139" t="s">
        <v>171</v>
      </c>
    </row>
    <row r="67" spans="1:14" x14ac:dyDescent="0.35">
      <c r="A67" s="32" t="str">
        <f>IF(A66="[Unused]","","   Volume of Sales(+) and Purchases(-) [maf]")</f>
        <v xml:space="preserve">   Volume of Sales(+) and Purchases(-) [maf]</v>
      </c>
      <c r="C67" s="130"/>
      <c r="D67" s="130"/>
      <c r="E67" s="130"/>
      <c r="F67" s="130"/>
      <c r="G67" s="130"/>
      <c r="H67" s="130"/>
      <c r="I67" s="130"/>
      <c r="J67" s="130"/>
      <c r="K67" s="130"/>
      <c r="L67" s="130"/>
      <c r="M67" s="67">
        <f>SUM(C67:L67)</f>
        <v>0</v>
      </c>
      <c r="N67" t="str">
        <f>IF(A67="","",N59)</f>
        <v>Add if multiple transactions, e.g.: 0.5 + 0.25</v>
      </c>
    </row>
    <row r="68" spans="1:14" x14ac:dyDescent="0.35">
      <c r="A68" s="32" t="str">
        <f>IF(A67="","","   Cash Intake(+) and Payments(-) [$ Mill]")</f>
        <v xml:space="preserve">   Cash Intake(+) and Payments(-) [$ Mill]</v>
      </c>
      <c r="C68" s="131"/>
      <c r="D68" s="131"/>
      <c r="E68" s="131"/>
      <c r="F68" s="131"/>
      <c r="G68" s="131"/>
      <c r="H68" s="131"/>
      <c r="I68" s="131"/>
      <c r="J68" s="131"/>
      <c r="K68" s="131"/>
      <c r="L68" s="131"/>
      <c r="M68" s="65">
        <f>SUM(C68:L68)</f>
        <v>0</v>
      </c>
      <c r="N68" t="str">
        <f t="shared" ref="N68:N72" si="35">IF(A68="","",N60)</f>
        <v>Add if multiple transactions, e.g.: $350*0.5 + $450*0.25</v>
      </c>
    </row>
    <row r="69" spans="1:14" x14ac:dyDescent="0.35">
      <c r="A69" s="32" t="str">
        <f>IF(A68="","","   Volume all players (should be zero)")</f>
        <v xml:space="preserve">   Volume all players (should be zero)</v>
      </c>
      <c r="C69" s="67" t="str">
        <f t="shared" ref="C69:M69" si="36">IF(OR(C$27="",$A69=""),"",C$114)</f>
        <v/>
      </c>
      <c r="D69" s="67" t="str">
        <f t="shared" si="36"/>
        <v/>
      </c>
      <c r="E69" s="67" t="str">
        <f t="shared" si="36"/>
        <v/>
      </c>
      <c r="F69" s="67" t="str">
        <f t="shared" si="36"/>
        <v/>
      </c>
      <c r="G69" s="67" t="str">
        <f t="shared" si="36"/>
        <v/>
      </c>
      <c r="H69" s="67" t="str">
        <f t="shared" si="36"/>
        <v/>
      </c>
      <c r="I69" s="67" t="str">
        <f t="shared" si="36"/>
        <v/>
      </c>
      <c r="J69" s="67" t="str">
        <f t="shared" si="36"/>
        <v/>
      </c>
      <c r="K69" s="67" t="str">
        <f t="shared" si="36"/>
        <v/>
      </c>
      <c r="L69" s="67" t="str">
        <f t="shared" si="36"/>
        <v/>
      </c>
      <c r="M69" t="str">
        <f t="shared" si="36"/>
        <v/>
      </c>
      <c r="N69" t="str">
        <f t="shared" si="35"/>
        <v>If non-zero, players need to change amount(s)</v>
      </c>
    </row>
    <row r="70" spans="1:14" x14ac:dyDescent="0.35">
      <c r="A70" s="1" t="str">
        <f>IF(A68="","","   Available Water [maf]")</f>
        <v xml:space="preserve">   Available Water [maf]</v>
      </c>
      <c r="C70" s="14" t="str">
        <f t="shared" ref="C70:L70" si="37">IF(OR(C$27="",$A70=""),"",C33+C51-C43-C67)</f>
        <v/>
      </c>
      <c r="D70" s="14" t="str">
        <f t="shared" si="37"/>
        <v/>
      </c>
      <c r="E70" s="14" t="str">
        <f t="shared" si="37"/>
        <v/>
      </c>
      <c r="F70" s="14" t="str">
        <f t="shared" si="37"/>
        <v/>
      </c>
      <c r="G70" s="14" t="str">
        <f t="shared" si="37"/>
        <v/>
      </c>
      <c r="H70" s="14" t="str">
        <f t="shared" si="37"/>
        <v/>
      </c>
      <c r="I70" s="14" t="str">
        <f t="shared" si="37"/>
        <v/>
      </c>
      <c r="J70" s="14" t="str">
        <f t="shared" si="37"/>
        <v/>
      </c>
      <c r="K70" s="14" t="str">
        <f t="shared" si="37"/>
        <v/>
      </c>
      <c r="L70" s="14" t="str">
        <f t="shared" si="37"/>
        <v/>
      </c>
      <c r="N70" t="str">
        <f t="shared" si="35"/>
        <v>Available water = Account Balance + Available Inflow - Evaporation + Sales - Purchases</v>
      </c>
    </row>
    <row r="71" spans="1:14" x14ac:dyDescent="0.35">
      <c r="A71" s="1" t="str">
        <f>IF(A70="","","   Account Withdraw [maf]")</f>
        <v xml:space="preserve">   Account Withdraw [maf]</v>
      </c>
      <c r="C71" s="132"/>
      <c r="D71" s="132"/>
      <c r="E71" s="132"/>
      <c r="F71" s="132"/>
      <c r="G71" s="132"/>
      <c r="H71" s="132"/>
      <c r="I71" s="132"/>
      <c r="J71" s="132"/>
      <c r="K71" s="132"/>
      <c r="L71" s="132"/>
      <c r="N71" t="str">
        <f t="shared" si="35"/>
        <v>Must be less than Available water</v>
      </c>
    </row>
    <row r="72" spans="1:14" x14ac:dyDescent="0.35">
      <c r="A72" s="32" t="str">
        <f>IF(A71="","","   End of Year Balance [maf]")</f>
        <v xml:space="preserve">   End of Year Balance [maf]</v>
      </c>
      <c r="C72" s="66" t="str">
        <f>IF(OR(C$27="",$A72=""),"",C70-C71)</f>
        <v/>
      </c>
      <c r="D72" s="66" t="str">
        <f t="shared" ref="D72:L72" si="38">IF(OR(D$27="",$A72=""),"",D70-D71)</f>
        <v/>
      </c>
      <c r="E72" s="66" t="str">
        <f t="shared" si="38"/>
        <v/>
      </c>
      <c r="F72" s="66" t="str">
        <f t="shared" si="38"/>
        <v/>
      </c>
      <c r="G72" s="66" t="str">
        <f t="shared" si="38"/>
        <v/>
      </c>
      <c r="H72" s="66" t="str">
        <f t="shared" si="38"/>
        <v/>
      </c>
      <c r="I72" s="66" t="str">
        <f t="shared" si="38"/>
        <v/>
      </c>
      <c r="J72" s="66" t="str">
        <f t="shared" si="38"/>
        <v/>
      </c>
      <c r="K72" s="66" t="str">
        <f t="shared" si="38"/>
        <v/>
      </c>
      <c r="L72" s="66" t="str">
        <f t="shared" si="38"/>
        <v/>
      </c>
      <c r="N72" t="str">
        <f t="shared" si="35"/>
        <v>Available water - Account Withdraw</v>
      </c>
    </row>
    <row r="73" spans="1:14" x14ac:dyDescent="0.35">
      <c r="C73"/>
    </row>
    <row r="74" spans="1:14" x14ac:dyDescent="0.35">
      <c r="A74" s="139" t="str">
        <f>IF(A$7="","[Unused]",A7)</f>
        <v>Mexico</v>
      </c>
      <c r="B74" s="139"/>
      <c r="C74" s="139"/>
      <c r="D74" s="139"/>
      <c r="E74" s="139"/>
      <c r="F74" s="139"/>
      <c r="G74" s="139"/>
      <c r="H74" s="139"/>
      <c r="I74" s="139"/>
      <c r="J74" s="139"/>
      <c r="K74" s="139"/>
      <c r="L74" s="139"/>
      <c r="M74" s="140" t="s">
        <v>106</v>
      </c>
      <c r="N74" s="139" t="s">
        <v>171</v>
      </c>
    </row>
    <row r="75" spans="1:14" x14ac:dyDescent="0.35">
      <c r="A75" s="32" t="str">
        <f>IF(A74="[Unused]","","   Volume of Sales(+) and Purchases(-) [maf]")</f>
        <v xml:space="preserve">   Volume of Sales(+) and Purchases(-) [maf]</v>
      </c>
      <c r="C75" s="130"/>
      <c r="D75" s="130"/>
      <c r="E75" s="130"/>
      <c r="F75" s="130"/>
      <c r="G75" s="130"/>
      <c r="H75" s="130"/>
      <c r="I75" s="130"/>
      <c r="J75" s="130"/>
      <c r="K75" s="130"/>
      <c r="L75" s="130"/>
      <c r="M75" s="67">
        <f>SUM(C75:L75)</f>
        <v>0</v>
      </c>
      <c r="N75" t="str">
        <f>IF(A75="","",N67)</f>
        <v>Add if multiple transactions, e.g.: 0.5 + 0.25</v>
      </c>
    </row>
    <row r="76" spans="1:14" x14ac:dyDescent="0.35">
      <c r="A76" s="32" t="str">
        <f>IF(A75="","","   Cash Intake(+) and Payments(-) [$ Mill]")</f>
        <v xml:space="preserve">   Cash Intake(+) and Payments(-) [$ Mill]</v>
      </c>
      <c r="C76" s="131"/>
      <c r="D76" s="131"/>
      <c r="E76" s="131"/>
      <c r="F76" s="131"/>
      <c r="G76" s="131"/>
      <c r="H76" s="131"/>
      <c r="I76" s="131"/>
      <c r="J76" s="131"/>
      <c r="K76" s="131"/>
      <c r="L76" s="131"/>
      <c r="M76" s="65">
        <f>SUM(C76:L76)</f>
        <v>0</v>
      </c>
      <c r="N76" t="str">
        <f t="shared" ref="N76:N80" si="39">IF(A76="","",N68)</f>
        <v>Add if multiple transactions, e.g.: $350*0.5 + $450*0.25</v>
      </c>
    </row>
    <row r="77" spans="1:14" x14ac:dyDescent="0.35">
      <c r="A77" s="32" t="str">
        <f>IF(A76="","","   Volume all players (should be zero)")</f>
        <v xml:space="preserve">   Volume all players (should be zero)</v>
      </c>
      <c r="C77" s="67" t="str">
        <f t="shared" ref="C77:M77" si="40">IF(OR(C$27="",$A77=""),"",C$114)</f>
        <v/>
      </c>
      <c r="D77" s="67" t="str">
        <f t="shared" si="40"/>
        <v/>
      </c>
      <c r="E77" s="67" t="str">
        <f t="shared" si="40"/>
        <v/>
      </c>
      <c r="F77" s="67" t="str">
        <f t="shared" si="40"/>
        <v/>
      </c>
      <c r="G77" s="67" t="str">
        <f t="shared" si="40"/>
        <v/>
      </c>
      <c r="H77" s="67" t="str">
        <f t="shared" si="40"/>
        <v/>
      </c>
      <c r="I77" s="67" t="str">
        <f t="shared" si="40"/>
        <v/>
      </c>
      <c r="J77" s="67" t="str">
        <f t="shared" si="40"/>
        <v/>
      </c>
      <c r="K77" s="67" t="str">
        <f t="shared" si="40"/>
        <v/>
      </c>
      <c r="L77" s="67" t="str">
        <f t="shared" si="40"/>
        <v/>
      </c>
      <c r="M77" t="str">
        <f t="shared" si="40"/>
        <v/>
      </c>
      <c r="N77" t="str">
        <f t="shared" si="39"/>
        <v>If non-zero, players need to change amount(s)</v>
      </c>
    </row>
    <row r="78" spans="1:14" x14ac:dyDescent="0.35">
      <c r="A78" s="1" t="str">
        <f>IF(A76="","","   Available Water [maf]")</f>
        <v xml:space="preserve">   Available Water [maf]</v>
      </c>
      <c r="C78" s="14" t="str">
        <f t="shared" ref="C78:L78" si="41">IF(OR(C$27="",$A78=""),"",C34+C52-C44-C75)</f>
        <v/>
      </c>
      <c r="D78" s="14" t="str">
        <f t="shared" si="41"/>
        <v/>
      </c>
      <c r="E78" s="14" t="str">
        <f t="shared" si="41"/>
        <v/>
      </c>
      <c r="F78" s="14" t="str">
        <f>IF(OR(F$27="",$A78=""),"",F34+F52-F44-F75)</f>
        <v/>
      </c>
      <c r="G78" s="14" t="str">
        <f t="shared" si="41"/>
        <v/>
      </c>
      <c r="H78" s="14" t="str">
        <f t="shared" si="41"/>
        <v/>
      </c>
      <c r="I78" s="14" t="str">
        <f t="shared" si="41"/>
        <v/>
      </c>
      <c r="J78" s="14" t="str">
        <f t="shared" si="41"/>
        <v/>
      </c>
      <c r="K78" s="14" t="str">
        <f t="shared" si="41"/>
        <v/>
      </c>
      <c r="L78" s="14" t="str">
        <f t="shared" si="41"/>
        <v/>
      </c>
      <c r="N78" t="str">
        <f t="shared" si="39"/>
        <v>Available water = Account Balance + Available Inflow - Evaporation + Sales - Purchases</v>
      </c>
    </row>
    <row r="79" spans="1:14" x14ac:dyDescent="0.35">
      <c r="A79" s="1" t="str">
        <f>IF(A78="","","   Account Withdraw [maf]")</f>
        <v xml:space="preserve">   Account Withdraw [maf]</v>
      </c>
      <c r="C79" s="132"/>
      <c r="D79" s="132"/>
      <c r="E79" s="132"/>
      <c r="F79" s="132"/>
      <c r="G79" s="132"/>
      <c r="H79" s="132"/>
      <c r="I79" s="132"/>
      <c r="J79" s="132"/>
      <c r="K79" s="132"/>
      <c r="L79" s="132"/>
      <c r="N79" t="str">
        <f t="shared" si="39"/>
        <v>Must be less than Available water</v>
      </c>
    </row>
    <row r="80" spans="1:14" x14ac:dyDescent="0.35">
      <c r="A80" s="32" t="str">
        <f>IF(A79="","","   End of Year Balance [maf]")</f>
        <v xml:space="preserve">   End of Year Balance [maf]</v>
      </c>
      <c r="C80" s="66" t="str">
        <f>IF(OR(C$27="",$A80=""),"",C78-C79)</f>
        <v/>
      </c>
      <c r="D80" s="66" t="str">
        <f t="shared" ref="D80:L80" si="42">IF(OR(D$27="",$A80=""),"",D78-D79)</f>
        <v/>
      </c>
      <c r="E80" s="66" t="str">
        <f t="shared" si="42"/>
        <v/>
      </c>
      <c r="F80" s="66" t="str">
        <f t="shared" si="42"/>
        <v/>
      </c>
      <c r="G80" s="66" t="str">
        <f t="shared" si="42"/>
        <v/>
      </c>
      <c r="H80" s="66" t="str">
        <f t="shared" si="42"/>
        <v/>
      </c>
      <c r="I80" s="66" t="str">
        <f t="shared" si="42"/>
        <v/>
      </c>
      <c r="J80" s="66" t="str">
        <f t="shared" si="42"/>
        <v/>
      </c>
      <c r="K80" s="66" t="str">
        <f t="shared" si="42"/>
        <v/>
      </c>
      <c r="L80" s="66" t="str">
        <f t="shared" si="42"/>
        <v/>
      </c>
      <c r="N80" t="str">
        <f t="shared" si="39"/>
        <v>Available water - Account Withdraw</v>
      </c>
    </row>
    <row r="81" spans="1:14" x14ac:dyDescent="0.35">
      <c r="C81"/>
    </row>
    <row r="82" spans="1:14" x14ac:dyDescent="0.35">
      <c r="A82" s="139" t="str">
        <f>IF(A$8="","[Unused]",A8)</f>
        <v>Shared, Reserve</v>
      </c>
      <c r="B82" s="139"/>
      <c r="C82" s="139"/>
      <c r="D82" s="139"/>
      <c r="E82" s="139"/>
      <c r="F82" s="139"/>
      <c r="G82" s="139"/>
      <c r="H82" s="139"/>
      <c r="I82" s="139"/>
      <c r="J82" s="139"/>
      <c r="K82" s="139"/>
      <c r="L82" s="139"/>
      <c r="M82" s="140" t="s">
        <v>106</v>
      </c>
      <c r="N82" s="139" t="s">
        <v>171</v>
      </c>
    </row>
    <row r="83" spans="1:14" x14ac:dyDescent="0.35">
      <c r="A83" s="32" t="str">
        <f>IF(A82="[Unused]","","   Volume of Sales(+) and Purchases(-) [maf]")</f>
        <v xml:space="preserve">   Volume of Sales(+) and Purchases(-) [maf]</v>
      </c>
      <c r="C83" s="25"/>
      <c r="D83" s="25"/>
      <c r="E83" s="25"/>
      <c r="F83" s="25"/>
      <c r="G83" s="25"/>
      <c r="H83" s="25"/>
      <c r="I83" s="25"/>
      <c r="J83" s="25"/>
      <c r="K83" s="25"/>
      <c r="L83" s="25"/>
      <c r="M83" s="67">
        <f>SUM(C83:L83)</f>
        <v>0</v>
      </c>
      <c r="N83" t="str">
        <f>IF(A83="","",N75)</f>
        <v>Add if multiple transactions, e.g.: 0.5 + 0.25</v>
      </c>
    </row>
    <row r="84" spans="1:14" x14ac:dyDescent="0.35">
      <c r="A84" s="32" t="str">
        <f>IF(A83="","","   Cash Intake(+) and Payments(-) [$ Mill]")</f>
        <v xml:space="preserve">   Cash Intake(+) and Payments(-) [$ Mill]</v>
      </c>
      <c r="C84" s="159"/>
      <c r="D84" s="159"/>
      <c r="E84" s="159"/>
      <c r="F84" s="159"/>
      <c r="G84" s="159"/>
      <c r="H84" s="159"/>
      <c r="I84" s="159"/>
      <c r="J84" s="159"/>
      <c r="K84" s="159"/>
      <c r="L84" s="159"/>
      <c r="M84" s="65">
        <f>SUM(C84:L84)</f>
        <v>0</v>
      </c>
      <c r="N84" t="str">
        <f>IF(A84="","","Parties may choose to make these transactions without money to help poor, struggling parties")</f>
        <v>Parties may choose to make these transactions without money to help poor, struggling parties</v>
      </c>
    </row>
    <row r="85" spans="1:14" x14ac:dyDescent="0.35">
      <c r="A85" s="32" t="str">
        <f>IF(A84="","","   Volume all players (should be zero)")</f>
        <v xml:space="preserve">   Volume all players (should be zero)</v>
      </c>
      <c r="C85" s="67" t="str">
        <f t="shared" ref="C85:M85" si="43">IF(OR(C$27="",$A85=""),"",C$114)</f>
        <v/>
      </c>
      <c r="D85" s="67" t="str">
        <f t="shared" si="43"/>
        <v/>
      </c>
      <c r="E85" s="67" t="str">
        <f t="shared" si="43"/>
        <v/>
      </c>
      <c r="F85" s="67" t="str">
        <f t="shared" si="43"/>
        <v/>
      </c>
      <c r="G85" s="67" t="str">
        <f t="shared" si="43"/>
        <v/>
      </c>
      <c r="H85" s="67" t="str">
        <f t="shared" si="43"/>
        <v/>
      </c>
      <c r="I85" s="67" t="str">
        <f t="shared" si="43"/>
        <v/>
      </c>
      <c r="J85" s="67" t="str">
        <f t="shared" si="43"/>
        <v/>
      </c>
      <c r="K85" s="67" t="str">
        <f t="shared" si="43"/>
        <v/>
      </c>
      <c r="L85" s="67" t="str">
        <f t="shared" si="43"/>
        <v/>
      </c>
      <c r="M85" t="str">
        <f t="shared" si="43"/>
        <v/>
      </c>
      <c r="N85" t="str">
        <f t="shared" ref="N85:N88" si="44">IF(A85="","",N77)</f>
        <v>If non-zero, players need to change amount(s)</v>
      </c>
    </row>
    <row r="86" spans="1:14" x14ac:dyDescent="0.35">
      <c r="A86" s="1" t="str">
        <f>IF(A84="","","   Available Water [maf]")</f>
        <v xml:space="preserve">   Available Water [maf]</v>
      </c>
      <c r="C86" s="14" t="str">
        <f t="shared" ref="C86:L86" si="45">IF(OR(C$27="",$A86=""),"",C35+C53-C45-C83)</f>
        <v/>
      </c>
      <c r="D86" s="14" t="str">
        <f t="shared" si="45"/>
        <v/>
      </c>
      <c r="E86" s="14" t="str">
        <f t="shared" si="45"/>
        <v/>
      </c>
      <c r="F86" s="14" t="str">
        <f t="shared" si="45"/>
        <v/>
      </c>
      <c r="G86" s="14" t="str">
        <f t="shared" si="45"/>
        <v/>
      </c>
      <c r="H86" s="14" t="str">
        <f t="shared" si="45"/>
        <v/>
      </c>
      <c r="I86" s="14" t="str">
        <f t="shared" si="45"/>
        <v/>
      </c>
      <c r="J86" s="14" t="str">
        <f t="shared" si="45"/>
        <v/>
      </c>
      <c r="K86" s="14" t="str">
        <f t="shared" si="45"/>
        <v/>
      </c>
      <c r="L86" s="14" t="str">
        <f t="shared" si="45"/>
        <v/>
      </c>
      <c r="N86" t="str">
        <f t="shared" si="44"/>
        <v>Available water = Account Balance + Available Inflow - Evaporation + Sales - Purchases</v>
      </c>
    </row>
    <row r="87" spans="1:14" x14ac:dyDescent="0.35">
      <c r="A87" s="1" t="str">
        <f>IF(A86="","","   Account Withdraw [maf]")</f>
        <v xml:space="preserve">   Account Withdraw [maf]</v>
      </c>
      <c r="C87" s="43"/>
      <c r="D87" s="43"/>
      <c r="E87" s="43"/>
      <c r="F87" s="43"/>
      <c r="G87" s="43"/>
      <c r="H87" s="43"/>
      <c r="I87" s="43"/>
      <c r="J87" s="43"/>
      <c r="K87" s="43"/>
      <c r="L87" s="43"/>
      <c r="N87" t="str">
        <f t="shared" si="44"/>
        <v>Must be less than Available water</v>
      </c>
    </row>
    <row r="88" spans="1:14" x14ac:dyDescent="0.35">
      <c r="A88" s="32" t="str">
        <f>IF(A87="","","   End of Year Balance [maf]")</f>
        <v xml:space="preserve">   End of Year Balance [maf]</v>
      </c>
      <c r="C88" s="66" t="str">
        <f>IF(OR(C$27="",$A88=""),"",C86-C87)</f>
        <v/>
      </c>
      <c r="D88" s="66" t="str">
        <f t="shared" ref="D88:L88" si="46">IF(OR(D$27="",$A88=""),"",D86-D87)</f>
        <v/>
      </c>
      <c r="E88" s="66" t="str">
        <f t="shared" si="46"/>
        <v/>
      </c>
      <c r="F88" s="66" t="str">
        <f t="shared" si="46"/>
        <v/>
      </c>
      <c r="G88" s="66" t="str">
        <f t="shared" si="46"/>
        <v/>
      </c>
      <c r="H88" s="66" t="str">
        <f t="shared" si="46"/>
        <v/>
      </c>
      <c r="I88" s="66" t="str">
        <f t="shared" si="46"/>
        <v/>
      </c>
      <c r="J88" s="66" t="str">
        <f t="shared" si="46"/>
        <v/>
      </c>
      <c r="K88" s="66" t="str">
        <f t="shared" si="46"/>
        <v/>
      </c>
      <c r="L88" s="66" t="str">
        <f t="shared" si="46"/>
        <v/>
      </c>
      <c r="N88" t="str">
        <f t="shared" si="44"/>
        <v>Available water - Account Withdraw</v>
      </c>
    </row>
    <row r="89" spans="1:14" x14ac:dyDescent="0.35">
      <c r="C89"/>
    </row>
    <row r="90" spans="1:14" x14ac:dyDescent="0.35">
      <c r="A90" s="139" t="str">
        <f>IF(A$9="","[Unused]",A9)</f>
        <v>[Unused]</v>
      </c>
      <c r="B90" s="139"/>
      <c r="C90" s="139"/>
      <c r="D90" s="139"/>
      <c r="E90" s="139"/>
      <c r="F90" s="139"/>
      <c r="G90" s="139"/>
      <c r="H90" s="139"/>
      <c r="I90" s="139"/>
      <c r="J90" s="139"/>
      <c r="K90" s="139"/>
      <c r="L90" s="139"/>
      <c r="M90" s="140" t="s">
        <v>106</v>
      </c>
      <c r="N90" s="139" t="s">
        <v>171</v>
      </c>
    </row>
    <row r="91" spans="1:14" x14ac:dyDescent="0.35">
      <c r="A91" s="32" t="str">
        <f>IF(A90="[Unused]","","   Volume of Sales(+) and Purchases(-) [maf]")</f>
        <v/>
      </c>
      <c r="C91" s="130"/>
      <c r="D91" s="130"/>
      <c r="E91" s="130"/>
      <c r="F91" s="130"/>
      <c r="G91" s="130"/>
      <c r="H91" s="130"/>
      <c r="I91" s="130"/>
      <c r="J91" s="130"/>
      <c r="K91" s="130"/>
      <c r="L91" s="130"/>
      <c r="M91" s="67">
        <f>SUM(C91:L91)</f>
        <v>0</v>
      </c>
      <c r="N91" t="str">
        <f>IF(A91="","",N83)</f>
        <v/>
      </c>
    </row>
    <row r="92" spans="1:14" x14ac:dyDescent="0.35">
      <c r="A92" s="32" t="str">
        <f>IF(A91="","","   Cash Intake(+) and Payments(-) [$ Mill]")</f>
        <v/>
      </c>
      <c r="C92" s="131"/>
      <c r="D92" s="131"/>
      <c r="E92" s="131"/>
      <c r="F92" s="131"/>
      <c r="G92" s="131"/>
      <c r="H92" s="131"/>
      <c r="I92" s="131"/>
      <c r="J92" s="131"/>
      <c r="K92" s="131"/>
      <c r="L92" s="131"/>
      <c r="M92" s="65">
        <f>SUM(C92:L92)</f>
        <v>0</v>
      </c>
      <c r="N92" t="str">
        <f t="shared" ref="N92:N96" si="47">IF(A92="","",N84)</f>
        <v/>
      </c>
    </row>
    <row r="93" spans="1:14" x14ac:dyDescent="0.35">
      <c r="A93" s="32" t="str">
        <f>IF(A92="","","   Volume all players (should be zero)")</f>
        <v/>
      </c>
      <c r="C93" s="67" t="str">
        <f t="shared" ref="C93:M93" si="48">IF(OR(C$27="",$A93=""),"",C$114)</f>
        <v/>
      </c>
      <c r="D93" s="67" t="str">
        <f t="shared" si="48"/>
        <v/>
      </c>
      <c r="E93" s="67" t="str">
        <f t="shared" si="48"/>
        <v/>
      </c>
      <c r="F93" s="67" t="str">
        <f t="shared" si="48"/>
        <v/>
      </c>
      <c r="G93" s="67" t="str">
        <f t="shared" si="48"/>
        <v/>
      </c>
      <c r="H93" s="67" t="str">
        <f t="shared" si="48"/>
        <v/>
      </c>
      <c r="I93" s="67" t="str">
        <f t="shared" si="48"/>
        <v/>
      </c>
      <c r="J93" s="67" t="str">
        <f t="shared" si="48"/>
        <v/>
      </c>
      <c r="K93" s="67" t="str">
        <f t="shared" si="48"/>
        <v/>
      </c>
      <c r="L93" s="67" t="str">
        <f t="shared" si="48"/>
        <v/>
      </c>
      <c r="M93" t="str">
        <f t="shared" si="48"/>
        <v/>
      </c>
      <c r="N93" t="str">
        <f t="shared" si="47"/>
        <v/>
      </c>
    </row>
    <row r="94" spans="1:14" x14ac:dyDescent="0.35">
      <c r="A94" s="1" t="str">
        <f>IF(A92="","","   Available Water [maf]")</f>
        <v/>
      </c>
      <c r="C94" s="14" t="str">
        <f t="shared" ref="C94:L94" si="49">IF(OR(C$27="",$A94=""),"",C36+C54-C46-C91)</f>
        <v/>
      </c>
      <c r="D94" s="14" t="str">
        <f t="shared" si="49"/>
        <v/>
      </c>
      <c r="E94" s="14" t="str">
        <f t="shared" si="49"/>
        <v/>
      </c>
      <c r="F94" s="14" t="str">
        <f t="shared" si="49"/>
        <v/>
      </c>
      <c r="G94" s="14" t="str">
        <f t="shared" si="49"/>
        <v/>
      </c>
      <c r="H94" s="14" t="str">
        <f t="shared" si="49"/>
        <v/>
      </c>
      <c r="I94" s="14" t="str">
        <f t="shared" si="49"/>
        <v/>
      </c>
      <c r="J94" s="14" t="str">
        <f t="shared" si="49"/>
        <v/>
      </c>
      <c r="K94" s="14" t="str">
        <f t="shared" si="49"/>
        <v/>
      </c>
      <c r="L94" s="14" t="str">
        <f t="shared" si="49"/>
        <v/>
      </c>
      <c r="N94" t="str">
        <f t="shared" si="47"/>
        <v/>
      </c>
    </row>
    <row r="95" spans="1:14" x14ac:dyDescent="0.35">
      <c r="A95" s="1" t="str">
        <f>IF(A94="","","   Account Withdraw [maf]")</f>
        <v/>
      </c>
      <c r="C95" s="132"/>
      <c r="D95" s="132"/>
      <c r="E95" s="132"/>
      <c r="F95" s="132"/>
      <c r="G95" s="132"/>
      <c r="H95" s="132"/>
      <c r="I95" s="132"/>
      <c r="J95" s="132"/>
      <c r="K95" s="132"/>
      <c r="L95" s="132"/>
      <c r="N95" t="str">
        <f t="shared" si="47"/>
        <v/>
      </c>
    </row>
    <row r="96" spans="1:14" x14ac:dyDescent="0.35">
      <c r="A96" s="32" t="str">
        <f>IF(A95="","","   End of Year Balance [maf]")</f>
        <v/>
      </c>
      <c r="C96" s="66" t="str">
        <f>IF(OR(C$27="",$A96=""),"",C94-C95)</f>
        <v/>
      </c>
      <c r="D96" s="66" t="str">
        <f t="shared" ref="D96:L96" si="50">IF(OR(D$27="",$A96=""),"",D94-D95)</f>
        <v/>
      </c>
      <c r="E96" s="66" t="str">
        <f t="shared" si="50"/>
        <v/>
      </c>
      <c r="F96" s="66" t="str">
        <f t="shared" si="50"/>
        <v/>
      </c>
      <c r="G96" s="66" t="str">
        <f t="shared" si="50"/>
        <v/>
      </c>
      <c r="H96" s="66" t="str">
        <f t="shared" si="50"/>
        <v/>
      </c>
      <c r="I96" s="66" t="str">
        <f t="shared" si="50"/>
        <v/>
      </c>
      <c r="J96" s="66" t="str">
        <f t="shared" si="50"/>
        <v/>
      </c>
      <c r="K96" s="66" t="str">
        <f t="shared" si="50"/>
        <v/>
      </c>
      <c r="L96" s="66" t="str">
        <f t="shared" si="50"/>
        <v/>
      </c>
      <c r="N96" t="str">
        <f t="shared" si="47"/>
        <v/>
      </c>
    </row>
    <row r="97" spans="1:14" x14ac:dyDescent="0.35">
      <c r="C97"/>
    </row>
    <row r="98" spans="1:14" x14ac:dyDescent="0.35">
      <c r="A98" s="139" t="str">
        <f>IF(A$10="","[Unused]",A10)</f>
        <v>[Unused]</v>
      </c>
      <c r="B98" s="139"/>
      <c r="C98" s="139"/>
      <c r="D98" s="139"/>
      <c r="E98" s="139"/>
      <c r="F98" s="139"/>
      <c r="G98" s="139"/>
      <c r="H98" s="139"/>
      <c r="I98" s="139"/>
      <c r="J98" s="139"/>
      <c r="K98" s="139"/>
      <c r="L98" s="139"/>
      <c r="M98" s="140" t="s">
        <v>106</v>
      </c>
      <c r="N98" s="139" t="s">
        <v>171</v>
      </c>
    </row>
    <row r="99" spans="1:14" x14ac:dyDescent="0.35">
      <c r="A99" s="32" t="str">
        <f>IF(A98="[Unused]","","   Volume of Sales(+) and Purchases(-) [maf]")</f>
        <v/>
      </c>
      <c r="C99" s="130"/>
      <c r="D99" s="130"/>
      <c r="E99" s="130"/>
      <c r="F99" s="130"/>
      <c r="G99" s="130"/>
      <c r="H99" s="130"/>
      <c r="I99" s="130"/>
      <c r="J99" s="130"/>
      <c r="K99" s="130"/>
      <c r="L99" s="130"/>
      <c r="M99" s="67">
        <f>SUM(C99:L99)</f>
        <v>0</v>
      </c>
      <c r="N99" t="str">
        <f>IF(A99="","",N91)</f>
        <v/>
      </c>
    </row>
    <row r="100" spans="1:14" x14ac:dyDescent="0.35">
      <c r="A100" s="32" t="str">
        <f>IF(A99="","","   Cash Intake(+) and Payments(-) [$ Mill]")</f>
        <v/>
      </c>
      <c r="C100" s="131"/>
      <c r="D100" s="131"/>
      <c r="E100" s="131"/>
      <c r="F100" s="131"/>
      <c r="G100" s="131"/>
      <c r="H100" s="131"/>
      <c r="I100" s="131"/>
      <c r="J100" s="131"/>
      <c r="K100" s="131"/>
      <c r="L100" s="131"/>
      <c r="M100" s="65">
        <f>SUM(C100:L100)</f>
        <v>0</v>
      </c>
      <c r="N100" t="str">
        <f t="shared" ref="N100:N104" si="51">IF(A100="","",N92)</f>
        <v/>
      </c>
    </row>
    <row r="101" spans="1:14" x14ac:dyDescent="0.35">
      <c r="A101" s="32" t="str">
        <f>IF(A100="","","   Volume all players (should be zero)")</f>
        <v/>
      </c>
      <c r="C101" s="67" t="str">
        <f t="shared" ref="C101:M101" si="52">IF(OR(C$27="",$A101=""),"",C$114)</f>
        <v/>
      </c>
      <c r="D101" s="67" t="str">
        <f t="shared" si="52"/>
        <v/>
      </c>
      <c r="E101" s="67" t="str">
        <f t="shared" si="52"/>
        <v/>
      </c>
      <c r="F101" s="67" t="str">
        <f t="shared" si="52"/>
        <v/>
      </c>
      <c r="G101" s="67" t="str">
        <f t="shared" si="52"/>
        <v/>
      </c>
      <c r="H101" s="67" t="str">
        <f t="shared" si="52"/>
        <v/>
      </c>
      <c r="I101" s="67" t="str">
        <f t="shared" si="52"/>
        <v/>
      </c>
      <c r="J101" s="67" t="str">
        <f t="shared" si="52"/>
        <v/>
      </c>
      <c r="K101" s="67" t="str">
        <f t="shared" si="52"/>
        <v/>
      </c>
      <c r="L101" s="67" t="str">
        <f t="shared" si="52"/>
        <v/>
      </c>
      <c r="M101" t="str">
        <f t="shared" si="52"/>
        <v/>
      </c>
      <c r="N101" t="str">
        <f t="shared" si="51"/>
        <v/>
      </c>
    </row>
    <row r="102" spans="1:14" x14ac:dyDescent="0.35">
      <c r="A102" s="1" t="str">
        <f>IF(A100="","","   Available Water [maf]")</f>
        <v/>
      </c>
      <c r="C102" s="14" t="str">
        <f t="shared" ref="C102:L102" si="53">IF(OR(C$27="",$A102=""),"",C37+C55-C47-C99)</f>
        <v/>
      </c>
      <c r="D102" s="14" t="str">
        <f t="shared" si="53"/>
        <v/>
      </c>
      <c r="E102" s="14" t="str">
        <f t="shared" si="53"/>
        <v/>
      </c>
      <c r="F102" s="14" t="str">
        <f t="shared" si="53"/>
        <v/>
      </c>
      <c r="G102" s="14" t="str">
        <f t="shared" si="53"/>
        <v/>
      </c>
      <c r="H102" s="14" t="str">
        <f t="shared" si="53"/>
        <v/>
      </c>
      <c r="I102" s="14" t="str">
        <f t="shared" si="53"/>
        <v/>
      </c>
      <c r="J102" s="14" t="str">
        <f t="shared" si="53"/>
        <v/>
      </c>
      <c r="K102" s="14" t="str">
        <f t="shared" si="53"/>
        <v/>
      </c>
      <c r="L102" s="14" t="str">
        <f t="shared" si="53"/>
        <v/>
      </c>
      <c r="N102" t="str">
        <f t="shared" si="51"/>
        <v/>
      </c>
    </row>
    <row r="103" spans="1:14" x14ac:dyDescent="0.35">
      <c r="A103" s="1" t="str">
        <f>IF(A102="","","   Account Withdraw [maf]")</f>
        <v/>
      </c>
      <c r="C103" s="132"/>
      <c r="D103" s="132"/>
      <c r="E103" s="132"/>
      <c r="F103" s="132"/>
      <c r="G103" s="132"/>
      <c r="H103" s="132"/>
      <c r="I103" s="132"/>
      <c r="J103" s="132"/>
      <c r="K103" s="132"/>
      <c r="L103" s="132"/>
      <c r="N103" t="str">
        <f t="shared" si="51"/>
        <v/>
      </c>
    </row>
    <row r="104" spans="1:14" x14ac:dyDescent="0.35">
      <c r="A104" s="32" t="str">
        <f>IF(A103="","","   End of Year Balance [maf]")</f>
        <v/>
      </c>
      <c r="C104" s="66" t="str">
        <f>IF(OR(C$27="",$A104=""),"",C102-C103)</f>
        <v/>
      </c>
      <c r="D104" s="66" t="str">
        <f t="shared" ref="D104:L104" si="54">IF(OR(D$27="",$A104=""),"",D102-D103)</f>
        <v/>
      </c>
      <c r="E104" s="66" t="str">
        <f t="shared" si="54"/>
        <v/>
      </c>
      <c r="F104" s="66" t="str">
        <f t="shared" si="54"/>
        <v/>
      </c>
      <c r="G104" s="66" t="str">
        <f t="shared" si="54"/>
        <v/>
      </c>
      <c r="H104" s="66" t="str">
        <f t="shared" si="54"/>
        <v/>
      </c>
      <c r="I104" s="66" t="str">
        <f t="shared" si="54"/>
        <v/>
      </c>
      <c r="J104" s="66" t="str">
        <f t="shared" si="54"/>
        <v/>
      </c>
      <c r="K104" s="66" t="str">
        <f t="shared" si="54"/>
        <v/>
      </c>
      <c r="L104" s="66" t="str">
        <f t="shared" si="54"/>
        <v/>
      </c>
      <c r="N104" t="str">
        <f t="shared" si="51"/>
        <v/>
      </c>
    </row>
    <row r="105" spans="1:14" x14ac:dyDescent="0.35">
      <c r="C105"/>
    </row>
    <row r="106" spans="1:14" x14ac:dyDescent="0.35">
      <c r="A106" s="141" t="s">
        <v>182</v>
      </c>
      <c r="B106" s="141"/>
      <c r="C106" s="141"/>
      <c r="D106" s="141"/>
      <c r="E106" s="141"/>
      <c r="F106" s="141"/>
      <c r="G106" s="141"/>
      <c r="H106" s="141"/>
      <c r="I106" s="141"/>
      <c r="J106" s="141"/>
      <c r="K106" s="141"/>
      <c r="L106" s="141"/>
      <c r="M106" s="141"/>
      <c r="N106" s="141"/>
    </row>
    <row r="107" spans="1:14" x14ac:dyDescent="0.35">
      <c r="A107" s="1" t="s">
        <v>148</v>
      </c>
      <c r="C107"/>
      <c r="M107" t="s">
        <v>181</v>
      </c>
      <c r="N107" t="s">
        <v>149</v>
      </c>
    </row>
    <row r="108" spans="1:14" x14ac:dyDescent="0.35">
      <c r="A108" t="str">
        <f t="shared" ref="A108:A113" si="55">IF(A5="","","    "&amp;A5)</f>
        <v xml:space="preserve">    Upper Basin</v>
      </c>
      <c r="B108" s="1"/>
      <c r="C108" s="67" t="str">
        <f t="shared" ref="C108:L108" ca="1" si="56">IF(OR(C$27="",$A108=""),"",OFFSET(C$59,8*(ROW(B108)-ROW(B$108)),0))</f>
        <v/>
      </c>
      <c r="D108" s="67" t="str">
        <f t="shared" ca="1" si="56"/>
        <v/>
      </c>
      <c r="E108" s="67" t="str">
        <f t="shared" ca="1" si="56"/>
        <v/>
      </c>
      <c r="F108" s="67" t="str">
        <f t="shared" ca="1" si="56"/>
        <v/>
      </c>
      <c r="G108" s="67" t="str">
        <f t="shared" ca="1" si="56"/>
        <v/>
      </c>
      <c r="H108" s="67" t="str">
        <f t="shared" ca="1" si="56"/>
        <v/>
      </c>
      <c r="I108" s="67" t="str">
        <f t="shared" ca="1" si="56"/>
        <v/>
      </c>
      <c r="J108" s="67" t="str">
        <f t="shared" ca="1" si="56"/>
        <v/>
      </c>
      <c r="K108" s="67" t="str">
        <f t="shared" ca="1" si="56"/>
        <v/>
      </c>
      <c r="L108" s="67" t="str">
        <f t="shared" ca="1" si="56"/>
        <v/>
      </c>
      <c r="M108" s="67">
        <f ca="1">IF(OR($A108=""),"",SUM(C108:L108))</f>
        <v>0</v>
      </c>
      <c r="N108" s="65">
        <f>IF(OR($A108=""),"",M60)</f>
        <v>0</v>
      </c>
    </row>
    <row r="109" spans="1:14" x14ac:dyDescent="0.35">
      <c r="A109" t="str">
        <f t="shared" si="55"/>
        <v xml:space="preserve">    Lower Basin</v>
      </c>
      <c r="B109" s="1"/>
      <c r="C109" s="67" t="str">
        <f t="shared" ref="C109:L109" ca="1" si="57">IF(OR(C$27="",$A109=""),"",OFFSET(C$59,8*(ROW(B109)-ROW(B$108)),0))</f>
        <v/>
      </c>
      <c r="D109" s="67" t="str">
        <f t="shared" ca="1" si="57"/>
        <v/>
      </c>
      <c r="E109" s="67" t="str">
        <f t="shared" ca="1" si="57"/>
        <v/>
      </c>
      <c r="F109" s="67" t="str">
        <f t="shared" ca="1" si="57"/>
        <v/>
      </c>
      <c r="G109" s="67" t="str">
        <f t="shared" ca="1" si="57"/>
        <v/>
      </c>
      <c r="H109" s="67" t="str">
        <f t="shared" ca="1" si="57"/>
        <v/>
      </c>
      <c r="I109" s="67" t="str">
        <f t="shared" ca="1" si="57"/>
        <v/>
      </c>
      <c r="J109" s="67" t="str">
        <f t="shared" ca="1" si="57"/>
        <v/>
      </c>
      <c r="K109" s="67" t="str">
        <f t="shared" ca="1" si="57"/>
        <v/>
      </c>
      <c r="L109" s="67" t="str">
        <f t="shared" ca="1" si="57"/>
        <v/>
      </c>
      <c r="M109" s="67">
        <f t="shared" ref="M109:M113" ca="1" si="58">IF(OR($A109=""),"",SUM(C109:L109))</f>
        <v>0</v>
      </c>
      <c r="N109" s="65">
        <f>IF(OR($A109=""),"",M68)</f>
        <v>0</v>
      </c>
    </row>
    <row r="110" spans="1:14" x14ac:dyDescent="0.35">
      <c r="A110" t="str">
        <f t="shared" si="55"/>
        <v xml:space="preserve">    Mexico</v>
      </c>
      <c r="B110" s="1"/>
      <c r="C110" s="67" t="str">
        <f t="shared" ref="C110:L110" ca="1" si="59">IF(OR(C$27="",$A110=""),"",OFFSET(C$59,8*(ROW(B110)-ROW(B$108)),0))</f>
        <v/>
      </c>
      <c r="D110" s="67" t="str">
        <f t="shared" ca="1" si="59"/>
        <v/>
      </c>
      <c r="E110" s="67" t="str">
        <f t="shared" ca="1" si="59"/>
        <v/>
      </c>
      <c r="F110" s="67" t="str">
        <f t="shared" ca="1" si="59"/>
        <v/>
      </c>
      <c r="G110" s="67" t="str">
        <f t="shared" ca="1" si="59"/>
        <v/>
      </c>
      <c r="H110" s="67" t="str">
        <f t="shared" ca="1" si="59"/>
        <v/>
      </c>
      <c r="I110" s="67" t="str">
        <f t="shared" ca="1" si="59"/>
        <v/>
      </c>
      <c r="J110" s="67" t="str">
        <f t="shared" ca="1" si="59"/>
        <v/>
      </c>
      <c r="K110" s="67" t="str">
        <f t="shared" ca="1" si="59"/>
        <v/>
      </c>
      <c r="L110" s="67" t="str">
        <f t="shared" ca="1" si="59"/>
        <v/>
      </c>
      <c r="M110" s="67">
        <f t="shared" ca="1" si="58"/>
        <v>0</v>
      </c>
      <c r="N110" s="65">
        <f>IF(OR($A110=""),"",M76)</f>
        <v>0</v>
      </c>
    </row>
    <row r="111" spans="1:14" x14ac:dyDescent="0.35">
      <c r="A111" t="str">
        <f t="shared" si="55"/>
        <v xml:space="preserve">    Shared, Reserve</v>
      </c>
      <c r="B111" s="1"/>
      <c r="C111" s="67" t="str">
        <f t="shared" ref="C111:L111" ca="1" si="60">IF(OR(C$27="",$A111=""),"",OFFSET(C$59,8*(ROW(B111)-ROW(B$108)),0))</f>
        <v/>
      </c>
      <c r="D111" s="67" t="str">
        <f t="shared" ca="1" si="60"/>
        <v/>
      </c>
      <c r="E111" s="67" t="str">
        <f t="shared" ca="1" si="60"/>
        <v/>
      </c>
      <c r="F111" s="67" t="str">
        <f t="shared" ca="1" si="60"/>
        <v/>
      </c>
      <c r="G111" s="67" t="str">
        <f t="shared" ca="1" si="60"/>
        <v/>
      </c>
      <c r="H111" s="67" t="str">
        <f t="shared" ca="1" si="60"/>
        <v/>
      </c>
      <c r="I111" s="67" t="str">
        <f t="shared" ca="1" si="60"/>
        <v/>
      </c>
      <c r="J111" s="67" t="str">
        <f t="shared" ca="1" si="60"/>
        <v/>
      </c>
      <c r="K111" s="67" t="str">
        <f t="shared" ca="1" si="60"/>
        <v/>
      </c>
      <c r="L111" s="67" t="str">
        <f t="shared" ca="1" si="60"/>
        <v/>
      </c>
      <c r="M111" s="67">
        <f t="shared" ca="1" si="58"/>
        <v>0</v>
      </c>
      <c r="N111" s="65">
        <f>IF(OR($A111=""),"",M84)</f>
        <v>0</v>
      </c>
    </row>
    <row r="112" spans="1:14" x14ac:dyDescent="0.35">
      <c r="A112" t="str">
        <f t="shared" si="55"/>
        <v/>
      </c>
      <c r="B112" s="1"/>
      <c r="C112" s="67" t="str">
        <f t="shared" ref="C112:L112" ca="1" si="61">IF(OR(C$27="",$A112=""),"",OFFSET(C$59,8*(ROW(B112)-ROW(B$108)),0))</f>
        <v/>
      </c>
      <c r="D112" s="67" t="str">
        <f t="shared" ca="1" si="61"/>
        <v/>
      </c>
      <c r="E112" s="67" t="str">
        <f t="shared" ca="1" si="61"/>
        <v/>
      </c>
      <c r="F112" s="67" t="str">
        <f t="shared" ca="1" si="61"/>
        <v/>
      </c>
      <c r="G112" s="67" t="str">
        <f t="shared" ca="1" si="61"/>
        <v/>
      </c>
      <c r="H112" s="67" t="str">
        <f t="shared" ca="1" si="61"/>
        <v/>
      </c>
      <c r="I112" s="67" t="str">
        <f t="shared" ca="1" si="61"/>
        <v/>
      </c>
      <c r="J112" s="67" t="str">
        <f t="shared" ca="1" si="61"/>
        <v/>
      </c>
      <c r="K112" s="67" t="str">
        <f t="shared" ca="1" si="61"/>
        <v/>
      </c>
      <c r="L112" s="67" t="str">
        <f t="shared" ca="1" si="61"/>
        <v/>
      </c>
      <c r="M112" s="67" t="str">
        <f t="shared" si="58"/>
        <v/>
      </c>
      <c r="N112" s="65" t="str">
        <f>IF(OR($A112=""),"",M92)</f>
        <v/>
      </c>
    </row>
    <row r="113" spans="1:14" x14ac:dyDescent="0.35">
      <c r="A113" t="str">
        <f t="shared" si="55"/>
        <v/>
      </c>
      <c r="B113" s="1"/>
      <c r="C113" s="67" t="str">
        <f t="shared" ref="C113:L113" ca="1" si="62">IF(OR(C$27="",$A113=""),"",OFFSET(C$59,8*(ROW(B113)-ROW(B$108)),0))</f>
        <v/>
      </c>
      <c r="D113" s="67" t="str">
        <f t="shared" ca="1" si="62"/>
        <v/>
      </c>
      <c r="E113" s="67" t="str">
        <f t="shared" ca="1" si="62"/>
        <v/>
      </c>
      <c r="F113" s="67" t="str">
        <f t="shared" ca="1" si="62"/>
        <v/>
      </c>
      <c r="G113" s="67" t="str">
        <f t="shared" ca="1" si="62"/>
        <v/>
      </c>
      <c r="H113" s="67" t="str">
        <f t="shared" ca="1" si="62"/>
        <v/>
      </c>
      <c r="I113" s="67" t="str">
        <f t="shared" ca="1" si="62"/>
        <v/>
      </c>
      <c r="J113" s="67" t="str">
        <f t="shared" ca="1" si="62"/>
        <v/>
      </c>
      <c r="K113" s="67" t="str">
        <f t="shared" ca="1" si="62"/>
        <v/>
      </c>
      <c r="L113" s="67" t="str">
        <f t="shared" ca="1" si="62"/>
        <v/>
      </c>
      <c r="M113" s="67" t="str">
        <f t="shared" si="58"/>
        <v/>
      </c>
      <c r="N113" s="65" t="str">
        <f>IF(OR($A113=""),"",M100)</f>
        <v/>
      </c>
    </row>
    <row r="114" spans="1:14" x14ac:dyDescent="0.35">
      <c r="A114" t="s">
        <v>145</v>
      </c>
      <c r="B114" s="1"/>
      <c r="C114" s="51" t="str">
        <f>IF(C$27&lt;&gt;"",SUM(C108:C113),"")</f>
        <v/>
      </c>
      <c r="D114" s="51" t="str">
        <f t="shared" ref="D114:L114" si="63">IF(D$27&lt;&gt;"",SUM(D108:D113),"")</f>
        <v/>
      </c>
      <c r="E114" s="115" t="str">
        <f t="shared" si="63"/>
        <v/>
      </c>
      <c r="F114" s="51" t="str">
        <f t="shared" si="63"/>
        <v/>
      </c>
      <c r="G114" s="51" t="str">
        <f t="shared" si="63"/>
        <v/>
      </c>
      <c r="H114" s="51" t="str">
        <f t="shared" si="63"/>
        <v/>
      </c>
      <c r="I114" s="51" t="str">
        <f t="shared" si="63"/>
        <v/>
      </c>
      <c r="J114" s="51" t="str">
        <f t="shared" si="63"/>
        <v/>
      </c>
      <c r="K114" s="51" t="str">
        <f t="shared" si="63"/>
        <v/>
      </c>
      <c r="L114" s="51" t="str">
        <f t="shared" si="63"/>
        <v/>
      </c>
      <c r="M114" s="34"/>
    </row>
    <row r="115" spans="1:14" x14ac:dyDescent="0.35">
      <c r="A115" s="1" t="s">
        <v>133</v>
      </c>
      <c r="B115" s="1"/>
      <c r="C115" s="54"/>
      <c r="D115" s="2"/>
      <c r="E115" s="54"/>
      <c r="F115" s="2"/>
      <c r="G115" s="2"/>
      <c r="H115" s="2"/>
      <c r="I115" s="2"/>
      <c r="J115" s="2"/>
      <c r="K115" s="2"/>
      <c r="L115" s="2"/>
    </row>
    <row r="116" spans="1:14" x14ac:dyDescent="0.35">
      <c r="A116" t="str">
        <f>IF(A5="","","    "&amp;A5&amp;" - Consumptive Use and Headwaters Losses")</f>
        <v xml:space="preserve">    Upper Basin - Consumptive Use and Headwaters Losses</v>
      </c>
      <c r="C116" s="67" t="str">
        <f t="shared" ref="C116:L116" ca="1" si="64">IF(OR(C$27="",$A116=""),"",OFFSET(C$63,8*(ROW(B116)-ROW(B$116)),0))</f>
        <v/>
      </c>
      <c r="D116" s="67" t="str">
        <f t="shared" ca="1" si="64"/>
        <v/>
      </c>
      <c r="E116" s="67" t="str">
        <f t="shared" ca="1" si="64"/>
        <v/>
      </c>
      <c r="F116" s="67" t="str">
        <f t="shared" ca="1" si="64"/>
        <v/>
      </c>
      <c r="G116" s="67" t="str">
        <f t="shared" ca="1" si="64"/>
        <v/>
      </c>
      <c r="H116" s="67" t="str">
        <f t="shared" ca="1" si="64"/>
        <v/>
      </c>
      <c r="I116" s="67" t="str">
        <f t="shared" ca="1" si="64"/>
        <v/>
      </c>
      <c r="J116" s="67" t="str">
        <f t="shared" ca="1" si="64"/>
        <v/>
      </c>
      <c r="K116" s="67" t="str">
        <f t="shared" ca="1" si="64"/>
        <v/>
      </c>
      <c r="L116" s="67" t="str">
        <f t="shared" ca="1" si="64"/>
        <v/>
      </c>
    </row>
    <row r="117" spans="1:14" x14ac:dyDescent="0.35">
      <c r="A117" t="str">
        <f>IF(A6="","","    "&amp;A6&amp;" - Release from Mead")</f>
        <v xml:space="preserve">    Lower Basin - Release from Mead</v>
      </c>
      <c r="C117" s="67" t="str">
        <f t="shared" ref="C117:L117" ca="1" si="65">IF(OR(C$27="",$A117=""),"",OFFSET(C$63,8*(ROW(B117)-ROW(B$116)),0))</f>
        <v/>
      </c>
      <c r="D117" s="67" t="str">
        <f t="shared" ca="1" si="65"/>
        <v/>
      </c>
      <c r="E117" s="67" t="str">
        <f t="shared" ca="1" si="65"/>
        <v/>
      </c>
      <c r="F117" s="67" t="str">
        <f t="shared" ca="1" si="65"/>
        <v/>
      </c>
      <c r="G117" s="67" t="str">
        <f t="shared" ca="1" si="65"/>
        <v/>
      </c>
      <c r="H117" s="67" t="str">
        <f t="shared" ca="1" si="65"/>
        <v/>
      </c>
      <c r="I117" s="67" t="str">
        <f t="shared" ca="1" si="65"/>
        <v/>
      </c>
      <c r="J117" s="67" t="str">
        <f t="shared" ca="1" si="65"/>
        <v/>
      </c>
      <c r="K117" s="67" t="str">
        <f t="shared" ca="1" si="65"/>
        <v/>
      </c>
      <c r="L117" s="67" t="str">
        <f t="shared" ca="1" si="65"/>
        <v/>
      </c>
    </row>
    <row r="118" spans="1:14" x14ac:dyDescent="0.35">
      <c r="A118" t="str">
        <f>IF(A7="","","    "&amp;A7&amp;" - Release from Mead")</f>
        <v xml:space="preserve">    Mexico - Release from Mead</v>
      </c>
      <c r="C118" s="67" t="str">
        <f t="shared" ref="C118:L118" ca="1" si="66">IF(OR(C$27="",$A118=""),"",OFFSET(C$63,8*(ROW(B118)-ROW(B$116)),0))</f>
        <v/>
      </c>
      <c r="D118" s="67" t="str">
        <f t="shared" ca="1" si="66"/>
        <v/>
      </c>
      <c r="E118" s="67" t="str">
        <f t="shared" ca="1" si="66"/>
        <v/>
      </c>
      <c r="F118" s="67" t="str">
        <f t="shared" ca="1" si="66"/>
        <v/>
      </c>
      <c r="G118" s="67" t="str">
        <f t="shared" ca="1" si="66"/>
        <v/>
      </c>
      <c r="H118" s="67" t="str">
        <f t="shared" ca="1" si="66"/>
        <v/>
      </c>
      <c r="I118" s="67" t="str">
        <f t="shared" ca="1" si="66"/>
        <v/>
      </c>
      <c r="J118" s="67" t="str">
        <f t="shared" ca="1" si="66"/>
        <v/>
      </c>
      <c r="K118" s="67" t="str">
        <f t="shared" ca="1" si="66"/>
        <v/>
      </c>
      <c r="L118" s="67" t="str">
        <f t="shared" ca="1" si="66"/>
        <v/>
      </c>
    </row>
    <row r="119" spans="1:14" x14ac:dyDescent="0.35">
      <c r="A119" t="str">
        <f>IF(A8="","","    "&amp;A8&amp;" - Release from Mead")</f>
        <v xml:space="preserve">    Shared, Reserve - Release from Mead</v>
      </c>
      <c r="C119" s="67" t="str">
        <f t="shared" ref="C119:L119" ca="1" si="67">IF(OR(C$27="",$A119=""),"",OFFSET(C$63,8*(ROW(B119)-ROW(B$116)),0))</f>
        <v/>
      </c>
      <c r="D119" s="67" t="str">
        <f t="shared" ca="1" si="67"/>
        <v/>
      </c>
      <c r="E119" s="67" t="str">
        <f t="shared" ca="1" si="67"/>
        <v/>
      </c>
      <c r="F119" s="67" t="str">
        <f t="shared" ca="1" si="67"/>
        <v/>
      </c>
      <c r="G119" s="67" t="str">
        <f t="shared" ca="1" si="67"/>
        <v/>
      </c>
      <c r="H119" s="67" t="str">
        <f t="shared" ca="1" si="67"/>
        <v/>
      </c>
      <c r="I119" s="67" t="str">
        <f t="shared" ca="1" si="67"/>
        <v/>
      </c>
      <c r="J119" s="67" t="str">
        <f t="shared" ca="1" si="67"/>
        <v/>
      </c>
      <c r="K119" s="67" t="str">
        <f t="shared" ca="1" si="67"/>
        <v/>
      </c>
      <c r="L119" s="67" t="str">
        <f t="shared" ca="1" si="67"/>
        <v/>
      </c>
    </row>
    <row r="120" spans="1:14" x14ac:dyDescent="0.35">
      <c r="A120" t="str">
        <f>IF(A9="","","    "&amp;A9&amp;" - Release from Mead")</f>
        <v/>
      </c>
      <c r="C120" s="67" t="str">
        <f t="shared" ref="C120:L120" ca="1" si="68">IF(OR(C$27="",$A120=""),"",OFFSET(C$63,8*(ROW(B120)-ROW(B$116)),0))</f>
        <v/>
      </c>
      <c r="D120" s="67" t="str">
        <f t="shared" ca="1" si="68"/>
        <v/>
      </c>
      <c r="E120" s="67" t="str">
        <f t="shared" ca="1" si="68"/>
        <v/>
      </c>
      <c r="F120" s="67" t="str">
        <f t="shared" ca="1" si="68"/>
        <v/>
      </c>
      <c r="G120" s="67" t="str">
        <f t="shared" ca="1" si="68"/>
        <v/>
      </c>
      <c r="H120" s="67" t="str">
        <f t="shared" ca="1" si="68"/>
        <v/>
      </c>
      <c r="I120" s="67" t="str">
        <f t="shared" ca="1" si="68"/>
        <v/>
      </c>
      <c r="J120" s="67" t="str">
        <f t="shared" ca="1" si="68"/>
        <v/>
      </c>
      <c r="K120" s="67" t="str">
        <f t="shared" ca="1" si="68"/>
        <v/>
      </c>
      <c r="L120" s="67" t="str">
        <f t="shared" ca="1" si="68"/>
        <v/>
      </c>
    </row>
    <row r="121" spans="1:14" x14ac:dyDescent="0.35">
      <c r="A121" t="str">
        <f>IF(A10="","","    "&amp;A10&amp;" - Release from Mead")</f>
        <v/>
      </c>
      <c r="C121" s="67" t="str">
        <f t="shared" ref="C121:L121" ca="1" si="69">IF(OR(C$27="",$A121=""),"",OFFSET(C$63,8*(ROW(B121)-ROW(B$116)),0))</f>
        <v/>
      </c>
      <c r="D121" s="67" t="str">
        <f t="shared" ca="1" si="69"/>
        <v/>
      </c>
      <c r="E121" s="67" t="str">
        <f t="shared" ca="1" si="69"/>
        <v/>
      </c>
      <c r="F121" s="67" t="str">
        <f t="shared" ca="1" si="69"/>
        <v/>
      </c>
      <c r="G121" s="67" t="str">
        <f t="shared" ca="1" si="69"/>
        <v/>
      </c>
      <c r="H121" s="67" t="str">
        <f t="shared" ca="1" si="69"/>
        <v/>
      </c>
      <c r="I121" s="67" t="str">
        <f t="shared" ca="1" si="69"/>
        <v/>
      </c>
      <c r="J121" s="67" t="str">
        <f t="shared" ca="1" si="69"/>
        <v/>
      </c>
      <c r="K121" s="67" t="str">
        <f t="shared" ca="1" si="69"/>
        <v/>
      </c>
      <c r="L121" s="67" t="str">
        <f t="shared" ca="1" si="69"/>
        <v/>
      </c>
    </row>
    <row r="122" spans="1:14" x14ac:dyDescent="0.35">
      <c r="A122" s="1" t="s">
        <v>138</v>
      </c>
      <c r="B122" s="1"/>
      <c r="D122" s="2"/>
      <c r="E122" s="2"/>
      <c r="F122" s="2"/>
      <c r="G122" s="2"/>
      <c r="H122" s="2"/>
      <c r="I122" s="2"/>
      <c r="J122" s="2"/>
      <c r="K122" s="2"/>
      <c r="L122" s="2"/>
    </row>
    <row r="123" spans="1:14" x14ac:dyDescent="0.35">
      <c r="A123" t="str">
        <f t="shared" ref="A123:A128" si="70">IF(A5="","","    "&amp;A5)</f>
        <v xml:space="preserve">    Upper Basin</v>
      </c>
      <c r="C123" s="67" t="str">
        <f t="shared" ref="C123:L123" ca="1" si="71">IF(OR(C$27="",$A123=""),"",OFFSET(C$64,8*(ROW(B123)-ROW(B$123)),0))</f>
        <v/>
      </c>
      <c r="D123" s="67" t="str">
        <f t="shared" ca="1" si="71"/>
        <v/>
      </c>
      <c r="E123" s="67" t="str">
        <f t="shared" ca="1" si="71"/>
        <v/>
      </c>
      <c r="F123" s="67" t="str">
        <f t="shared" ca="1" si="71"/>
        <v/>
      </c>
      <c r="G123" s="67" t="str">
        <f t="shared" ca="1" si="71"/>
        <v/>
      </c>
      <c r="H123" s="67" t="str">
        <f t="shared" ca="1" si="71"/>
        <v/>
      </c>
      <c r="I123" s="67" t="str">
        <f t="shared" ca="1" si="71"/>
        <v/>
      </c>
      <c r="J123" s="67" t="str">
        <f t="shared" ca="1" si="71"/>
        <v/>
      </c>
      <c r="K123" s="67" t="str">
        <f t="shared" ca="1" si="71"/>
        <v/>
      </c>
      <c r="L123" s="67" t="str">
        <f t="shared" ca="1" si="71"/>
        <v/>
      </c>
    </row>
    <row r="124" spans="1:14" x14ac:dyDescent="0.35">
      <c r="A124" t="str">
        <f t="shared" si="70"/>
        <v xml:space="preserve">    Lower Basin</v>
      </c>
      <c r="C124" s="67" t="str">
        <f t="shared" ref="C124:L124" ca="1" si="72">IF(OR(C$27="",$A124=""),"",OFFSET(C$64,8*(ROW(B124)-ROW(B$123)),0))</f>
        <v/>
      </c>
      <c r="D124" s="67" t="str">
        <f t="shared" ca="1" si="72"/>
        <v/>
      </c>
      <c r="E124" s="67" t="str">
        <f t="shared" ca="1" si="72"/>
        <v/>
      </c>
      <c r="F124" s="67" t="str">
        <f t="shared" ca="1" si="72"/>
        <v/>
      </c>
      <c r="G124" s="67" t="str">
        <f t="shared" ca="1" si="72"/>
        <v/>
      </c>
      <c r="H124" s="67" t="str">
        <f t="shared" ca="1" si="72"/>
        <v/>
      </c>
      <c r="I124" s="67" t="str">
        <f t="shared" ca="1" si="72"/>
        <v/>
      </c>
      <c r="J124" s="67" t="str">
        <f t="shared" ca="1" si="72"/>
        <v/>
      </c>
      <c r="K124" s="67" t="str">
        <f t="shared" ca="1" si="72"/>
        <v/>
      </c>
      <c r="L124" s="67" t="str">
        <f t="shared" ca="1" si="72"/>
        <v/>
      </c>
    </row>
    <row r="125" spans="1:14" x14ac:dyDescent="0.35">
      <c r="A125" t="str">
        <f t="shared" si="70"/>
        <v xml:space="preserve">    Mexico</v>
      </c>
      <c r="C125" s="67" t="str">
        <f t="shared" ref="C125:L125" ca="1" si="73">IF(OR(C$27="",$A125=""),"",OFFSET(C$64,8*(ROW(B125)-ROW(B$123)),0))</f>
        <v/>
      </c>
      <c r="D125" s="67" t="str">
        <f t="shared" ca="1" si="73"/>
        <v/>
      </c>
      <c r="E125" s="67" t="str">
        <f t="shared" ca="1" si="73"/>
        <v/>
      </c>
      <c r="F125" s="67" t="str">
        <f t="shared" ca="1" si="73"/>
        <v/>
      </c>
      <c r="G125" s="67" t="str">
        <f t="shared" ca="1" si="73"/>
        <v/>
      </c>
      <c r="H125" s="67" t="str">
        <f t="shared" ca="1" si="73"/>
        <v/>
      </c>
      <c r="I125" s="67" t="str">
        <f t="shared" ca="1" si="73"/>
        <v/>
      </c>
      <c r="J125" s="67" t="str">
        <f t="shared" ca="1" si="73"/>
        <v/>
      </c>
      <c r="K125" s="67" t="str">
        <f t="shared" ca="1" si="73"/>
        <v/>
      </c>
      <c r="L125" s="67" t="str">
        <f t="shared" ca="1" si="73"/>
        <v/>
      </c>
    </row>
    <row r="126" spans="1:14" x14ac:dyDescent="0.35">
      <c r="A126" t="str">
        <f t="shared" si="70"/>
        <v xml:space="preserve">    Shared, Reserve</v>
      </c>
      <c r="C126" s="67" t="str">
        <f t="shared" ref="C126:L126" ca="1" si="74">IF(OR(C$27="",$A126=""),"",OFFSET(C$64,8*(ROW(B126)-ROW(B$123)),0))</f>
        <v/>
      </c>
      <c r="D126" s="67" t="str">
        <f t="shared" ca="1" si="74"/>
        <v/>
      </c>
      <c r="E126" s="67" t="str">
        <f t="shared" ca="1" si="74"/>
        <v/>
      </c>
      <c r="F126" s="67" t="str">
        <f t="shared" ca="1" si="74"/>
        <v/>
      </c>
      <c r="G126" s="67" t="str">
        <f t="shared" ca="1" si="74"/>
        <v/>
      </c>
      <c r="H126" s="67" t="str">
        <f t="shared" ca="1" si="74"/>
        <v/>
      </c>
      <c r="I126" s="67" t="str">
        <f t="shared" ca="1" si="74"/>
        <v/>
      </c>
      <c r="J126" s="67" t="str">
        <f t="shared" ca="1" si="74"/>
        <v/>
      </c>
      <c r="K126" s="67" t="str">
        <f t="shared" ca="1" si="74"/>
        <v/>
      </c>
      <c r="L126" s="67" t="str">
        <f t="shared" ca="1" si="74"/>
        <v/>
      </c>
    </row>
    <row r="127" spans="1:14" x14ac:dyDescent="0.35">
      <c r="A127" t="str">
        <f t="shared" si="70"/>
        <v/>
      </c>
      <c r="C127" s="67" t="str">
        <f t="shared" ref="C127:L127" ca="1" si="75">IF(OR(C$27="",$A127=""),"",OFFSET(C$64,8*(ROW(B127)-ROW(B$123)),0))</f>
        <v/>
      </c>
      <c r="D127" s="67" t="str">
        <f t="shared" ca="1" si="75"/>
        <v/>
      </c>
      <c r="E127" s="67" t="str">
        <f t="shared" ca="1" si="75"/>
        <v/>
      </c>
      <c r="F127" s="67" t="str">
        <f t="shared" ca="1" si="75"/>
        <v/>
      </c>
      <c r="G127" s="67" t="str">
        <f t="shared" ca="1" si="75"/>
        <v/>
      </c>
      <c r="H127" s="67" t="str">
        <f t="shared" ca="1" si="75"/>
        <v/>
      </c>
      <c r="I127" s="67" t="str">
        <f t="shared" ca="1" si="75"/>
        <v/>
      </c>
      <c r="J127" s="67" t="str">
        <f t="shared" ca="1" si="75"/>
        <v/>
      </c>
      <c r="K127" s="67" t="str">
        <f t="shared" ca="1" si="75"/>
        <v/>
      </c>
      <c r="L127" s="67" t="str">
        <f t="shared" ca="1" si="75"/>
        <v/>
      </c>
    </row>
    <row r="128" spans="1:14" x14ac:dyDescent="0.35">
      <c r="A128" t="str">
        <f t="shared" si="70"/>
        <v/>
      </c>
      <c r="C128" s="67" t="str">
        <f t="shared" ref="C128:L128" ca="1" si="76">IF(OR(C$27="",$A128=""),"",OFFSET(C$64,8*(ROW(B128)-ROW(B$123)),0))</f>
        <v/>
      </c>
      <c r="D128" s="67" t="str">
        <f t="shared" ca="1" si="76"/>
        <v/>
      </c>
      <c r="E128" s="67" t="str">
        <f t="shared" ca="1" si="76"/>
        <v/>
      </c>
      <c r="F128" s="67" t="str">
        <f t="shared" ca="1" si="76"/>
        <v/>
      </c>
      <c r="G128" s="67" t="str">
        <f t="shared" ca="1" si="76"/>
        <v/>
      </c>
      <c r="H128" s="67" t="str">
        <f t="shared" ca="1" si="76"/>
        <v/>
      </c>
      <c r="I128" s="67" t="str">
        <f t="shared" ca="1" si="76"/>
        <v/>
      </c>
      <c r="J128" s="67" t="str">
        <f t="shared" ca="1" si="76"/>
        <v/>
      </c>
      <c r="K128" s="67" t="str">
        <f t="shared" ca="1" si="76"/>
        <v/>
      </c>
      <c r="L128" s="67" t="str">
        <f t="shared" ca="1" si="76"/>
        <v/>
      </c>
    </row>
    <row r="129" spans="1:14" x14ac:dyDescent="0.35">
      <c r="A129" s="1" t="s">
        <v>122</v>
      </c>
      <c r="B129" s="1"/>
      <c r="C129" s="14" t="str">
        <f>IF(C$27&lt;&gt;"",SUM(C123:C128),"")</f>
        <v/>
      </c>
      <c r="D129" s="14" t="str">
        <f t="shared" ref="D129:L129" si="77">IF(D$27&lt;&gt;"",SUM(D123:D128),"")</f>
        <v/>
      </c>
      <c r="E129" s="14" t="str">
        <f t="shared" si="77"/>
        <v/>
      </c>
      <c r="F129" s="14" t="str">
        <f t="shared" si="77"/>
        <v/>
      </c>
      <c r="G129" s="14" t="str">
        <f t="shared" si="77"/>
        <v/>
      </c>
      <c r="H129" s="14" t="str">
        <f t="shared" si="77"/>
        <v/>
      </c>
      <c r="I129" s="14" t="str">
        <f t="shared" si="77"/>
        <v/>
      </c>
      <c r="J129" s="14" t="str">
        <f t="shared" si="77"/>
        <v/>
      </c>
      <c r="K129" s="14" t="str">
        <f t="shared" si="77"/>
        <v/>
      </c>
      <c r="L129" s="14" t="str">
        <f t="shared" si="77"/>
        <v/>
      </c>
    </row>
    <row r="130" spans="1:14" x14ac:dyDescent="0.35">
      <c r="A130" s="1" t="s">
        <v>196</v>
      </c>
      <c r="B130" s="1"/>
      <c r="C130" s="68"/>
      <c r="D130" s="68"/>
      <c r="E130" s="68"/>
      <c r="F130" s="68"/>
      <c r="G130" s="68"/>
      <c r="H130" s="68"/>
      <c r="I130" s="68"/>
      <c r="J130" s="68"/>
      <c r="K130" s="68"/>
      <c r="L130" s="68"/>
    </row>
    <row r="131" spans="1:14" x14ac:dyDescent="0.35">
      <c r="A131" s="1" t="s">
        <v>192</v>
      </c>
      <c r="B131" s="1"/>
      <c r="C131" s="14" t="str">
        <f>IF(C27="","",C$130*C$129)</f>
        <v/>
      </c>
      <c r="D131" s="14" t="str">
        <f t="shared" ref="D131:L131" si="78">IF(D27="","",D$130*D$129)</f>
        <v/>
      </c>
      <c r="E131" s="14" t="str">
        <f t="shared" si="78"/>
        <v/>
      </c>
      <c r="F131" s="14" t="str">
        <f t="shared" si="78"/>
        <v/>
      </c>
      <c r="G131" s="14" t="str">
        <f t="shared" si="78"/>
        <v/>
      </c>
      <c r="H131" s="14" t="str">
        <f t="shared" si="78"/>
        <v/>
      </c>
      <c r="I131" s="14" t="str">
        <f t="shared" si="78"/>
        <v/>
      </c>
      <c r="J131" s="14" t="str">
        <f t="shared" si="78"/>
        <v/>
      </c>
      <c r="K131" s="14" t="str">
        <f t="shared" si="78"/>
        <v/>
      </c>
      <c r="L131" s="14" t="str">
        <f t="shared" si="78"/>
        <v/>
      </c>
    </row>
    <row r="132" spans="1:14" x14ac:dyDescent="0.35">
      <c r="A132" s="1" t="s">
        <v>193</v>
      </c>
      <c r="B132" s="1"/>
      <c r="C132" s="14" t="str">
        <f>IF(C28="","",(1-C$130)*C$129)</f>
        <v/>
      </c>
      <c r="D132" s="14" t="str">
        <f t="shared" ref="D132:L132" si="79">IF(D28="","",(1-D$130)*D$129)</f>
        <v/>
      </c>
      <c r="E132" s="14" t="str">
        <f t="shared" si="79"/>
        <v/>
      </c>
      <c r="F132" s="14" t="str">
        <f t="shared" si="79"/>
        <v/>
      </c>
      <c r="G132" s="14" t="str">
        <f t="shared" si="79"/>
        <v/>
      </c>
      <c r="H132" s="14" t="str">
        <f t="shared" si="79"/>
        <v/>
      </c>
      <c r="I132" s="14" t="str">
        <f t="shared" si="79"/>
        <v/>
      </c>
      <c r="J132" s="14" t="str">
        <f t="shared" si="79"/>
        <v/>
      </c>
      <c r="K132" s="14" t="str">
        <f t="shared" si="79"/>
        <v/>
      </c>
      <c r="L132" s="14" t="str">
        <f t="shared" si="79"/>
        <v/>
      </c>
    </row>
    <row r="133" spans="1:14" x14ac:dyDescent="0.35">
      <c r="A133" s="32" t="s">
        <v>268</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35">
      <c r="A134" s="32" t="s">
        <v>269</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35">
      <c r="A135" s="1" t="s">
        <v>281</v>
      </c>
      <c r="B135" s="1"/>
    </row>
    <row r="136" spans="1:14" x14ac:dyDescent="0.35">
      <c r="A136" s="32" t="s">
        <v>282</v>
      </c>
      <c r="B136" s="1"/>
      <c r="C136" s="14" t="str">
        <f>IF(C$27&lt;&gt;"",-C131+C39+C27-C63-VLOOKUP(C39*1000000,'Powell-Elevation-Area'!$B$5:$D$689,3)*$B$20/1000000,"")</f>
        <v/>
      </c>
      <c r="D136" s="14" t="str">
        <f>IF(D$27&lt;&gt;"",-D131+D39+D27-D63-VLOOKUP(D39*1000000,'Powell-Elevation-Area'!$B$5:$D$689,3)*$B$20/1000000,"")</f>
        <v/>
      </c>
      <c r="E136" s="14" t="str">
        <f>IF(E$27&lt;&gt;"",-E131+E39+E27-E63-VLOOKUP(E39*1000000,'Powell-Elevation-Area'!$B$5:$D$689,3)*$B$20/1000000,"")</f>
        <v/>
      </c>
      <c r="F136" s="14" t="str">
        <f>IF(F$27&lt;&gt;"",-F131+F39+F27-F63-VLOOKUP(F39*1000000,'Powell-Elevation-Area'!$B$5:$D$689,3)*$B$20/1000000,"")</f>
        <v/>
      </c>
      <c r="G136" s="14" t="str">
        <f>IF(G$27&lt;&gt;"",-G131+G39+G27-G63-VLOOKUP(G39*1000000,'Powell-Elevation-Area'!$B$5:$D$689,3)*$B$20/1000000,"")</f>
        <v/>
      </c>
      <c r="H136" s="14" t="str">
        <f>IF(H$27&lt;&gt;"",-H131+H39+H27-H63-VLOOKUP(H39*1000000,'Powell-Elevation-Area'!$B$5:$D$689,3)*$B$20/1000000,"")</f>
        <v/>
      </c>
      <c r="I136" s="14" t="str">
        <f>IF(I$27&lt;&gt;"",-I131+I39+I27-I63-VLOOKUP(I39*1000000,'Powell-Elevation-Area'!$B$5:$D$689,3)*$B$20/1000000,"")</f>
        <v/>
      </c>
      <c r="J136" s="14" t="str">
        <f>IF(J$27&lt;&gt;"",-J131+J39+J27-J63-VLOOKUP(J39*1000000,'Powell-Elevation-Area'!$B$5:$D$689,3)*$B$20/1000000,"")</f>
        <v/>
      </c>
      <c r="K136" s="14" t="str">
        <f>IF(K$27&lt;&gt;"",-K131+K39+K27-K63-VLOOKUP(K39*1000000,'Powell-Elevation-Area'!$B$5:$D$689,3)*$B$20/1000000,"")</f>
        <v/>
      </c>
      <c r="L136" s="14" t="str">
        <f>IF(L$27&lt;&gt;"",-L131+L39+L27-L63-VLOOKUP(L39*1000000,'Powell-Elevation-Area'!$B$5:$D$689,3)*$B$20/1000000,"")</f>
        <v/>
      </c>
      <c r="N136" t="s">
        <v>194</v>
      </c>
    </row>
    <row r="137" spans="1:14" x14ac:dyDescent="0.35">
      <c r="A137" s="32" t="s">
        <v>296</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t="s">
        <v>287</v>
      </c>
    </row>
    <row r="138" spans="1:14" s="85" customFormat="1" ht="62.5" customHeight="1" x14ac:dyDescent="0.35">
      <c r="A138" s="117" t="s">
        <v>297</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row>
    <row r="139" spans="1:14" s="85" customFormat="1" ht="32.15" customHeight="1" x14ac:dyDescent="0.35">
      <c r="A139" s="117" t="s">
        <v>303</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row>
    <row r="140" spans="1:14" x14ac:dyDescent="0.35">
      <c r="C140" s="29"/>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3">
    <cfRule type="cellIs" dxfId="355" priority="85" operator="greaterThan">
      <formula>$H$62</formula>
    </cfRule>
  </conditionalFormatting>
  <conditionalFormatting sqref="I63">
    <cfRule type="cellIs" dxfId="354" priority="84" operator="greaterThan">
      <formula>$I$62</formula>
    </cfRule>
  </conditionalFormatting>
  <conditionalFormatting sqref="J63">
    <cfRule type="cellIs" dxfId="353" priority="83" operator="greaterThan">
      <formula>$J$62</formula>
    </cfRule>
  </conditionalFormatting>
  <conditionalFormatting sqref="K63">
    <cfRule type="cellIs" dxfId="352" priority="82" operator="greaterThan">
      <formula>$K$62</formula>
    </cfRule>
  </conditionalFormatting>
  <conditionalFormatting sqref="L63">
    <cfRule type="cellIs" dxfId="351" priority="81" operator="greaterThan">
      <formula>$L$62</formula>
    </cfRule>
  </conditionalFormatting>
  <conditionalFormatting sqref="H71">
    <cfRule type="cellIs" dxfId="350" priority="68" operator="greaterThan">
      <formula>$H$70</formula>
    </cfRule>
  </conditionalFormatting>
  <conditionalFormatting sqref="I71">
    <cfRule type="cellIs" dxfId="349" priority="67" operator="greaterThan">
      <formula>$I$70</formula>
    </cfRule>
  </conditionalFormatting>
  <conditionalFormatting sqref="J71">
    <cfRule type="cellIs" dxfId="348" priority="66" operator="greaterThan">
      <formula>$J$70</formula>
    </cfRule>
  </conditionalFormatting>
  <conditionalFormatting sqref="K71">
    <cfRule type="cellIs" dxfId="347" priority="65" operator="greaterThan">
      <formula>$K$70</formula>
    </cfRule>
  </conditionalFormatting>
  <conditionalFormatting sqref="L71">
    <cfRule type="cellIs" dxfId="346" priority="64" operator="greaterThan">
      <formula>$L$70</formula>
    </cfRule>
  </conditionalFormatting>
  <conditionalFormatting sqref="H79">
    <cfRule type="cellIs" dxfId="345" priority="58" operator="greaterThan">
      <formula>$H$78</formula>
    </cfRule>
  </conditionalFormatting>
  <conditionalFormatting sqref="I79">
    <cfRule type="cellIs" dxfId="344" priority="57" operator="greaterThan">
      <formula>$I$78</formula>
    </cfRule>
  </conditionalFormatting>
  <conditionalFormatting sqref="J79">
    <cfRule type="cellIs" dxfId="343" priority="56" operator="greaterThan">
      <formula>$J$78</formula>
    </cfRule>
  </conditionalFormatting>
  <conditionalFormatting sqref="K79">
    <cfRule type="cellIs" dxfId="342" priority="55" operator="greaterThan">
      <formula>$K$78</formula>
    </cfRule>
  </conditionalFormatting>
  <conditionalFormatting sqref="L79">
    <cfRule type="cellIs" dxfId="341" priority="54" operator="greaterThan">
      <formula>$L$78</formula>
    </cfRule>
  </conditionalFormatting>
  <conditionalFormatting sqref="C87:L87">
    <cfRule type="cellIs" dxfId="340" priority="53" operator="greaterThan">
      <formula>$C$86</formula>
    </cfRule>
  </conditionalFormatting>
  <conditionalFormatting sqref="C95">
    <cfRule type="cellIs" dxfId="339" priority="52" operator="greaterThan">
      <formula>$C$94</formula>
    </cfRule>
  </conditionalFormatting>
  <conditionalFormatting sqref="D95">
    <cfRule type="cellIs" dxfId="338" priority="51" operator="greaterThan">
      <formula>$D$94</formula>
    </cfRule>
  </conditionalFormatting>
  <conditionalFormatting sqref="E95">
    <cfRule type="cellIs" dxfId="337" priority="50" operator="greaterThan">
      <formula>$E$94</formula>
    </cfRule>
  </conditionalFormatting>
  <conditionalFormatting sqref="F95">
    <cfRule type="cellIs" dxfId="336" priority="49" operator="greaterThan">
      <formula>$F$94</formula>
    </cfRule>
  </conditionalFormatting>
  <conditionalFormatting sqref="G95">
    <cfRule type="cellIs" dxfId="335" priority="48" operator="greaterThan">
      <formula>$G$94</formula>
    </cfRule>
  </conditionalFormatting>
  <conditionalFormatting sqref="H95">
    <cfRule type="cellIs" dxfId="334" priority="47" operator="greaterThan">
      <formula>$H$94</formula>
    </cfRule>
  </conditionalFormatting>
  <conditionalFormatting sqref="I95">
    <cfRule type="cellIs" dxfId="333" priority="46" operator="greaterThan">
      <formula>$I$94</formula>
    </cfRule>
  </conditionalFormatting>
  <conditionalFormatting sqref="J95">
    <cfRule type="cellIs" dxfId="332" priority="45" operator="greaterThan">
      <formula>$J$94</formula>
    </cfRule>
  </conditionalFormatting>
  <conditionalFormatting sqref="K95">
    <cfRule type="cellIs" dxfId="331" priority="44" operator="greaterThan">
      <formula>$K$94</formula>
    </cfRule>
  </conditionalFormatting>
  <conditionalFormatting sqref="L95">
    <cfRule type="cellIs" dxfId="330" priority="43" operator="greaterThan">
      <formula>$L$94</formula>
    </cfRule>
  </conditionalFormatting>
  <conditionalFormatting sqref="C103">
    <cfRule type="cellIs" dxfId="329" priority="42" operator="greaterThan">
      <formula>$C$102</formula>
    </cfRule>
  </conditionalFormatting>
  <conditionalFormatting sqref="D103">
    <cfRule type="cellIs" dxfId="328" priority="41" operator="greaterThan">
      <formula>$D$102</formula>
    </cfRule>
  </conditionalFormatting>
  <conditionalFormatting sqref="E103">
    <cfRule type="cellIs" dxfId="327" priority="40" operator="greaterThan">
      <formula>$E$102</formula>
    </cfRule>
  </conditionalFormatting>
  <conditionalFormatting sqref="F103">
    <cfRule type="cellIs" dxfId="326" priority="39" operator="greaterThan">
      <formula>$F$102</formula>
    </cfRule>
  </conditionalFormatting>
  <conditionalFormatting sqref="G103">
    <cfRule type="cellIs" dxfId="325" priority="38" operator="greaterThan">
      <formula>$G$102</formula>
    </cfRule>
  </conditionalFormatting>
  <conditionalFormatting sqref="H103">
    <cfRule type="cellIs" dxfId="324" priority="37" operator="greaterThan">
      <formula>$H$102</formula>
    </cfRule>
  </conditionalFormatting>
  <conditionalFormatting sqref="I103">
    <cfRule type="cellIs" dxfId="323" priority="36" operator="greaterThan">
      <formula>$I$102</formula>
    </cfRule>
  </conditionalFormatting>
  <conditionalFormatting sqref="J103">
    <cfRule type="cellIs" dxfId="322" priority="35" operator="greaterThan">
      <formula>$J$102</formula>
    </cfRule>
  </conditionalFormatting>
  <conditionalFormatting sqref="K103">
    <cfRule type="cellIs" dxfId="321" priority="34" operator="greaterThan">
      <formula>$K$102</formula>
    </cfRule>
  </conditionalFormatting>
  <conditionalFormatting sqref="L103">
    <cfRule type="cellIs" dxfId="320" priority="33" operator="greaterThan">
      <formula>$L$102</formula>
    </cfRule>
  </conditionalFormatting>
  <conditionalFormatting sqref="D63">
    <cfRule type="cellIs" dxfId="319" priority="20" operator="greaterThan">
      <formula>$D$62</formula>
    </cfRule>
  </conditionalFormatting>
  <conditionalFormatting sqref="C63">
    <cfRule type="cellIs" dxfId="318" priority="18" operator="greaterThan">
      <formula>$C$62</formula>
    </cfRule>
  </conditionalFormatting>
  <conditionalFormatting sqref="E63">
    <cfRule type="cellIs" dxfId="317" priority="16" operator="greaterThan">
      <formula>$E$62</formula>
    </cfRule>
  </conditionalFormatting>
  <conditionalFormatting sqref="F63">
    <cfRule type="cellIs" dxfId="316" priority="15" operator="greaterThan">
      <formula>$F$62</formula>
    </cfRule>
  </conditionalFormatting>
  <conditionalFormatting sqref="G63">
    <cfRule type="cellIs" dxfId="315" priority="14" operator="greaterThan">
      <formula>$G$62</formula>
    </cfRule>
  </conditionalFormatting>
  <conditionalFormatting sqref="C71">
    <cfRule type="cellIs" dxfId="314" priority="10" operator="greaterThan">
      <formula>$C$70</formula>
    </cfRule>
  </conditionalFormatting>
  <conditionalFormatting sqref="D71">
    <cfRule type="cellIs" dxfId="313" priority="9" operator="greaterThan">
      <formula>$D$70</formula>
    </cfRule>
  </conditionalFormatting>
  <conditionalFormatting sqref="E71">
    <cfRule type="cellIs" dxfId="312" priority="8" operator="greaterThan">
      <formula>$E$70</formula>
    </cfRule>
  </conditionalFormatting>
  <conditionalFormatting sqref="F71">
    <cfRule type="cellIs" dxfId="311" priority="7" operator="greaterThan">
      <formula>$F$70</formula>
    </cfRule>
  </conditionalFormatting>
  <conditionalFormatting sqref="G71">
    <cfRule type="cellIs" dxfId="310" priority="6" operator="greaterThan">
      <formula>$G$70</formula>
    </cfRule>
  </conditionalFormatting>
  <conditionalFormatting sqref="C79">
    <cfRule type="cellIs" dxfId="309" priority="5" operator="greaterThan">
      <formula>$C$78</formula>
    </cfRule>
  </conditionalFormatting>
  <conditionalFormatting sqref="D79">
    <cfRule type="cellIs" dxfId="308" priority="4" operator="greaterThan">
      <formula>$D$78</formula>
    </cfRule>
  </conditionalFormatting>
  <conditionalFormatting sqref="E79">
    <cfRule type="cellIs" dxfId="307" priority="3" operator="greaterThan">
      <formula>$E$78</formula>
    </cfRule>
  </conditionalFormatting>
  <conditionalFormatting sqref="F79">
    <cfRule type="cellIs" dxfId="306" priority="2" operator="greaterThan">
      <formula>$F$78</formula>
    </cfRule>
  </conditionalFormatting>
  <conditionalFormatting sqref="G79">
    <cfRule type="cellIs" dxfId="305" priority="1" operator="greaterThan">
      <formula>$G$78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42"/>
  <sheetViews>
    <sheetView topLeftCell="A42"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181" t="s">
        <v>150</v>
      </c>
      <c r="B3" s="181"/>
      <c r="C3" s="181"/>
      <c r="D3" s="181"/>
      <c r="E3" s="181"/>
      <c r="F3" s="181"/>
      <c r="G3" s="181"/>
      <c r="H3" s="151"/>
      <c r="I3" s="151"/>
      <c r="J3" s="151"/>
      <c r="K3" s="151"/>
    </row>
    <row r="4" spans="1:13" x14ac:dyDescent="0.35">
      <c r="A4" s="53" t="s">
        <v>38</v>
      </c>
      <c r="B4" s="53" t="s">
        <v>42</v>
      </c>
      <c r="C4" s="182" t="s">
        <v>43</v>
      </c>
      <c r="D4" s="183"/>
      <c r="E4" s="183"/>
      <c r="F4" s="183"/>
      <c r="G4" s="184"/>
      <c r="M4" s="1" t="s">
        <v>307</v>
      </c>
    </row>
    <row r="5" spans="1:13" x14ac:dyDescent="0.35">
      <c r="A5" s="149" t="s">
        <v>39</v>
      </c>
      <c r="B5" s="149" t="str">
        <f>IF(Master!B5="","",Master!B5)</f>
        <v/>
      </c>
      <c r="C5" s="185" t="s">
        <v>317</v>
      </c>
      <c r="D5" s="186"/>
      <c r="E5" s="186"/>
      <c r="F5" s="186"/>
      <c r="G5" s="186"/>
      <c r="M5" t="s">
        <v>308</v>
      </c>
    </row>
    <row r="6" spans="1:13" x14ac:dyDescent="0.35">
      <c r="A6" s="149" t="s">
        <v>40</v>
      </c>
      <c r="B6" s="149" t="str">
        <f>IF(Master!B6="","",Master!B6)</f>
        <v/>
      </c>
      <c r="C6" s="185" t="s">
        <v>317</v>
      </c>
      <c r="D6" s="186"/>
      <c r="E6" s="186"/>
      <c r="F6" s="186"/>
      <c r="G6" s="186"/>
      <c r="M6" t="s">
        <v>313</v>
      </c>
    </row>
    <row r="7" spans="1:13" x14ac:dyDescent="0.35">
      <c r="A7" s="149" t="s">
        <v>41</v>
      </c>
      <c r="B7" s="149" t="str">
        <f>IF(Master!B7="","",Master!B7)</f>
        <v/>
      </c>
      <c r="C7" s="185" t="s">
        <v>317</v>
      </c>
      <c r="D7" s="186"/>
      <c r="E7" s="186"/>
      <c r="F7" s="186"/>
      <c r="G7" s="186"/>
      <c r="M7" t="s">
        <v>314</v>
      </c>
    </row>
    <row r="8" spans="1:13" x14ac:dyDescent="0.35">
      <c r="A8" s="150" t="s">
        <v>156</v>
      </c>
      <c r="B8" s="150" t="str">
        <f>IF(Master!B8="","",Master!B8)</f>
        <v/>
      </c>
      <c r="C8" s="180" t="s">
        <v>309</v>
      </c>
      <c r="D8" s="180"/>
      <c r="E8" s="180"/>
      <c r="F8" s="180"/>
      <c r="G8" s="180"/>
    </row>
    <row r="9" spans="1:13" x14ac:dyDescent="0.35">
      <c r="A9" s="149" t="str">
        <f>IF(Master!A9="","",Master!A9)</f>
        <v/>
      </c>
      <c r="B9" s="149" t="str">
        <f>IF(Master!B9="","",Master!B9)</f>
        <v/>
      </c>
      <c r="C9" s="174"/>
      <c r="D9" s="174"/>
      <c r="E9" s="174"/>
      <c r="F9" s="174"/>
      <c r="G9" s="174"/>
    </row>
    <row r="10" spans="1:13" x14ac:dyDescent="0.35">
      <c r="A10" s="149" t="str">
        <f>IF(Master!A10="","",Master!A10)</f>
        <v/>
      </c>
      <c r="B10" s="149" t="str">
        <f>IF(Master!B10="","",Master!B10)</f>
        <v/>
      </c>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tr">
        <f>Master!D17</f>
        <v>11.0 maf every year natural flow to Lake Powell</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t="str">
        <f>IF(Master!C27="","",Master!C27)</f>
        <v/>
      </c>
      <c r="D26" s="137" t="str">
        <f>IF(Master!D27="","",Master!D27)</f>
        <v/>
      </c>
      <c r="E26" s="137" t="str">
        <f>IF(Master!E27="","",Master!E27)</f>
        <v/>
      </c>
      <c r="F26" s="137" t="str">
        <f>IF(Master!F27="","",Master!F27)</f>
        <v/>
      </c>
      <c r="G26" s="137" t="str">
        <f>IF(Master!G27="","",Master!G27)</f>
        <v/>
      </c>
      <c r="H26" s="137" t="str">
        <f>IF(Master!H27="","",Master!H27)</f>
        <v/>
      </c>
      <c r="I26" s="137" t="str">
        <f>IF(Master!I27="","",Master!I27)</f>
        <v/>
      </c>
      <c r="J26" s="137" t="str">
        <f>IF(Master!J27="","",Master!J27)</f>
        <v/>
      </c>
      <c r="K26" s="137" t="str">
        <f>IF(Master!K27="","",Master!K27)</f>
        <v/>
      </c>
      <c r="L26" s="137" t="str">
        <f>IF(Master!L27="","",Master!L27)</f>
        <v/>
      </c>
    </row>
    <row r="27" spans="1:14" x14ac:dyDescent="0.35">
      <c r="A27" s="1" t="s">
        <v>120</v>
      </c>
      <c r="B27" s="1"/>
      <c r="C27" s="136" t="str">
        <f>IF(C$26&lt;&gt;"",0.8,"")</f>
        <v/>
      </c>
      <c r="D27" s="136" t="str">
        <f t="shared" ref="D27:L27" si="0">IF(D$26&lt;&gt;"",0.8,"")</f>
        <v/>
      </c>
      <c r="E27" s="136" t="str">
        <f t="shared" si="0"/>
        <v/>
      </c>
      <c r="F27" s="136" t="str">
        <f t="shared" si="0"/>
        <v/>
      </c>
      <c r="G27" s="136" t="str">
        <f t="shared" si="0"/>
        <v/>
      </c>
      <c r="H27" s="136" t="str">
        <f t="shared" si="0"/>
        <v/>
      </c>
      <c r="I27" s="136" t="str">
        <f t="shared" si="0"/>
        <v/>
      </c>
      <c r="J27" s="136" t="str">
        <f t="shared" si="0"/>
        <v/>
      </c>
      <c r="K27" s="136" t="str">
        <f t="shared" si="0"/>
        <v/>
      </c>
      <c r="L27" s="136" t="str">
        <f t="shared" si="0"/>
        <v/>
      </c>
    </row>
    <row r="28" spans="1:14" x14ac:dyDescent="0.35">
      <c r="A28" s="1" t="s">
        <v>291</v>
      </c>
      <c r="B28" s="1"/>
      <c r="C28" s="136" t="str">
        <f>IF(C$26&lt;&gt;"",0.6,"")</f>
        <v/>
      </c>
      <c r="D28" s="136" t="str">
        <f t="shared" ref="D28:L28" si="1">IF(D$26&lt;&gt;"",0.6,"")</f>
        <v/>
      </c>
      <c r="E28" s="136" t="str">
        <f t="shared" si="1"/>
        <v/>
      </c>
      <c r="F28" s="136" t="str">
        <f t="shared" si="1"/>
        <v/>
      </c>
      <c r="G28" s="136" t="str">
        <f t="shared" si="1"/>
        <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t="str">
        <f>IF(C$26&lt;&gt;"",SUM(B21:C21),"")</f>
        <v/>
      </c>
      <c r="D29" s="14" t="str">
        <f>IF(D$26&lt;&gt;"",C127,"")</f>
        <v/>
      </c>
      <c r="E29" s="14" t="str">
        <f t="shared" ref="E29:L29" si="2">IF(E$26&lt;&gt;"",D127,"")</f>
        <v/>
      </c>
      <c r="F29" s="14" t="str">
        <f t="shared" si="2"/>
        <v/>
      </c>
      <c r="G29" s="14" t="str">
        <f t="shared" si="2"/>
        <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t="str">
        <f>IF(OR(C$26="",$A30=""),"",B30)</f>
        <v/>
      </c>
      <c r="D30" s="14" t="str">
        <f>IF(OR(D$26="",$A30=""),"",C121)</f>
        <v/>
      </c>
      <c r="E30" s="14" t="str">
        <f t="shared" ref="E30:L30" si="4">IF(OR(E$26="",$A30=""),"",D121)</f>
        <v/>
      </c>
      <c r="F30" s="14" t="str">
        <f t="shared" si="4"/>
        <v/>
      </c>
      <c r="G30" s="14" t="str">
        <f t="shared" si="4"/>
        <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t="str">
        <f t="shared" ref="C31:C35" si="5">IF(OR(C$26="",$A31=""),"",B31)</f>
        <v/>
      </c>
      <c r="D31" s="14" t="str">
        <f t="shared" ref="D31:L35" si="6">IF(OR(D$26="",$A31=""),"",C122)</f>
        <v/>
      </c>
      <c r="E31" s="14" t="str">
        <f t="shared" si="6"/>
        <v/>
      </c>
      <c r="F31" s="14" t="str">
        <f t="shared" si="6"/>
        <v/>
      </c>
      <c r="G31" s="14" t="str">
        <f t="shared" si="6"/>
        <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t="str">
        <f t="shared" si="5"/>
        <v/>
      </c>
      <c r="D32" s="52" t="str">
        <f t="shared" si="6"/>
        <v/>
      </c>
      <c r="E32" s="52" t="str">
        <f t="shared" si="6"/>
        <v/>
      </c>
      <c r="F32" s="52" t="str">
        <f t="shared" si="6"/>
        <v/>
      </c>
      <c r="G32" s="52" t="str">
        <f t="shared" si="6"/>
        <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50"/>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t="str">
        <f>IF(C$26&lt;&gt;"",B21,"")</f>
        <v/>
      </c>
      <c r="D37" s="14" t="str">
        <f>IF(D$26&lt;&gt;"",C129,"")</f>
        <v/>
      </c>
      <c r="E37" s="14" t="str">
        <f t="shared" ref="E37:L38" si="7">IF(E$26&lt;&gt;"",D129,"")</f>
        <v/>
      </c>
      <c r="F37" s="14" t="str">
        <f t="shared" si="7"/>
        <v/>
      </c>
      <c r="G37" s="14" t="str">
        <f t="shared" si="7"/>
        <v/>
      </c>
      <c r="H37" s="14" t="str">
        <f t="shared" si="7"/>
        <v/>
      </c>
      <c r="I37" s="14" t="str">
        <f t="shared" si="7"/>
        <v/>
      </c>
      <c r="J37" s="14" t="str">
        <f t="shared" si="7"/>
        <v/>
      </c>
      <c r="K37" s="14" t="str">
        <f t="shared" si="7"/>
        <v/>
      </c>
      <c r="L37" s="14" t="str">
        <f t="shared" si="7"/>
        <v/>
      </c>
    </row>
    <row r="38" spans="1:14" x14ac:dyDescent="0.35">
      <c r="A38" t="s">
        <v>113</v>
      </c>
      <c r="C38" s="14" t="str">
        <f>IF(C$26&lt;&gt;"",C21,"")</f>
        <v/>
      </c>
      <c r="D38" s="14" t="str">
        <f>IF(D$26&lt;&gt;"",C130,"")</f>
        <v/>
      </c>
      <c r="E38" s="14" t="str">
        <f t="shared" si="7"/>
        <v/>
      </c>
      <c r="F38" s="14" t="str">
        <f t="shared" si="7"/>
        <v/>
      </c>
      <c r="G38" s="14" t="str">
        <f t="shared" si="7"/>
        <v/>
      </c>
      <c r="H38" s="14" t="str">
        <f t="shared" si="7"/>
        <v/>
      </c>
      <c r="I38" s="14" t="str">
        <f t="shared" si="7"/>
        <v/>
      </c>
      <c r="J38" s="14" t="str">
        <f t="shared" si="7"/>
        <v/>
      </c>
      <c r="K38" s="14" t="str">
        <f t="shared" si="7"/>
        <v/>
      </c>
      <c r="L38" s="14" t="str">
        <f t="shared" si="7"/>
        <v/>
      </c>
    </row>
    <row r="39" spans="1:14" x14ac:dyDescent="0.35">
      <c r="A39" s="1" t="s">
        <v>118</v>
      </c>
      <c r="B39" s="1"/>
      <c r="C39" s="14" t="str">
        <f>IF(C$26&lt;&gt;"",VLOOKUP(C37*1000000,'Powell-Elevation-Area'!$B$5:$D$689,3)*$B$20/1000000 + VLOOKUP(C38*1000000,'Mead-Elevation-Area'!$B$5:$D$676,3)*$C$20/1000000,"")</f>
        <v/>
      </c>
      <c r="D39" s="14" t="str">
        <f>IF(D$26&lt;&gt;"",VLOOKUP(D37*1000000,'Powell-Elevation-Area'!$B$5:$D$689,3)*$B$20/1000000 + VLOOKUP(D38*1000000,'Mead-Elevation-Area'!$B$5:$D$676,3)*$C$20/1000000,"")</f>
        <v/>
      </c>
      <c r="E39" s="14" t="str">
        <f>IF(E$26&lt;&gt;"",VLOOKUP(E37*1000000,'Powell-Elevation-Area'!$B$5:$D$689,3)*$B$20/1000000 + VLOOKUP(E38*1000000,'Mead-Elevation-Area'!$B$5:$D$676,3)*$C$20/1000000,"")</f>
        <v/>
      </c>
      <c r="F39" s="14" t="str">
        <f>IF(F$26&lt;&gt;"",VLOOKUP(F37*1000000,'Powell-Elevation-Area'!$B$5:$D$689,3)*$B$20/1000000 + VLOOKUP(F38*1000000,'Mead-Elevation-Area'!$B$5:$D$676,3)*$C$20/1000000,"")</f>
        <v/>
      </c>
      <c r="G39" s="14" t="str">
        <f>IF(G$26&lt;&gt;"",VLOOKUP(G37*1000000,'Powell-Elevation-Area'!$B$5:$D$689,3)*$B$20/1000000 + VLOOKUP(G38*1000000,'Mead-Elevation-Area'!$B$5:$D$676,3)*$C$20/1000000,"")</f>
        <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8">IF(A5="","","    "&amp;A5&amp;" Share")</f>
        <v xml:space="preserve">    Upper Basin Share</v>
      </c>
      <c r="B40" s="1"/>
      <c r="C40" s="14" t="str">
        <f t="shared" ref="C40:L45" si="9">IF(OR(C$26="",$A40=""),"",C$39*C30/C$29)</f>
        <v/>
      </c>
      <c r="D40" s="14" t="str">
        <f t="shared" si="9"/>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35">
      <c r="A41" t="str">
        <f t="shared" si="8"/>
        <v xml:space="preserve">    Lower Basin Share</v>
      </c>
      <c r="B41" s="1"/>
      <c r="C41" s="14" t="str">
        <f t="shared" si="9"/>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4" x14ac:dyDescent="0.35">
      <c r="A42" t="str">
        <f t="shared" si="8"/>
        <v xml:space="preserve">    Mexico Share</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4" x14ac:dyDescent="0.35">
      <c r="A43" t="str">
        <f t="shared" si="8"/>
        <v xml:space="preserve">    Shared, Reserve Share</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255</v>
      </c>
      <c r="B46" s="74"/>
      <c r="C46" s="49" t="str">
        <f>IF(C$26&lt;&gt;"",1.5-0.21/9/2-VLOOKUP(C38,LowerBasinCuts!$C$5:$P$13,13),"")</f>
        <v/>
      </c>
      <c r="D46" s="49" t="str">
        <f>IF(D$26&lt;&gt;"",1.5-0.21/9/2-VLOOKUP(D38,LowerBasinCuts!$C$5:$P$13,13),"")</f>
        <v/>
      </c>
      <c r="E46" s="49" t="str">
        <f>IF(E$26&lt;&gt;"",1.5-0.21/9/2-VLOOKUP(E38,LowerBasinCuts!$C$5:$P$13,13),"")</f>
        <v/>
      </c>
      <c r="F46" s="49" t="str">
        <f>IF(F$26&lt;&gt;"",1.5-0.21/9/2-VLOOKUP(F38,LowerBasinCuts!$C$5:$P$13,13),"")</f>
        <v/>
      </c>
      <c r="G46" s="49" t="str">
        <f>IF(G$26&lt;&gt;"",1.5-0.21/9/2-VLOOKUP(G38,LowerBasinCuts!$C$5:$P$13,13),"")</f>
        <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t="str">
        <f>IF(C26="","",SUM(C26:C27)-C28)</f>
        <v/>
      </c>
      <c r="D47" s="51" t="str">
        <f t="shared" ref="D47:L47" si="10">IF(D26="","",SUM(D26:D27)-D28)</f>
        <v/>
      </c>
      <c r="E47" s="14" t="str">
        <f t="shared" si="10"/>
        <v/>
      </c>
      <c r="F47" s="51" t="str">
        <f t="shared" si="10"/>
        <v/>
      </c>
      <c r="G47" s="51" t="str">
        <f t="shared" si="10"/>
        <v/>
      </c>
      <c r="H47" s="51" t="str">
        <f t="shared" si="10"/>
        <v/>
      </c>
      <c r="I47" s="51" t="str">
        <f t="shared" si="10"/>
        <v/>
      </c>
      <c r="J47" s="51" t="str">
        <f t="shared" si="10"/>
        <v/>
      </c>
      <c r="K47" s="51" t="str">
        <f t="shared" si="10"/>
        <v/>
      </c>
      <c r="L47" s="51" t="str">
        <f t="shared" si="10"/>
        <v/>
      </c>
      <c r="M47" s="45"/>
      <c r="N47" s="45"/>
    </row>
    <row r="48" spans="1:14" x14ac:dyDescent="0.35">
      <c r="A48" t="str">
        <f t="shared" ref="A48:A53" si="11">IF(A5="","","    To "&amp;A5)</f>
        <v xml:space="preserve">    To Upper Basin</v>
      </c>
      <c r="B48" s="134" t="s">
        <v>146</v>
      </c>
      <c r="C48" s="108" t="str">
        <f>IF(OR(C$26="",$A48=""),"",MAX(0,C47-SUM(C49:C53)))</f>
        <v/>
      </c>
      <c r="D48" s="108" t="str">
        <f t="shared" ref="D48:G48" si="12">IF(OR(D$26="",$A48=""),"",MAX(0,D47-SUM(D49:D53)))</f>
        <v/>
      </c>
      <c r="E48" s="108" t="str">
        <f t="shared" si="12"/>
        <v/>
      </c>
      <c r="F48" s="108" t="str">
        <f t="shared" si="12"/>
        <v/>
      </c>
      <c r="G48" s="108" t="str">
        <f t="shared" si="12"/>
        <v/>
      </c>
      <c r="H48" s="108" t="str">
        <f t="shared" ref="H48" si="13">IF(OR(H$26="",$A48=""),"",MAX(0,H47-SUM(H49:H53)))</f>
        <v/>
      </c>
      <c r="I48" s="108" t="str">
        <f t="shared" ref="I48" si="14">IF(OR(I$26="",$A48=""),"",MAX(0,I47-SUM(I49:I53)))</f>
        <v/>
      </c>
      <c r="J48" s="108" t="str">
        <f t="shared" ref="J48" si="15">IF(OR(J$26="",$A48=""),"",MAX(0,J47-SUM(J49:J53)))</f>
        <v/>
      </c>
      <c r="K48" s="108" t="str">
        <f t="shared" ref="K48" si="16">IF(OR(K$26="",$A48=""),"",MAX(0,K47-SUM(K49:K53)))</f>
        <v/>
      </c>
      <c r="L48" s="108" t="str">
        <f t="shared" ref="L48" si="17">IF(OR(L$26="",$A48=""),"",MAX(0,L47-SUM(L49:L53)))</f>
        <v/>
      </c>
      <c r="M48" s="29"/>
      <c r="N48" s="29"/>
    </row>
    <row r="49" spans="1:14" x14ac:dyDescent="0.35">
      <c r="A49" t="str">
        <f t="shared" si="11"/>
        <v xml:space="preserve">    To Lower Basin</v>
      </c>
      <c r="B49" s="135">
        <f>7.5</f>
        <v>7.5</v>
      </c>
      <c r="C49" s="108" t="str">
        <f>IF(OR(C$26="",$A49=""),"",C27-C28-C51-C50/2+MIN($B49,C26-C50/2))</f>
        <v/>
      </c>
      <c r="D49" s="108" t="str">
        <f t="shared" ref="D49:L49" si="18">IF(OR(D$26="",$A49=""),"",D27-D28-D51-D50/2+MIN($B49,D26-D50/2))</f>
        <v/>
      </c>
      <c r="E49" s="108" t="str">
        <f t="shared" si="18"/>
        <v/>
      </c>
      <c r="F49" s="108" t="str">
        <f t="shared" si="18"/>
        <v/>
      </c>
      <c r="G49" s="108" t="str">
        <f t="shared" si="18"/>
        <v/>
      </c>
      <c r="H49" s="108" t="str">
        <f t="shared" si="18"/>
        <v/>
      </c>
      <c r="I49" s="108" t="str">
        <f t="shared" si="18"/>
        <v/>
      </c>
      <c r="J49" s="108" t="str">
        <f t="shared" si="18"/>
        <v/>
      </c>
      <c r="K49" s="108" t="str">
        <f t="shared" si="18"/>
        <v/>
      </c>
      <c r="L49" s="108" t="str">
        <f t="shared" si="18"/>
        <v/>
      </c>
      <c r="M49" s="29"/>
      <c r="N49" s="29"/>
    </row>
    <row r="50" spans="1:14" x14ac:dyDescent="0.35">
      <c r="A50" t="str">
        <f t="shared" si="11"/>
        <v xml:space="preserve">    To Mexico</v>
      </c>
      <c r="B50" s="135" t="s">
        <v>184</v>
      </c>
      <c r="C50" s="108" t="str">
        <f>IF(OR(C$26="",$A50=""),"",IF(C$47&gt;SUM(C51:C52,C46),C46,C$47-SUM(C51:C52)))</f>
        <v/>
      </c>
      <c r="D50" s="108" t="str">
        <f t="shared" ref="D50:L50" si="19">IF(OR(D$26="",$A50=""),"",IF(D$47&gt;SUM(D51:D52,D46),D46,D$47-SUM(D51:D52)))</f>
        <v/>
      </c>
      <c r="E50" s="108" t="str">
        <f t="shared" si="19"/>
        <v/>
      </c>
      <c r="F50" s="108" t="str">
        <f t="shared" si="19"/>
        <v/>
      </c>
      <c r="G50" s="108" t="str">
        <f t="shared" si="19"/>
        <v/>
      </c>
      <c r="H50" s="108" t="str">
        <f t="shared" si="19"/>
        <v/>
      </c>
      <c r="I50" s="108" t="str">
        <f t="shared" si="19"/>
        <v/>
      </c>
      <c r="J50" s="108" t="str">
        <f t="shared" si="19"/>
        <v/>
      </c>
      <c r="K50" s="108" t="str">
        <f t="shared" si="19"/>
        <v/>
      </c>
      <c r="L50" s="108" t="str">
        <f t="shared" si="19"/>
        <v/>
      </c>
      <c r="M50" s="29"/>
      <c r="N50" s="29"/>
    </row>
    <row r="51" spans="1:14" x14ac:dyDescent="0.35">
      <c r="A51" t="str">
        <f t="shared" si="11"/>
        <v xml:space="preserve">    To Shared, Reserve</v>
      </c>
      <c r="B51" s="135" t="s">
        <v>183</v>
      </c>
      <c r="C51" s="108" t="str">
        <f>IF(OR(C$26="",$A51=""),"",IF(C$47&gt;C43,C43,C47))</f>
        <v/>
      </c>
      <c r="D51" s="108" t="str">
        <f t="shared" ref="D51:L51" si="20">IF(OR(D$26="",$A51=""),"",IF(D$47&gt;D43,D43,D47))</f>
        <v/>
      </c>
      <c r="E51" s="108" t="str">
        <f t="shared" si="20"/>
        <v/>
      </c>
      <c r="F51" s="108" t="str">
        <f t="shared" si="20"/>
        <v/>
      </c>
      <c r="G51" s="108" t="str">
        <f t="shared" si="20"/>
        <v/>
      </c>
      <c r="H51" s="108" t="str">
        <f t="shared" si="20"/>
        <v/>
      </c>
      <c r="I51" s="108" t="str">
        <f t="shared" si="20"/>
        <v/>
      </c>
      <c r="J51" s="108" t="str">
        <f t="shared" si="20"/>
        <v/>
      </c>
      <c r="K51" s="108" t="str">
        <f t="shared" si="20"/>
        <v/>
      </c>
      <c r="L51" s="108" t="str">
        <f t="shared" si="20"/>
        <v/>
      </c>
      <c r="M51" s="29"/>
      <c r="N51" s="29"/>
    </row>
    <row r="52" spans="1:14" x14ac:dyDescent="0.35">
      <c r="A52" t="str">
        <f t="shared" si="11"/>
        <v/>
      </c>
      <c r="B52" s="135"/>
      <c r="C52" s="108"/>
      <c r="D52" s="108"/>
      <c r="E52" s="108"/>
      <c r="F52" s="108"/>
      <c r="G52" s="108"/>
      <c r="H52" s="108"/>
      <c r="I52" s="108"/>
      <c r="J52" s="108"/>
      <c r="K52" s="108"/>
      <c r="L52" s="108"/>
      <c r="M52" s="29"/>
      <c r="N52" s="29"/>
    </row>
    <row r="53" spans="1:14" x14ac:dyDescent="0.35">
      <c r="A53" t="str">
        <f t="shared" si="11"/>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21">IF(OR(C$26="",$A59=""),"",C$112)</f>
        <v/>
      </c>
      <c r="D59" s="67" t="str">
        <f t="shared" si="21"/>
        <v/>
      </c>
      <c r="E59" s="67" t="str">
        <f t="shared" si="21"/>
        <v/>
      </c>
      <c r="F59" s="67" t="str">
        <f t="shared" si="21"/>
        <v/>
      </c>
      <c r="G59" s="67" t="str">
        <f t="shared" si="21"/>
        <v/>
      </c>
      <c r="H59" s="67" t="str">
        <f t="shared" si="21"/>
        <v/>
      </c>
      <c r="I59" s="67" t="str">
        <f t="shared" si="21"/>
        <v/>
      </c>
      <c r="J59" s="67" t="str">
        <f t="shared" si="21"/>
        <v/>
      </c>
      <c r="K59" s="67" t="str">
        <f t="shared" si="21"/>
        <v/>
      </c>
      <c r="L59" s="67" t="str">
        <f t="shared" si="21"/>
        <v/>
      </c>
      <c r="M59" t="str">
        <f t="shared" si="21"/>
        <v/>
      </c>
      <c r="N59" t="str">
        <f>IF(A59="","","If non-zero, players need to change amount(s)")</f>
        <v>If non-zero, players need to change amount(s)</v>
      </c>
    </row>
    <row r="60" spans="1:14" x14ac:dyDescent="0.35">
      <c r="A60" s="1" t="str">
        <f>IF(A58="","","   Available Water [maf]")</f>
        <v xml:space="preserve">   Available Water [maf]</v>
      </c>
      <c r="C60" s="14" t="str">
        <f>IF(OR(C$26="",$A60=""),"",C30+C48-C40-C57)</f>
        <v/>
      </c>
      <c r="D60" s="14" t="str">
        <f t="shared" ref="D60:L60" si="22">IF(OR(D$26="",$A60=""),"",D30+D48-D40-D57)</f>
        <v/>
      </c>
      <c r="E60" s="14" t="str">
        <f t="shared" si="22"/>
        <v/>
      </c>
      <c r="F60" s="14" t="str">
        <f t="shared" si="22"/>
        <v/>
      </c>
      <c r="G60" s="14" t="str">
        <f t="shared" si="22"/>
        <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t="str">
        <f>IF(C27&lt;&gt;"",IF(C60&gt;4.2,4.2,MAX(C60,0)),"")</f>
        <v/>
      </c>
      <c r="D61" s="132" t="str">
        <f t="shared" ref="D61:G61" si="23">IF(D27&lt;&gt;"",IF(D60&gt;4.2,4.2,MAX(D60,0)),"")</f>
        <v/>
      </c>
      <c r="E61" s="132" t="str">
        <f t="shared" si="23"/>
        <v/>
      </c>
      <c r="F61" s="132" t="str">
        <f t="shared" si="23"/>
        <v/>
      </c>
      <c r="G61" s="132" t="str">
        <f t="shared" si="23"/>
        <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t="str">
        <f>IF(OR(C$26="",$A62=""),"",C60-C61)</f>
        <v/>
      </c>
      <c r="D62" s="66" t="str">
        <f t="shared" ref="D62:L62" si="24">IF(OR(D$26="",$A62=""),"",D60-D61)</f>
        <v/>
      </c>
      <c r="E62" s="66" t="str">
        <f t="shared" si="24"/>
        <v/>
      </c>
      <c r="F62" s="66" t="str">
        <f t="shared" si="24"/>
        <v/>
      </c>
      <c r="G62" s="66" t="str">
        <f t="shared" si="24"/>
        <v/>
      </c>
      <c r="H62" s="66" t="str">
        <f t="shared" si="24"/>
        <v/>
      </c>
      <c r="I62" s="66" t="str">
        <f t="shared" si="24"/>
        <v/>
      </c>
      <c r="J62" s="66" t="str">
        <f t="shared" si="24"/>
        <v/>
      </c>
      <c r="K62" s="66" t="str">
        <f t="shared" si="24"/>
        <v/>
      </c>
      <c r="L62" s="66" t="str">
        <f t="shared" si="24"/>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t="str">
        <f t="shared" ref="C67:M67" si="26">IF(OR(C$26="",$A67=""),"",C$112)</f>
        <v/>
      </c>
      <c r="D67" s="67" t="str">
        <f t="shared" si="26"/>
        <v/>
      </c>
      <c r="E67" s="67" t="str">
        <f t="shared" si="26"/>
        <v/>
      </c>
      <c r="F67" s="67" t="str">
        <f t="shared" si="26"/>
        <v/>
      </c>
      <c r="G67" s="67" t="str">
        <f t="shared" si="26"/>
        <v/>
      </c>
      <c r="H67" s="67" t="str">
        <f t="shared" si="26"/>
        <v/>
      </c>
      <c r="I67" s="67" t="str">
        <f t="shared" si="26"/>
        <v/>
      </c>
      <c r="J67" s="67" t="str">
        <f t="shared" si="26"/>
        <v/>
      </c>
      <c r="K67" s="67" t="str">
        <f t="shared" si="26"/>
        <v/>
      </c>
      <c r="L67" s="67" t="str">
        <f t="shared" si="26"/>
        <v/>
      </c>
      <c r="M67" t="str">
        <f t="shared" si="26"/>
        <v/>
      </c>
      <c r="N67" t="str">
        <f t="shared" si="25"/>
        <v>If non-zero, players need to change amount(s)</v>
      </c>
    </row>
    <row r="68" spans="1:14" x14ac:dyDescent="0.35">
      <c r="A68" s="1" t="str">
        <f>IF(A66="","","   Available Water [maf]")</f>
        <v xml:space="preserve">   Available Water [maf]</v>
      </c>
      <c r="C68" s="14" t="str">
        <f t="shared" ref="C68:L68" si="27">IF(OR(C$26="",$A68=""),"",C31+C49-C41-C65)</f>
        <v/>
      </c>
      <c r="D68" s="14" t="str">
        <f t="shared" si="27"/>
        <v/>
      </c>
      <c r="E68" s="14" t="str">
        <f t="shared" si="27"/>
        <v/>
      </c>
      <c r="F68" s="14" t="str">
        <f t="shared" si="27"/>
        <v/>
      </c>
      <c r="G68" s="14" t="str">
        <f t="shared" si="27"/>
        <v/>
      </c>
      <c r="H68" s="14" t="str">
        <f t="shared" si="27"/>
        <v/>
      </c>
      <c r="I68" s="14" t="str">
        <f t="shared" si="27"/>
        <v/>
      </c>
      <c r="J68" s="14" t="str">
        <f t="shared" si="27"/>
        <v/>
      </c>
      <c r="K68" s="14" t="str">
        <f t="shared" si="27"/>
        <v/>
      </c>
      <c r="L68" s="14" t="str">
        <f t="shared" si="27"/>
        <v/>
      </c>
      <c r="N68" t="str">
        <f t="shared" si="25"/>
        <v>Available water = Account Balance + Available Inflow - Evaporation + Sales - Purchases</v>
      </c>
    </row>
    <row r="69" spans="1:14" x14ac:dyDescent="0.35">
      <c r="A69" s="1" t="str">
        <f>IF(A68="","","   Account Withdraw [maf]")</f>
        <v xml:space="preserve">   Account Withdraw [maf]</v>
      </c>
      <c r="C69" s="132" t="str">
        <f>IF(C27&lt;&gt;"",7.5-VLOOKUP(C38,LowerBasinCuts!$C$5:$P$13,14),"")</f>
        <v/>
      </c>
      <c r="D69" s="132" t="str">
        <f>IF(D27&lt;&gt;"",7.5-VLOOKUP(D38,LowerBasinCuts!$C$5:$P$13,14),"")</f>
        <v/>
      </c>
      <c r="E69" s="132" t="str">
        <f>IF(E27&lt;&gt;"",7.5-VLOOKUP(E38,LowerBasinCuts!$C$5:$P$13,14),"")</f>
        <v/>
      </c>
      <c r="F69" s="132" t="str">
        <f>IF(F27&lt;&gt;"",7.5-VLOOKUP(F38,LowerBasinCuts!$C$5:$P$13,14),"")</f>
        <v/>
      </c>
      <c r="G69" s="132" t="str">
        <f>IF(G27&lt;&gt;"",7.5-VLOOKUP(G38,LowerBasinCuts!$C$5:$P$13,14),"")</f>
        <v/>
      </c>
      <c r="H69" s="132"/>
      <c r="I69" s="132"/>
      <c r="J69" s="132"/>
      <c r="K69" s="132"/>
      <c r="L69" s="132"/>
      <c r="N69" t="str">
        <f t="shared" si="25"/>
        <v>Must be less than Available water</v>
      </c>
    </row>
    <row r="70" spans="1:14" x14ac:dyDescent="0.35">
      <c r="A70" s="32" t="str">
        <f>IF(A69="","","   End of Year Balance [maf]")</f>
        <v xml:space="preserve">   End of Year Balance [maf]</v>
      </c>
      <c r="C70" s="66" t="str">
        <f>IF(OR(C$26="",$A70=""),"",C68-C69)</f>
        <v/>
      </c>
      <c r="D70" s="66" t="str">
        <f t="shared" ref="D70:L70" si="28">IF(OR(D$26="",$A70=""),"",D68-D69)</f>
        <v/>
      </c>
      <c r="E70" s="66" t="str">
        <f t="shared" si="28"/>
        <v/>
      </c>
      <c r="F70" s="66" t="str">
        <f t="shared" si="28"/>
        <v/>
      </c>
      <c r="G70" s="66" t="str">
        <f t="shared" si="28"/>
        <v/>
      </c>
      <c r="H70" s="66" t="str">
        <f t="shared" si="28"/>
        <v/>
      </c>
      <c r="I70" s="66" t="str">
        <f t="shared" si="28"/>
        <v/>
      </c>
      <c r="J70" s="66" t="str">
        <f t="shared" si="28"/>
        <v/>
      </c>
      <c r="K70" s="66" t="str">
        <f t="shared" si="28"/>
        <v/>
      </c>
      <c r="L70" s="66" t="str">
        <f t="shared" si="28"/>
        <v/>
      </c>
      <c r="N70" t="str">
        <f t="shared" si="2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t="str">
        <f t="shared" ref="C75:M75" si="30">IF(OR(C$26="",$A75=""),"",C$112)</f>
        <v/>
      </c>
      <c r="D75" s="67" t="str">
        <f t="shared" si="30"/>
        <v/>
      </c>
      <c r="E75" s="67" t="str">
        <f t="shared" si="30"/>
        <v/>
      </c>
      <c r="F75" s="67" t="str">
        <f t="shared" si="30"/>
        <v/>
      </c>
      <c r="G75" s="67" t="str">
        <f t="shared" si="30"/>
        <v/>
      </c>
      <c r="H75" s="67" t="str">
        <f t="shared" si="30"/>
        <v/>
      </c>
      <c r="I75" s="67" t="str">
        <f t="shared" si="30"/>
        <v/>
      </c>
      <c r="J75" s="67" t="str">
        <f t="shared" si="30"/>
        <v/>
      </c>
      <c r="K75" s="67" t="str">
        <f t="shared" si="30"/>
        <v/>
      </c>
      <c r="L75" s="67" t="str">
        <f t="shared" si="30"/>
        <v/>
      </c>
      <c r="M75" t="str">
        <f t="shared" si="30"/>
        <v/>
      </c>
      <c r="N75" t="str">
        <f t="shared" si="29"/>
        <v>If non-zero, players need to change amount(s)</v>
      </c>
    </row>
    <row r="76" spans="1:14" x14ac:dyDescent="0.35">
      <c r="A76" s="1" t="str">
        <f>IF(A74="","","   Available Water [maf]")</f>
        <v xml:space="preserve">   Available Water [maf]</v>
      </c>
      <c r="C76" s="14" t="str">
        <f t="shared" ref="C76:L76" si="31">IF(OR(C$26="",$A76=""),"",C32+C50-C42-C73)</f>
        <v/>
      </c>
      <c r="D76" s="14" t="str">
        <f t="shared" si="31"/>
        <v/>
      </c>
      <c r="E76" s="14" t="str">
        <f t="shared" si="31"/>
        <v/>
      </c>
      <c r="F76" s="14" t="str">
        <f>IF(OR(F$26="",$A76=""),"",F32+F50-F42-F73)</f>
        <v/>
      </c>
      <c r="G76" s="14" t="str">
        <f t="shared" si="31"/>
        <v/>
      </c>
      <c r="H76" s="14" t="str">
        <f t="shared" si="31"/>
        <v/>
      </c>
      <c r="I76" s="14" t="str">
        <f t="shared" si="31"/>
        <v/>
      </c>
      <c r="J76" s="14" t="str">
        <f t="shared" si="31"/>
        <v/>
      </c>
      <c r="K76" s="14" t="str">
        <f t="shared" si="31"/>
        <v/>
      </c>
      <c r="L76" s="14" t="str">
        <f t="shared" si="31"/>
        <v/>
      </c>
      <c r="N76" t="str">
        <f t="shared" si="29"/>
        <v>Available water = Account Balance + Available Inflow - Evaporation + Sales - Purchases</v>
      </c>
    </row>
    <row r="77" spans="1:14" x14ac:dyDescent="0.35">
      <c r="A77" s="1" t="str">
        <f>IF(A76="","","   Account Withdraw [maf]")</f>
        <v xml:space="preserve">   Account Withdraw [maf]</v>
      </c>
      <c r="C77" s="132" t="str">
        <f>C46</f>
        <v/>
      </c>
      <c r="D77" s="132" t="str">
        <f t="shared" ref="D77:G77" si="32">D46</f>
        <v/>
      </c>
      <c r="E77" s="132" t="str">
        <f t="shared" si="32"/>
        <v/>
      </c>
      <c r="F77" s="132" t="str">
        <f t="shared" si="32"/>
        <v/>
      </c>
      <c r="G77" s="132" t="str">
        <f t="shared" si="32"/>
        <v/>
      </c>
      <c r="H77" s="132"/>
      <c r="I77" s="132"/>
      <c r="J77" s="132"/>
      <c r="K77" s="132"/>
      <c r="L77" s="132"/>
      <c r="N77" t="str">
        <f t="shared" si="29"/>
        <v>Must be less than Available water</v>
      </c>
    </row>
    <row r="78" spans="1:14" x14ac:dyDescent="0.35">
      <c r="A78" s="32" t="str">
        <f>IF(A77="","","   End of Year Balance [maf]")</f>
        <v xml:space="preserve">   End of Year Balance [maf]</v>
      </c>
      <c r="C78" s="66" t="str">
        <f>IF(OR(C$26="",$A78=""),"",C76-C77)</f>
        <v/>
      </c>
      <c r="D78" s="66" t="str">
        <f t="shared" ref="D78:L78" si="33">IF(OR(D$26="",$A78=""),"",D76-D77)</f>
        <v/>
      </c>
      <c r="E78" s="66" t="str">
        <f t="shared" si="33"/>
        <v/>
      </c>
      <c r="F78" s="66" t="str">
        <f t="shared" si="33"/>
        <v/>
      </c>
      <c r="G78" s="66" t="str">
        <f t="shared" si="33"/>
        <v/>
      </c>
      <c r="H78" s="66" t="str">
        <f t="shared" si="33"/>
        <v/>
      </c>
      <c r="I78" s="66" t="str">
        <f t="shared" si="33"/>
        <v/>
      </c>
      <c r="J78" s="66" t="str">
        <f t="shared" si="33"/>
        <v/>
      </c>
      <c r="K78" s="66" t="str">
        <f t="shared" si="33"/>
        <v/>
      </c>
      <c r="L78" s="66" t="str">
        <f t="shared" si="33"/>
        <v/>
      </c>
      <c r="N78" t="str">
        <f t="shared" si="2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t="str">
        <f t="shared" ref="C83:M83" si="35">IF(OR(C$26="",$A83=""),"",C$112)</f>
        <v/>
      </c>
      <c r="D83" s="67" t="str">
        <f t="shared" si="35"/>
        <v/>
      </c>
      <c r="E83" s="67" t="str">
        <f t="shared" si="35"/>
        <v/>
      </c>
      <c r="F83" s="67" t="str">
        <f t="shared" si="35"/>
        <v/>
      </c>
      <c r="G83" s="67" t="str">
        <f t="shared" si="35"/>
        <v/>
      </c>
      <c r="H83" s="67" t="str">
        <f t="shared" si="35"/>
        <v/>
      </c>
      <c r="I83" s="67" t="str">
        <f t="shared" si="35"/>
        <v/>
      </c>
      <c r="J83" s="67" t="str">
        <f t="shared" si="35"/>
        <v/>
      </c>
      <c r="K83" s="67" t="str">
        <f t="shared" si="35"/>
        <v/>
      </c>
      <c r="L83" s="67" t="str">
        <f t="shared" si="35"/>
        <v/>
      </c>
      <c r="M83" t="str">
        <f t="shared" si="35"/>
        <v/>
      </c>
      <c r="N83" t="str">
        <f t="shared" si="34"/>
        <v>If non-zero, players need to change amount(s)</v>
      </c>
    </row>
    <row r="84" spans="1:14" x14ac:dyDescent="0.35">
      <c r="A84" s="1" t="str">
        <f>IF(A82="","","   Available Water [maf]")</f>
        <v xml:space="preserve">   Available Water [maf]</v>
      </c>
      <c r="C84" s="14" t="str">
        <f t="shared" ref="C84:L84" si="36">IF(OR(C$26="",$A84=""),"",C33+C51-C43-C81)</f>
        <v/>
      </c>
      <c r="D84" s="14" t="str">
        <f t="shared" si="36"/>
        <v/>
      </c>
      <c r="E84" s="14" t="str">
        <f t="shared" si="36"/>
        <v/>
      </c>
      <c r="F84" s="14" t="str">
        <f t="shared" si="36"/>
        <v/>
      </c>
      <c r="G84" s="14" t="str">
        <f t="shared" si="36"/>
        <v/>
      </c>
      <c r="H84" s="14" t="str">
        <f t="shared" si="36"/>
        <v/>
      </c>
      <c r="I84" s="14" t="str">
        <f t="shared" si="36"/>
        <v/>
      </c>
      <c r="J84" s="14" t="str">
        <f t="shared" si="36"/>
        <v/>
      </c>
      <c r="K84" s="14" t="str">
        <f t="shared" si="36"/>
        <v/>
      </c>
      <c r="L84" s="14" t="str">
        <f t="shared" si="36"/>
        <v/>
      </c>
      <c r="N84" t="str">
        <f t="shared" si="34"/>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35">
      <c r="A86" s="32" t="str">
        <f>IF(A85="","","   End of Year Balance [maf]")</f>
        <v xml:space="preserve">   End of Year Balance [maf]</v>
      </c>
      <c r="C86" s="66" t="str">
        <f>IF(OR(C$26="",$A86=""),"",C84-C85)</f>
        <v/>
      </c>
      <c r="D86" s="66" t="str">
        <f t="shared" ref="D86:L86" si="37">IF(OR(D$26="",$A86=""),"",D84-D85)</f>
        <v/>
      </c>
      <c r="E86" s="66" t="str">
        <f t="shared" si="37"/>
        <v/>
      </c>
      <c r="F86" s="66" t="str">
        <f t="shared" si="37"/>
        <v/>
      </c>
      <c r="G86" s="66" t="str">
        <f t="shared" si="37"/>
        <v/>
      </c>
      <c r="H86" s="66" t="str">
        <f t="shared" si="37"/>
        <v/>
      </c>
      <c r="I86" s="66" t="str">
        <f t="shared" si="37"/>
        <v/>
      </c>
      <c r="J86" s="66" t="str">
        <f t="shared" si="37"/>
        <v/>
      </c>
      <c r="K86" s="66" t="str">
        <f t="shared" si="37"/>
        <v/>
      </c>
      <c r="L86" s="66" t="str">
        <f t="shared" si="37"/>
        <v/>
      </c>
      <c r="N86" t="str">
        <f t="shared" si="34"/>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2"/>
      <c r="D93" s="132"/>
      <c r="E93" s="132"/>
      <c r="F93" s="132"/>
      <c r="G93" s="132"/>
      <c r="H93" s="132"/>
      <c r="I93" s="132"/>
      <c r="J93" s="132"/>
      <c r="K93" s="132"/>
      <c r="L93" s="132"/>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2"/>
      <c r="D101" s="132"/>
      <c r="E101" s="132"/>
      <c r="F101" s="132"/>
      <c r="G101" s="132"/>
      <c r="H101" s="132"/>
      <c r="I101" s="132"/>
      <c r="J101" s="132"/>
      <c r="K101" s="132"/>
      <c r="L101" s="132"/>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6">IF(A5="","","    "&amp;A5)</f>
        <v xml:space="preserve">    Upper Basin</v>
      </c>
      <c r="B106" s="1"/>
      <c r="C106" s="67" t="str">
        <f t="shared" ref="C106:L111" ca="1" si="47">IF(OR(C$26="",$A106=""),"",OFFSET(C$57,8*(ROW(B106)-ROW(B$106)),0))</f>
        <v/>
      </c>
      <c r="D106" s="67" t="str">
        <f t="shared" ca="1" si="47"/>
        <v/>
      </c>
      <c r="E106" s="67" t="str">
        <f t="shared" ca="1" si="47"/>
        <v/>
      </c>
      <c r="F106" s="67" t="str">
        <f t="shared" ca="1" si="47"/>
        <v/>
      </c>
      <c r="G106" s="67" t="str">
        <f t="shared" ca="1" si="47"/>
        <v/>
      </c>
      <c r="H106" s="67" t="str">
        <f t="shared" ca="1" si="47"/>
        <v/>
      </c>
      <c r="I106" s="67" t="str">
        <f t="shared" ca="1" si="47"/>
        <v/>
      </c>
      <c r="J106" s="67" t="str">
        <f t="shared" ca="1" si="47"/>
        <v/>
      </c>
      <c r="K106" s="67" t="str">
        <f t="shared" ca="1" si="47"/>
        <v/>
      </c>
      <c r="L106" s="67" t="str">
        <f t="shared" ca="1" si="47"/>
        <v/>
      </c>
      <c r="M106" s="67">
        <f ca="1">IF(OR($A106=""),"",SUM(C106:L106))</f>
        <v>0</v>
      </c>
      <c r="N106" s="65">
        <f>IF(OR($A106=""),"",M58)</f>
        <v>0</v>
      </c>
    </row>
    <row r="107" spans="1:14" x14ac:dyDescent="0.35">
      <c r="A107" t="str">
        <f t="shared" si="46"/>
        <v xml:space="preserve">    Lower Basin</v>
      </c>
      <c r="B107" s="1"/>
      <c r="C107" s="67" t="str">
        <f t="shared" ca="1" si="47"/>
        <v/>
      </c>
      <c r="D107" s="67" t="str">
        <f t="shared" ca="1" si="47"/>
        <v/>
      </c>
      <c r="E107" s="67" t="str">
        <f t="shared" ca="1" si="47"/>
        <v/>
      </c>
      <c r="F107" s="67" t="str">
        <f t="shared" ca="1" si="47"/>
        <v/>
      </c>
      <c r="G107" s="67" t="str">
        <f t="shared" ca="1" si="47"/>
        <v/>
      </c>
      <c r="H107" s="67" t="str">
        <f t="shared" ca="1" si="47"/>
        <v/>
      </c>
      <c r="I107" s="67" t="str">
        <f t="shared" ca="1" si="47"/>
        <v/>
      </c>
      <c r="J107" s="67" t="str">
        <f t="shared" ca="1" si="47"/>
        <v/>
      </c>
      <c r="K107" s="67" t="str">
        <f t="shared" ca="1" si="47"/>
        <v/>
      </c>
      <c r="L107" s="67" t="str">
        <f t="shared" ca="1" si="47"/>
        <v/>
      </c>
      <c r="M107" s="67">
        <f t="shared" ref="M107:M111" ca="1" si="48">IF(OR($A107=""),"",SUM(C107:L107))</f>
        <v>0</v>
      </c>
      <c r="N107" s="65">
        <f>IF(OR($A107=""),"",M66)</f>
        <v>0</v>
      </c>
    </row>
    <row r="108" spans="1:14" x14ac:dyDescent="0.35">
      <c r="A108" t="str">
        <f t="shared" si="46"/>
        <v xml:space="preserve">    Mexico</v>
      </c>
      <c r="B108" s="1"/>
      <c r="C108" s="67" t="str">
        <f t="shared" ca="1" si="47"/>
        <v/>
      </c>
      <c r="D108" s="67" t="str">
        <f t="shared" ca="1" si="47"/>
        <v/>
      </c>
      <c r="E108" s="67" t="str">
        <f t="shared" ca="1" si="47"/>
        <v/>
      </c>
      <c r="F108" s="67" t="str">
        <f t="shared" ca="1" si="47"/>
        <v/>
      </c>
      <c r="G108" s="67" t="str">
        <f t="shared" ca="1" si="47"/>
        <v/>
      </c>
      <c r="H108" s="67" t="str">
        <f t="shared" ca="1" si="47"/>
        <v/>
      </c>
      <c r="I108" s="67" t="str">
        <f t="shared" ca="1" si="47"/>
        <v/>
      </c>
      <c r="J108" s="67" t="str">
        <f t="shared" ca="1" si="47"/>
        <v/>
      </c>
      <c r="K108" s="67" t="str">
        <f t="shared" ca="1" si="47"/>
        <v/>
      </c>
      <c r="L108" s="67" t="str">
        <f t="shared" ca="1" si="47"/>
        <v/>
      </c>
      <c r="M108" s="67">
        <f t="shared" ca="1" si="48"/>
        <v>0</v>
      </c>
      <c r="N108" s="65">
        <f>IF(OR($A108=""),"",M74)</f>
        <v>0</v>
      </c>
    </row>
    <row r="109" spans="1:14" x14ac:dyDescent="0.35">
      <c r="A109" t="str">
        <f t="shared" si="46"/>
        <v xml:space="preserve">    Shared, Reserve</v>
      </c>
      <c r="B109" s="1"/>
      <c r="C109" s="67" t="str">
        <f t="shared" ca="1" si="47"/>
        <v/>
      </c>
      <c r="D109" s="67" t="str">
        <f t="shared" ca="1" si="47"/>
        <v/>
      </c>
      <c r="E109" s="67" t="str">
        <f t="shared" ca="1" si="47"/>
        <v/>
      </c>
      <c r="F109" s="67" t="str">
        <f t="shared" ca="1" si="47"/>
        <v/>
      </c>
      <c r="G109" s="67" t="str">
        <f t="shared" ca="1" si="47"/>
        <v/>
      </c>
      <c r="H109" s="67" t="str">
        <f t="shared" ca="1" si="47"/>
        <v/>
      </c>
      <c r="I109" s="67" t="str">
        <f t="shared" ca="1" si="47"/>
        <v/>
      </c>
      <c r="J109" s="67" t="str">
        <f t="shared" ca="1" si="47"/>
        <v/>
      </c>
      <c r="K109" s="67" t="str">
        <f t="shared" ca="1" si="47"/>
        <v/>
      </c>
      <c r="L109" s="67" t="str">
        <f t="shared" ca="1" si="47"/>
        <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t="str">
        <f>IF(C$26&lt;&gt;"",SUM(C106:C111),"")</f>
        <v/>
      </c>
      <c r="D112" s="51" t="str">
        <f t="shared" ref="D112:L112" si="49">IF(D$26&lt;&gt;"",SUM(D106:D111),"")</f>
        <v/>
      </c>
      <c r="E112" s="115" t="str">
        <f t="shared" si="49"/>
        <v/>
      </c>
      <c r="F112" s="51" t="str">
        <f t="shared" si="49"/>
        <v/>
      </c>
      <c r="G112" s="51" t="str">
        <f t="shared" si="49"/>
        <v/>
      </c>
      <c r="H112" s="51" t="str">
        <f t="shared" si="49"/>
        <v/>
      </c>
      <c r="I112" s="51" t="str">
        <f t="shared" si="49"/>
        <v/>
      </c>
      <c r="J112" s="51" t="str">
        <f t="shared" si="49"/>
        <v/>
      </c>
      <c r="K112" s="51" t="str">
        <f t="shared" si="49"/>
        <v/>
      </c>
      <c r="L112" s="51" t="str">
        <f t="shared" si="49"/>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9" ca="1" si="50">IF(OR(C$26="",$A114=""),"",OFFSET(C$61,8*(ROW(B114)-ROW(B$114)),0))</f>
        <v/>
      </c>
      <c r="D114" s="67" t="str">
        <f t="shared" ca="1" si="50"/>
        <v/>
      </c>
      <c r="E114" s="67" t="str">
        <f t="shared" ca="1" si="50"/>
        <v/>
      </c>
      <c r="F114" s="67" t="str">
        <f t="shared" ca="1" si="50"/>
        <v/>
      </c>
      <c r="G114" s="67" t="str">
        <f t="shared" ca="1" si="50"/>
        <v/>
      </c>
      <c r="H114" s="67" t="str">
        <f t="shared" ca="1" si="50"/>
        <v/>
      </c>
      <c r="I114" s="67" t="str">
        <f t="shared" ca="1" si="50"/>
        <v/>
      </c>
      <c r="J114" s="67" t="str">
        <f t="shared" ca="1" si="50"/>
        <v/>
      </c>
      <c r="K114" s="67" t="str">
        <f t="shared" ca="1" si="50"/>
        <v/>
      </c>
      <c r="L114" s="67" t="str">
        <f t="shared" ca="1" si="50"/>
        <v/>
      </c>
    </row>
    <row r="115" spans="1:12" x14ac:dyDescent="0.35">
      <c r="A115" t="str">
        <f>IF(A6="","","    "&amp;A6&amp;" - Release from Mead")</f>
        <v xml:space="preserve">    Lower Basin - Release from Mead</v>
      </c>
      <c r="C115" s="67" t="str">
        <f t="shared" ca="1" si="50"/>
        <v/>
      </c>
      <c r="D115" s="67" t="str">
        <f t="shared" ca="1" si="50"/>
        <v/>
      </c>
      <c r="E115" s="67" t="str">
        <f t="shared" ca="1" si="50"/>
        <v/>
      </c>
      <c r="F115" s="67" t="str">
        <f t="shared" ca="1" si="50"/>
        <v/>
      </c>
      <c r="G115" s="67" t="str">
        <f t="shared" ca="1" si="50"/>
        <v/>
      </c>
      <c r="H115" s="67" t="str">
        <f t="shared" ca="1" si="50"/>
        <v/>
      </c>
      <c r="I115" s="67" t="str">
        <f t="shared" ca="1" si="50"/>
        <v/>
      </c>
      <c r="J115" s="67" t="str">
        <f t="shared" ca="1" si="50"/>
        <v/>
      </c>
      <c r="K115" s="67" t="str">
        <f t="shared" ca="1" si="50"/>
        <v/>
      </c>
      <c r="L115" s="67" t="str">
        <f t="shared" ca="1" si="50"/>
        <v/>
      </c>
    </row>
    <row r="116" spans="1:12" x14ac:dyDescent="0.35">
      <c r="A116" t="str">
        <f>IF(A7="","","    "&amp;A7&amp;" - Release from Mead")</f>
        <v xml:space="preserve">    Mexico - Release from Mead</v>
      </c>
      <c r="C116" s="67" t="str">
        <f t="shared" ca="1" si="50"/>
        <v/>
      </c>
      <c r="D116" s="67" t="str">
        <f t="shared" ca="1" si="50"/>
        <v/>
      </c>
      <c r="E116" s="67" t="str">
        <f t="shared" ca="1" si="50"/>
        <v/>
      </c>
      <c r="F116" s="67" t="str">
        <f t="shared" ca="1" si="50"/>
        <v/>
      </c>
      <c r="G116" s="67" t="str">
        <f t="shared" ca="1" si="50"/>
        <v/>
      </c>
      <c r="H116" s="67" t="str">
        <f t="shared" ca="1" si="50"/>
        <v/>
      </c>
      <c r="I116" s="67" t="str">
        <f t="shared" ca="1" si="50"/>
        <v/>
      </c>
      <c r="J116" s="67" t="str">
        <f t="shared" ca="1" si="50"/>
        <v/>
      </c>
      <c r="K116" s="67" t="str">
        <f t="shared" ca="1" si="50"/>
        <v/>
      </c>
      <c r="L116" s="67" t="str">
        <f t="shared" ca="1" si="50"/>
        <v/>
      </c>
    </row>
    <row r="117" spans="1:12" x14ac:dyDescent="0.35">
      <c r="A117" t="str">
        <f>IF(A8="","","    "&amp;A8&amp;" - Release from Mead")</f>
        <v xml:space="preserve">    Shared, Reserve - Release from Mead</v>
      </c>
      <c r="C117" s="67" t="str">
        <f t="shared" ca="1" si="50"/>
        <v/>
      </c>
      <c r="D117" s="67" t="str">
        <f t="shared" ca="1" si="50"/>
        <v/>
      </c>
      <c r="E117" s="67" t="str">
        <f t="shared" ca="1" si="50"/>
        <v/>
      </c>
      <c r="F117" s="67" t="str">
        <f t="shared" ca="1" si="50"/>
        <v/>
      </c>
      <c r="G117" s="67" t="str">
        <f t="shared" ca="1" si="50"/>
        <v/>
      </c>
      <c r="H117" s="67" t="str">
        <f t="shared" ca="1" si="50"/>
        <v/>
      </c>
      <c r="I117" s="67" t="str">
        <f t="shared" ca="1" si="50"/>
        <v/>
      </c>
      <c r="J117" s="67" t="str">
        <f t="shared" ca="1" si="50"/>
        <v/>
      </c>
      <c r="K117" s="67" t="str">
        <f t="shared" ca="1" si="50"/>
        <v/>
      </c>
      <c r="L117" s="67" t="str">
        <f t="shared" ca="1" si="50"/>
        <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t="str">
        <f t="shared" ref="C121:L126" ca="1" si="52">IF(OR(C$26="",$A121=""),"",OFFSET(C$62,8*(ROW(B121)-ROW(B$121)),0))</f>
        <v/>
      </c>
      <c r="D121" s="67" t="str">
        <f t="shared" ca="1" si="52"/>
        <v/>
      </c>
      <c r="E121" s="67" t="str">
        <f t="shared" ca="1" si="52"/>
        <v/>
      </c>
      <c r="F121" s="67" t="str">
        <f t="shared" ca="1" si="52"/>
        <v/>
      </c>
      <c r="G121" s="67" t="str">
        <f t="shared" ca="1" si="52"/>
        <v/>
      </c>
      <c r="H121" s="67" t="str">
        <f t="shared" ca="1" si="52"/>
        <v/>
      </c>
      <c r="I121" s="67" t="str">
        <f t="shared" ca="1" si="52"/>
        <v/>
      </c>
      <c r="J121" s="67" t="str">
        <f t="shared" ca="1" si="52"/>
        <v/>
      </c>
      <c r="K121" s="67" t="str">
        <f t="shared" ca="1" si="52"/>
        <v/>
      </c>
      <c r="L121" s="67" t="str">
        <f t="shared" ca="1" si="52"/>
        <v/>
      </c>
    </row>
    <row r="122" spans="1:12" x14ac:dyDescent="0.35">
      <c r="A122" t="str">
        <f t="shared" si="51"/>
        <v xml:space="preserve">    Lower Basin</v>
      </c>
      <c r="C122" s="67" t="str">
        <f t="shared" ca="1" si="52"/>
        <v/>
      </c>
      <c r="D122" s="67" t="str">
        <f t="shared" ca="1" si="52"/>
        <v/>
      </c>
      <c r="E122" s="67" t="str">
        <f t="shared" ca="1" si="52"/>
        <v/>
      </c>
      <c r="F122" s="67" t="str">
        <f t="shared" ca="1" si="52"/>
        <v/>
      </c>
      <c r="G122" s="67" t="str">
        <f t="shared" ca="1" si="52"/>
        <v/>
      </c>
      <c r="H122" s="67" t="str">
        <f t="shared" ca="1" si="52"/>
        <v/>
      </c>
      <c r="I122" s="67" t="str">
        <f t="shared" ca="1" si="52"/>
        <v/>
      </c>
      <c r="J122" s="67" t="str">
        <f t="shared" ca="1" si="52"/>
        <v/>
      </c>
      <c r="K122" s="67" t="str">
        <f t="shared" ca="1" si="52"/>
        <v/>
      </c>
      <c r="L122" s="67" t="str">
        <f t="shared" ca="1" si="52"/>
        <v/>
      </c>
    </row>
    <row r="123" spans="1:12" x14ac:dyDescent="0.35">
      <c r="A123" t="str">
        <f t="shared" si="51"/>
        <v xml:space="preserve">    Mexico</v>
      </c>
      <c r="C123" s="67" t="str">
        <f t="shared" ca="1" si="52"/>
        <v/>
      </c>
      <c r="D123" s="67" t="str">
        <f t="shared" ca="1" si="52"/>
        <v/>
      </c>
      <c r="E123" s="67" t="str">
        <f t="shared" ca="1" si="52"/>
        <v/>
      </c>
      <c r="F123" s="67" t="str">
        <f t="shared" ca="1" si="52"/>
        <v/>
      </c>
      <c r="G123" s="67" t="str">
        <f t="shared" ca="1" si="52"/>
        <v/>
      </c>
      <c r="H123" s="67" t="str">
        <f t="shared" ca="1" si="52"/>
        <v/>
      </c>
      <c r="I123" s="67" t="str">
        <f t="shared" ca="1" si="52"/>
        <v/>
      </c>
      <c r="J123" s="67" t="str">
        <f t="shared" ca="1" si="52"/>
        <v/>
      </c>
      <c r="K123" s="67" t="str">
        <f t="shared" ca="1" si="52"/>
        <v/>
      </c>
      <c r="L123" s="67" t="str">
        <f t="shared" ca="1" si="52"/>
        <v/>
      </c>
    </row>
    <row r="124" spans="1:12" x14ac:dyDescent="0.35">
      <c r="A124" t="str">
        <f t="shared" si="51"/>
        <v xml:space="preserve">    Shared, Reserve</v>
      </c>
      <c r="C124" s="67" t="str">
        <f t="shared" ca="1" si="52"/>
        <v/>
      </c>
      <c r="D124" s="67" t="str">
        <f t="shared" ca="1" si="52"/>
        <v/>
      </c>
      <c r="E124" s="67" t="str">
        <f t="shared" ca="1" si="52"/>
        <v/>
      </c>
      <c r="F124" s="67" t="str">
        <f t="shared" ca="1" si="52"/>
        <v/>
      </c>
      <c r="G124" s="67" t="str">
        <f t="shared" ca="1" si="52"/>
        <v/>
      </c>
      <c r="H124" s="67" t="str">
        <f t="shared" ca="1" si="52"/>
        <v/>
      </c>
      <c r="I124" s="67" t="str">
        <f t="shared" ca="1" si="52"/>
        <v/>
      </c>
      <c r="J124" s="67" t="str">
        <f t="shared" ca="1" si="52"/>
        <v/>
      </c>
      <c r="K124" s="67" t="str">
        <f t="shared" ca="1" si="52"/>
        <v/>
      </c>
      <c r="L124" s="67" t="str">
        <f t="shared" ca="1" si="52"/>
        <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t="str">
        <f>IF(C$26&lt;&gt;"",SUM(C121:C126),"")</f>
        <v/>
      </c>
      <c r="D127" s="14" t="str">
        <f t="shared" ref="D127:L127" si="53">IF(D$26&lt;&gt;"",SUM(D121:D126),"")</f>
        <v/>
      </c>
      <c r="E127" s="14" t="str">
        <f t="shared" si="53"/>
        <v/>
      </c>
      <c r="F127" s="14" t="str">
        <f t="shared" si="53"/>
        <v/>
      </c>
      <c r="G127" s="14" t="str">
        <f t="shared" si="53"/>
        <v/>
      </c>
      <c r="H127" s="14" t="str">
        <f t="shared" si="53"/>
        <v/>
      </c>
      <c r="I127" s="14" t="str">
        <f t="shared" si="53"/>
        <v/>
      </c>
      <c r="J127" s="14" t="str">
        <f t="shared" si="53"/>
        <v/>
      </c>
      <c r="K127" s="14" t="str">
        <f t="shared" si="53"/>
        <v/>
      </c>
      <c r="L127" s="14" t="str">
        <f t="shared" si="53"/>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t="str">
        <f>IF(C26="","",C$128*C$127)</f>
        <v/>
      </c>
      <c r="D129" s="14" t="str">
        <f t="shared" ref="D129:L129" si="54">IF(D26="","",D$128*D$127)</f>
        <v/>
      </c>
      <c r="E129" s="14" t="str">
        <f t="shared" si="54"/>
        <v/>
      </c>
      <c r="F129" s="14" t="str">
        <f t="shared" si="54"/>
        <v/>
      </c>
      <c r="G129" s="14" t="str">
        <f t="shared" si="54"/>
        <v/>
      </c>
      <c r="H129" s="14" t="str">
        <f t="shared" si="54"/>
        <v/>
      </c>
      <c r="I129" s="14" t="str">
        <f t="shared" si="54"/>
        <v/>
      </c>
      <c r="J129" s="14" t="str">
        <f t="shared" si="54"/>
        <v/>
      </c>
      <c r="K129" s="14" t="str">
        <f t="shared" si="54"/>
        <v/>
      </c>
      <c r="L129" s="14" t="str">
        <f t="shared" si="54"/>
        <v/>
      </c>
    </row>
    <row r="130" spans="1:14" x14ac:dyDescent="0.35">
      <c r="A130" s="1" t="s">
        <v>193</v>
      </c>
      <c r="B130" s="1"/>
      <c r="C130" s="14" t="str">
        <f>IF(C27="","",(1-C$128)*C$127)</f>
        <v/>
      </c>
      <c r="D130" s="14" t="str">
        <f t="shared" ref="D130:L130" si="55">IF(D27="","",(1-D$128)*D$127)</f>
        <v/>
      </c>
      <c r="E130" s="14" t="str">
        <f t="shared" si="55"/>
        <v/>
      </c>
      <c r="F130" s="14" t="str">
        <f t="shared" si="55"/>
        <v/>
      </c>
      <c r="G130" s="14" t="str">
        <f t="shared" si="55"/>
        <v/>
      </c>
      <c r="H130" s="14" t="str">
        <f t="shared" si="55"/>
        <v/>
      </c>
      <c r="I130" s="14" t="str">
        <f t="shared" si="55"/>
        <v/>
      </c>
      <c r="J130" s="14" t="str">
        <f t="shared" si="55"/>
        <v/>
      </c>
      <c r="K130" s="14" t="str">
        <f t="shared" si="55"/>
        <v/>
      </c>
      <c r="L130" s="14" t="str">
        <f t="shared" si="55"/>
        <v/>
      </c>
    </row>
    <row r="131" spans="1:14" x14ac:dyDescent="0.35">
      <c r="A131" s="32" t="s">
        <v>268</v>
      </c>
      <c r="B131" s="1"/>
      <c r="C131" s="83" t="str">
        <f>IF(C$26&lt;&gt;"",VLOOKUP(C129*1000000,'Powell-Elevation-Area'!$B$5:$H$689,7),"")</f>
        <v/>
      </c>
      <c r="D131" s="83" t="str">
        <f>IF(D$26&lt;&gt;"",VLOOKUP(D129*1000000,'Powell-Elevation-Area'!$B$5:$H$689,7),"")</f>
        <v/>
      </c>
      <c r="E131" s="83" t="str">
        <f>IF(E$26&lt;&gt;"",VLOOKUP(E129*1000000,'Powell-Elevation-Area'!$B$5:$H$689,7),"")</f>
        <v/>
      </c>
      <c r="F131" s="83" t="str">
        <f>IF(F$26&lt;&gt;"",VLOOKUP(F129*1000000,'Powell-Elevation-Area'!$B$5:$H$689,7),"")</f>
        <v/>
      </c>
      <c r="G131" s="83" t="str">
        <f>IF(G$26&lt;&gt;"",VLOOKUP(G129*1000000,'Powell-Elevation-Area'!$B$5:$H$689,7),"")</f>
        <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t="str">
        <f>IF(C$26&lt;&gt;"",VLOOKUP(C130*1000000,'Mead-Elevation-Area'!$B$5:$H$689,7),"")</f>
        <v/>
      </c>
      <c r="D132" s="83" t="str">
        <f>IF(D$26&lt;&gt;"",VLOOKUP(D130*1000000,'Mead-Elevation-Area'!$B$5:$H$689,7),"")</f>
        <v/>
      </c>
      <c r="E132" s="83" t="str">
        <f>IF(E$26&lt;&gt;"",VLOOKUP(E130*1000000,'Mead-Elevation-Area'!$B$5:$H$689,7),"")</f>
        <v/>
      </c>
      <c r="F132" s="83" t="str">
        <f>IF(F$26&lt;&gt;"",VLOOKUP(F130*1000000,'Mead-Elevation-Area'!$B$5:$H$689,7),"")</f>
        <v/>
      </c>
      <c r="G132" s="83" t="str">
        <f>IF(G$26&lt;&gt;"",VLOOKUP(G130*1000000,'Mead-Elevation-Area'!$B$5:$H$689,7),"")</f>
        <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t="str">
        <f>IF(C$26&lt;&gt;"",-C129+C37+C26-C61-VLOOKUP(C37*1000000,'Powell-Elevation-Area'!$B$5:$D$689,3)*$B$20/1000000,"")</f>
        <v/>
      </c>
      <c r="D134" s="14" t="str">
        <f>IF(D$26&lt;&gt;"",-D129+D37+D26-D61-VLOOKUP(D37*1000000,'Powell-Elevation-Area'!$B$5:$D$689,3)*$B$20/1000000,"")</f>
        <v/>
      </c>
      <c r="E134" s="14" t="str">
        <f>IF(E$26&lt;&gt;"",-E129+E37+E26-E61-VLOOKUP(E37*1000000,'Powell-Elevation-Area'!$B$5:$D$689,3)*$B$20/1000000,"")</f>
        <v/>
      </c>
      <c r="F134" s="14" t="str">
        <f>IF(F$26&lt;&gt;"",-F129+F37+F26-F61-VLOOKUP(F37*1000000,'Powell-Elevation-Area'!$B$5:$D$689,3)*$B$20/1000000,"")</f>
        <v/>
      </c>
      <c r="G134" s="14" t="str">
        <f>IF(G$26&lt;&gt;"",-G129+G37+G26-G61-VLOOKUP(G37*1000000,'Powell-Elevation-Area'!$B$5:$D$689,3)*$B$20/1000000,"")</f>
        <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IF(C$26&lt;&gt;"",VLOOKUP(C131,PowellReleaseTemperature!$A$5:$B$11,2),"")</f>
        <v/>
      </c>
      <c r="D135" s="83" t="str">
        <f>IF(D$26&lt;&gt;"",VLOOKUP(D131,PowellReleaseTemperature!$A$5:$B$11,2),"")</f>
        <v/>
      </c>
      <c r="E135" s="83" t="str">
        <f>IF(E$26&lt;&gt;"",VLOOKUP(E131,PowellReleaseTemperature!$A$5:$B$11,2),"")</f>
        <v/>
      </c>
      <c r="F135" s="83" t="str">
        <f>IF(F$26&lt;&gt;"",VLOOKUP(F131,PowellReleaseTemperature!$A$5:$B$11,2),"")</f>
        <v/>
      </c>
      <c r="G135" s="83" t="str">
        <f>IF(G$26&lt;&gt;"",VLOOKUP(G131,PowellReleaseTemperature!$A$5:$B$11,2),"")</f>
        <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IF(C$26&lt;&gt;"",VLOOKUP(C$131,PowellReleaseTemperature!$A$5:$E$11,5),"")</f>
        <v/>
      </c>
      <c r="D136" s="116" t="str">
        <f>IF(D$26&lt;&gt;"",VLOOKUP(D$131,PowellReleaseTemperature!$A$5:$E$11,5),"")</f>
        <v/>
      </c>
      <c r="E136" s="116" t="str">
        <f>IF(E$26&lt;&gt;"",VLOOKUP(E$131,PowellReleaseTemperature!$A$5:$E$11,5),"")</f>
        <v/>
      </c>
      <c r="F136" s="116" t="str">
        <f>IF(F$26&lt;&gt;"",VLOOKUP(F$131,PowellReleaseTemperature!$A$5:$E$11,5),"")</f>
        <v/>
      </c>
      <c r="G136" s="116" t="str">
        <f>IF(G$26&lt;&gt;"",VLOOKUP(G$131,PowellReleaseTemperature!$A$5:$E$11,5),"")</f>
        <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303</v>
      </c>
      <c r="B137" s="84"/>
      <c r="C137" s="116" t="str">
        <f>IF(C$26&lt;&gt;"",VLOOKUP(C$131,PowellReleaseTemperature!$A$5:$F$11,6),"")</f>
        <v/>
      </c>
      <c r="D137" s="116" t="str">
        <f>IF(D$26&lt;&gt;"",VLOOKUP(D$131,PowellReleaseTemperature!$A$5:$F$11,6),"")</f>
        <v/>
      </c>
      <c r="E137" s="116" t="str">
        <f>IF(E$26&lt;&gt;"",VLOOKUP(E$131,PowellReleaseTemperature!$A$5:$F$11,6),"")</f>
        <v/>
      </c>
      <c r="F137" s="116" t="str">
        <f>IF(F$26&lt;&gt;"",VLOOKUP(F$131,PowellReleaseTemperature!$A$5:$F$11,6),"")</f>
        <v/>
      </c>
      <c r="G137" s="116" t="str">
        <f>IF(G$26&lt;&gt;"",VLOOKUP(G$131,PowellReleaseTemperature!$A$5:$F$11,6),"")</f>
        <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t="str">
        <f>IF(C$26&lt;&gt;"",0.2,"")</f>
        <v/>
      </c>
      <c r="D139" s="136" t="str">
        <f t="shared" ref="D139:L139" si="56">IF(D$26&lt;&gt;"",0.2,"")</f>
        <v/>
      </c>
      <c r="E139" s="136" t="str">
        <f t="shared" si="56"/>
        <v/>
      </c>
      <c r="F139" s="136" t="str">
        <f t="shared" si="56"/>
        <v/>
      </c>
      <c r="G139" s="136" t="str">
        <f t="shared" si="56"/>
        <v/>
      </c>
      <c r="H139" s="136" t="str">
        <f t="shared" si="56"/>
        <v/>
      </c>
      <c r="I139" s="136" t="str">
        <f t="shared" si="56"/>
        <v/>
      </c>
      <c r="J139" s="136" t="str">
        <f t="shared" si="56"/>
        <v/>
      </c>
      <c r="K139" s="136" t="str">
        <f t="shared" si="56"/>
        <v/>
      </c>
      <c r="L139" s="136" t="str">
        <f t="shared" si="56"/>
        <v/>
      </c>
    </row>
    <row r="140" spans="1:14" x14ac:dyDescent="0.35">
      <c r="A140" t="s">
        <v>125</v>
      </c>
      <c r="C140" s="14" t="str">
        <f t="shared" ref="C140:L140" si="57">IF(C$26&lt;&gt;"",C115+C139,"")</f>
        <v/>
      </c>
      <c r="D140" s="14" t="str">
        <f t="shared" si="57"/>
        <v/>
      </c>
      <c r="E140" s="14" t="str">
        <f t="shared" si="57"/>
        <v/>
      </c>
      <c r="F140" s="14" t="str">
        <f t="shared" si="57"/>
        <v/>
      </c>
      <c r="G140" s="14" t="str">
        <f t="shared" si="57"/>
        <v/>
      </c>
      <c r="H140" s="14" t="str">
        <f t="shared" si="57"/>
        <v/>
      </c>
      <c r="I140" s="14" t="str">
        <f t="shared" si="57"/>
        <v/>
      </c>
      <c r="J140" s="14" t="str">
        <f t="shared" si="57"/>
        <v/>
      </c>
      <c r="K140" s="14" t="str">
        <f t="shared" si="57"/>
        <v/>
      </c>
      <c r="L140" s="14" t="str">
        <f t="shared" si="57"/>
        <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293" priority="56" operator="greaterThan">
      <formula>$H$60</formula>
    </cfRule>
  </conditionalFormatting>
  <conditionalFormatting sqref="I61">
    <cfRule type="cellIs" dxfId="292" priority="55" operator="greaterThan">
      <formula>$I$60</formula>
    </cfRule>
  </conditionalFormatting>
  <conditionalFormatting sqref="J61">
    <cfRule type="cellIs" dxfId="291" priority="54" operator="greaterThan">
      <formula>$J$60</formula>
    </cfRule>
  </conditionalFormatting>
  <conditionalFormatting sqref="K61">
    <cfRule type="cellIs" dxfId="290" priority="53" operator="greaterThan">
      <formula>$K$60</formula>
    </cfRule>
  </conditionalFormatting>
  <conditionalFormatting sqref="L61">
    <cfRule type="cellIs" dxfId="289" priority="52" operator="greaterThan">
      <formula>$L$60</formula>
    </cfRule>
  </conditionalFormatting>
  <conditionalFormatting sqref="H69">
    <cfRule type="cellIs" dxfId="288" priority="47" operator="greaterThan">
      <formula>$H$68</formula>
    </cfRule>
  </conditionalFormatting>
  <conditionalFormatting sqref="I69">
    <cfRule type="cellIs" dxfId="287" priority="46" operator="greaterThan">
      <formula>$I$68</formula>
    </cfRule>
  </conditionalFormatting>
  <conditionalFormatting sqref="J69">
    <cfRule type="cellIs" dxfId="286" priority="45" operator="greaterThan">
      <formula>$J$68</formula>
    </cfRule>
  </conditionalFormatting>
  <conditionalFormatting sqref="K69">
    <cfRule type="cellIs" dxfId="285" priority="44" operator="greaterThan">
      <formula>$K$68</formula>
    </cfRule>
  </conditionalFormatting>
  <conditionalFormatting sqref="L69">
    <cfRule type="cellIs" dxfId="284" priority="43" operator="greaterThan">
      <formula>$L$68</formula>
    </cfRule>
  </conditionalFormatting>
  <conditionalFormatting sqref="C77:G77">
    <cfRule type="cellIs" dxfId="283" priority="42" operator="greaterThan">
      <formula>$C$76</formula>
    </cfRule>
  </conditionalFormatting>
  <conditionalFormatting sqref="H77">
    <cfRule type="cellIs" dxfId="282" priority="41" operator="greaterThan">
      <formula>$H$76</formula>
    </cfRule>
  </conditionalFormatting>
  <conditionalFormatting sqref="I77">
    <cfRule type="cellIs" dxfId="281" priority="40" operator="greaterThan">
      <formula>$I$76</formula>
    </cfRule>
  </conditionalFormatting>
  <conditionalFormatting sqref="J77">
    <cfRule type="cellIs" dxfId="280" priority="39" operator="greaterThan">
      <formula>$J$76</formula>
    </cfRule>
  </conditionalFormatting>
  <conditionalFormatting sqref="K77">
    <cfRule type="cellIs" dxfId="279" priority="38" operator="greaterThan">
      <formula>$K$76</formula>
    </cfRule>
  </conditionalFormatting>
  <conditionalFormatting sqref="L77">
    <cfRule type="cellIs" dxfId="278" priority="37" operator="greaterThan">
      <formula>$L$76</formula>
    </cfRule>
  </conditionalFormatting>
  <conditionalFormatting sqref="C85:L85">
    <cfRule type="cellIs" dxfId="277" priority="36" operator="greaterThan">
      <formula>$C$84</formula>
    </cfRule>
  </conditionalFormatting>
  <conditionalFormatting sqref="C93">
    <cfRule type="cellIs" dxfId="276" priority="35" operator="greaterThan">
      <formula>$C$92</formula>
    </cfRule>
  </conditionalFormatting>
  <conditionalFormatting sqref="D93">
    <cfRule type="cellIs" dxfId="275" priority="34" operator="greaterThan">
      <formula>$D$92</formula>
    </cfRule>
  </conditionalFormatting>
  <conditionalFormatting sqref="E93">
    <cfRule type="cellIs" dxfId="274" priority="33" operator="greaterThan">
      <formula>$E$92</formula>
    </cfRule>
  </conditionalFormatting>
  <conditionalFormatting sqref="F93">
    <cfRule type="cellIs" dxfId="273" priority="32" operator="greaterThan">
      <formula>$F$92</formula>
    </cfRule>
  </conditionalFormatting>
  <conditionalFormatting sqref="G93">
    <cfRule type="cellIs" dxfId="272" priority="31" operator="greaterThan">
      <formula>$G$92</formula>
    </cfRule>
  </conditionalFormatting>
  <conditionalFormatting sqref="H93">
    <cfRule type="cellIs" dxfId="271" priority="30" operator="greaterThan">
      <formula>$H$92</formula>
    </cfRule>
  </conditionalFormatting>
  <conditionalFormatting sqref="I93">
    <cfRule type="cellIs" dxfId="270" priority="29" operator="greaterThan">
      <formula>$I$92</formula>
    </cfRule>
  </conditionalFormatting>
  <conditionalFormatting sqref="J93">
    <cfRule type="cellIs" dxfId="269" priority="28" operator="greaterThan">
      <formula>$J$92</formula>
    </cfRule>
  </conditionalFormatting>
  <conditionalFormatting sqref="K93">
    <cfRule type="cellIs" dxfId="268" priority="27" operator="greaterThan">
      <formula>$K$92</formula>
    </cfRule>
  </conditionalFormatting>
  <conditionalFormatting sqref="L93">
    <cfRule type="cellIs" dxfId="267" priority="26" operator="greaterThan">
      <formula>$L$92</formula>
    </cfRule>
  </conditionalFormatting>
  <conditionalFormatting sqref="C101">
    <cfRule type="cellIs" dxfId="266" priority="25" operator="greaterThan">
      <formula>$C$100</formula>
    </cfRule>
  </conditionalFormatting>
  <conditionalFormatting sqref="D101">
    <cfRule type="cellIs" dxfId="265" priority="24" operator="greaterThan">
      <formula>$D$100</formula>
    </cfRule>
  </conditionalFormatting>
  <conditionalFormatting sqref="E101">
    <cfRule type="cellIs" dxfId="264" priority="23" operator="greaterThan">
      <formula>$E$100</formula>
    </cfRule>
  </conditionalFormatting>
  <conditionalFormatting sqref="F101">
    <cfRule type="cellIs" dxfId="263" priority="22" operator="greaterThan">
      <formula>$F$100</formula>
    </cfRule>
  </conditionalFormatting>
  <conditionalFormatting sqref="G101">
    <cfRule type="cellIs" dxfId="262" priority="21" operator="greaterThan">
      <formula>$G$100</formula>
    </cfRule>
  </conditionalFormatting>
  <conditionalFormatting sqref="H101">
    <cfRule type="cellIs" dxfId="261" priority="20" operator="greaterThan">
      <formula>$H$100</formula>
    </cfRule>
  </conditionalFormatting>
  <conditionalFormatting sqref="I101">
    <cfRule type="cellIs" dxfId="260" priority="19" operator="greaterThan">
      <formula>$I$100</formula>
    </cfRule>
  </conditionalFormatting>
  <conditionalFormatting sqref="J101">
    <cfRule type="cellIs" dxfId="259" priority="18" operator="greaterThan">
      <formula>$J$100</formula>
    </cfRule>
  </conditionalFormatting>
  <conditionalFormatting sqref="K101">
    <cfRule type="cellIs" dxfId="258" priority="17" operator="greaterThan">
      <formula>$K$100</formula>
    </cfRule>
  </conditionalFormatting>
  <conditionalFormatting sqref="L101">
    <cfRule type="cellIs" dxfId="257" priority="16" operator="greaterThan">
      <formula>$L$100</formula>
    </cfRule>
  </conditionalFormatting>
  <conditionalFormatting sqref="C61:G61">
    <cfRule type="cellIs" dxfId="256" priority="3" operator="greaterThan">
      <formula>$C$60</formula>
    </cfRule>
  </conditionalFormatting>
  <conditionalFormatting sqref="C69:G69">
    <cfRule type="cellIs" dxfId="255"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1" id="{5EA2298A-E906-402F-AACD-F7953B4AC4BC}">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0" id="{6E8B342A-E6E7-4172-B198-025CEFC7210C}">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49" id="{8280FDEB-763C-40DD-8F45-7D873AE1B2F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48" id="{F2FF49DE-20D4-4E12-8845-1DC64933E06A}">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AE4D3C51-F2D4-44F5-9FFD-0E77DCB662F6}">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32B1CA9B-DC94-4C75-B4C9-DD791B3BB368}">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AI23" sqref="AI23"/>
    </sheetView>
  </sheetViews>
  <sheetFormatPr defaultRowHeight="14.5" x14ac:dyDescent="0.35"/>
  <sheetData>
    <row r="1" spans="7:24" ht="36" x14ac:dyDescent="0.8">
      <c r="G1" s="47" t="s">
        <v>39</v>
      </c>
      <c r="P1" s="47" t="s">
        <v>40</v>
      </c>
      <c r="X1" s="47" t="s">
        <v>208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181" t="s">
        <v>150</v>
      </c>
      <c r="B3" s="181"/>
      <c r="C3" s="181"/>
      <c r="D3" s="181"/>
      <c r="E3" s="181"/>
      <c r="F3" s="181"/>
      <c r="G3" s="181"/>
      <c r="H3" s="64"/>
      <c r="I3" s="64"/>
      <c r="J3" s="64"/>
      <c r="K3" s="64"/>
    </row>
    <row r="4" spans="1:13" x14ac:dyDescent="0.35">
      <c r="A4" s="53" t="s">
        <v>38</v>
      </c>
      <c r="B4" s="53" t="s">
        <v>42</v>
      </c>
      <c r="C4" s="182" t="s">
        <v>43</v>
      </c>
      <c r="D4" s="183"/>
      <c r="E4" s="183"/>
      <c r="F4" s="183"/>
      <c r="G4" s="184"/>
      <c r="M4" s="1" t="s">
        <v>307</v>
      </c>
    </row>
    <row r="5" spans="1:13" x14ac:dyDescent="0.35">
      <c r="A5" s="129" t="s">
        <v>39</v>
      </c>
      <c r="B5" s="129" t="s">
        <v>152</v>
      </c>
      <c r="C5" s="185" t="s">
        <v>310</v>
      </c>
      <c r="D5" s="186"/>
      <c r="E5" s="186"/>
      <c r="F5" s="186"/>
      <c r="G5" s="186"/>
      <c r="M5" t="s">
        <v>308</v>
      </c>
    </row>
    <row r="6" spans="1:13" x14ac:dyDescent="0.35">
      <c r="A6" s="129" t="s">
        <v>40</v>
      </c>
      <c r="B6" s="129" t="s">
        <v>152</v>
      </c>
      <c r="C6" s="185" t="s">
        <v>311</v>
      </c>
      <c r="D6" s="186"/>
      <c r="E6" s="186"/>
      <c r="F6" s="186"/>
      <c r="G6" s="186"/>
      <c r="M6" t="s">
        <v>313</v>
      </c>
    </row>
    <row r="7" spans="1:13" x14ac:dyDescent="0.35">
      <c r="A7" s="129" t="s">
        <v>41</v>
      </c>
      <c r="B7" s="129" t="s">
        <v>152</v>
      </c>
      <c r="C7" s="185" t="s">
        <v>312</v>
      </c>
      <c r="D7" s="186"/>
      <c r="E7" s="186"/>
      <c r="F7" s="186"/>
      <c r="G7" s="186"/>
      <c r="M7" t="s">
        <v>314</v>
      </c>
    </row>
    <row r="8" spans="1:13" x14ac:dyDescent="0.35">
      <c r="A8" s="107" t="s">
        <v>156</v>
      </c>
      <c r="B8" s="107" t="s">
        <v>152</v>
      </c>
      <c r="C8" s="180" t="s">
        <v>309</v>
      </c>
      <c r="D8" s="180"/>
      <c r="E8" s="180"/>
      <c r="F8" s="180"/>
      <c r="G8" s="180"/>
    </row>
    <row r="9" spans="1:13" x14ac:dyDescent="0.35">
      <c r="A9" s="129"/>
      <c r="B9" s="129"/>
      <c r="C9" s="174"/>
      <c r="D9" s="174"/>
      <c r="E9" s="174"/>
      <c r="F9" s="174"/>
      <c r="G9" s="174"/>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11</v>
      </c>
      <c r="D26" s="137">
        <v>9</v>
      </c>
      <c r="E26" s="137">
        <v>8.1</v>
      </c>
      <c r="F26" s="137">
        <v>8.1</v>
      </c>
      <c r="G26" s="137">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291</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3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3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195</v>
      </c>
      <c r="C36"/>
    </row>
    <row r="37" spans="1:14" x14ac:dyDescent="0.3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1.2133333333333334</v>
      </c>
      <c r="F46" s="49">
        <f ca="1">IF(F$26&lt;&gt;"",1.5-0.21/9/2-VLOOKUP(F38,LowerBasinCuts!$C$5:$P$13,13),"")</f>
        <v>1.2133333333333334</v>
      </c>
      <c r="G46" s="49">
        <f ca="1">IF(G$26&lt;&gt;"",1.5-0.21/9/2-VLOOKUP(G38,LowerBasinCuts!$C$5:$P$13,13),"")</f>
        <v>1.3263333333333334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34"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35">
      <c r="A49" t="str">
        <f t="shared" si="27"/>
        <v xml:space="preserve">    To Lower Basin</v>
      </c>
      <c r="B49" s="135">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35">
      <c r="A50" t="str">
        <f t="shared" si="27"/>
        <v xml:space="preserve">    To Mexico</v>
      </c>
      <c r="B50" s="135"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35">
      <c r="A51" t="str">
        <f t="shared" si="27"/>
        <v xml:space="preserve">    To Shared, Reserve</v>
      </c>
      <c r="B51" s="135"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35">
      <c r="A52" t="str">
        <f t="shared" si="27"/>
        <v/>
      </c>
      <c r="B52" s="135"/>
      <c r="C52" s="108"/>
      <c r="D52" s="14"/>
      <c r="E52" s="14"/>
      <c r="F52" s="14"/>
      <c r="G52" s="14"/>
      <c r="H52" s="14"/>
      <c r="I52" s="14"/>
      <c r="J52" s="14"/>
      <c r="K52" s="14"/>
      <c r="L52" s="14"/>
      <c r="M52" s="29"/>
      <c r="N52" s="29"/>
    </row>
    <row r="53" spans="1:14" x14ac:dyDescent="0.35">
      <c r="A53" t="str">
        <f t="shared" si="27"/>
        <v/>
      </c>
      <c r="B53" s="135"/>
      <c r="C53" s="109"/>
      <c r="D53" s="52"/>
      <c r="E53" s="52"/>
      <c r="F53" s="52"/>
      <c r="G53" s="52"/>
      <c r="H53" s="52"/>
      <c r="I53" s="52"/>
      <c r="J53" s="52"/>
      <c r="K53" s="52"/>
      <c r="L53" s="52"/>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v>0.6</v>
      </c>
      <c r="D57" s="130">
        <v>-0.6</v>
      </c>
      <c r="E57" s="130">
        <v>-1.8</v>
      </c>
      <c r="F57" s="130">
        <f>-F73</f>
        <v>-0.1</v>
      </c>
      <c r="G57" s="130"/>
      <c r="H57" s="130"/>
      <c r="I57" s="130"/>
      <c r="J57" s="130"/>
      <c r="K57" s="130"/>
      <c r="L57" s="130"/>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31">
        <f>1000*C57</f>
        <v>600</v>
      </c>
      <c r="D58" s="131">
        <f>1000*D57</f>
        <v>-600</v>
      </c>
      <c r="E58" s="131">
        <f>-1.6*1000-0.2*1500</f>
        <v>-1900</v>
      </c>
      <c r="F58" s="130">
        <f>-F74</f>
        <v>-150</v>
      </c>
      <c r="G58" s="131"/>
      <c r="H58" s="131"/>
      <c r="I58" s="131"/>
      <c r="J58" s="131"/>
      <c r="K58" s="131"/>
      <c r="L58" s="131"/>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v>3.5</v>
      </c>
      <c r="D61" s="132">
        <v>2.9</v>
      </c>
      <c r="E61" s="132">
        <v>2</v>
      </c>
      <c r="F61" s="132">
        <v>0.7</v>
      </c>
      <c r="G61" s="132">
        <v>0.3</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f>-C57</f>
        <v>-0.6</v>
      </c>
      <c r="D65" s="130">
        <f t="shared" ref="D65" si="43">-D57</f>
        <v>0.6</v>
      </c>
      <c r="E65" s="130">
        <v>1.6</v>
      </c>
      <c r="F65" s="130"/>
      <c r="G65" s="130"/>
      <c r="H65" s="130"/>
      <c r="I65" s="130"/>
      <c r="J65" s="130"/>
      <c r="K65" s="130"/>
      <c r="L65" s="130"/>
      <c r="M65" s="67">
        <f>SUM(C65:L65)</f>
        <v>1.6</v>
      </c>
      <c r="N65" t="str">
        <f>IF(A65="","",N57)</f>
        <v>Add if multiple transactions, e.g.: 0.5 + 0.25</v>
      </c>
    </row>
    <row r="66" spans="1:14" x14ac:dyDescent="0.35">
      <c r="A66" s="32" t="str">
        <f>IF(A65="","","   Cash Intake(+) and Payments(-) [$ Mill]")</f>
        <v xml:space="preserve">   Cash Intake(+) and Payments(-) [$ Mill]</v>
      </c>
      <c r="C66" s="131">
        <f>-C58</f>
        <v>-600</v>
      </c>
      <c r="D66" s="131">
        <f t="shared" ref="D66" si="44">-D58</f>
        <v>600</v>
      </c>
      <c r="E66" s="131">
        <f>1000*E65</f>
        <v>1600</v>
      </c>
      <c r="F66" s="131"/>
      <c r="G66" s="131"/>
      <c r="H66" s="131"/>
      <c r="I66" s="131"/>
      <c r="J66" s="131"/>
      <c r="K66" s="131"/>
      <c r="L66" s="131"/>
      <c r="M66" s="65">
        <f>SUM(C66:L66)</f>
        <v>1600</v>
      </c>
      <c r="N66" t="str">
        <f t="shared" ref="N66:N70" si="45">IF(A66="","",N58)</f>
        <v>Add if multiple transactions, e.g.: $350*0.5 + $450*0.25</v>
      </c>
    </row>
    <row r="67" spans="1:14" x14ac:dyDescent="0.3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32">
        <v>7</v>
      </c>
      <c r="D69" s="132">
        <v>6.8</v>
      </c>
      <c r="E69" s="132">
        <v>6.7</v>
      </c>
      <c r="F69" s="132">
        <v>6.6</v>
      </c>
      <c r="G69" s="132">
        <v>6.6</v>
      </c>
      <c r="H69" s="132"/>
      <c r="I69" s="132"/>
      <c r="J69" s="132"/>
      <c r="K69" s="132"/>
      <c r="L69" s="132"/>
      <c r="N69" t="str">
        <f t="shared" si="45"/>
        <v>Must be less than Available water</v>
      </c>
    </row>
    <row r="70" spans="1:14" x14ac:dyDescent="0.3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49">IF(A74="","",N66)</f>
        <v>Add if multiple transactions, e.g.: $350*0.5 + $450*0.25</v>
      </c>
    </row>
    <row r="75" spans="1:14" x14ac:dyDescent="0.3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32">
        <v>1.5</v>
      </c>
      <c r="D77" s="132">
        <v>1.2</v>
      </c>
      <c r="E77" s="132">
        <v>1.2</v>
      </c>
      <c r="F77" s="132">
        <v>1.2</v>
      </c>
      <c r="G77" s="132">
        <v>1.2</v>
      </c>
      <c r="H77" s="132"/>
      <c r="I77" s="132"/>
      <c r="J77" s="132"/>
      <c r="K77" s="132"/>
      <c r="L77" s="132"/>
      <c r="N77" t="str">
        <f t="shared" si="49"/>
        <v>Must be less than Available water</v>
      </c>
    </row>
    <row r="78" spans="1:14" x14ac:dyDescent="0.3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53">IF(A82="","",N74)</f>
        <v>Add if multiple transactions, e.g.: $350*0.5 + $450*0.25</v>
      </c>
    </row>
    <row r="83" spans="1:14" x14ac:dyDescent="0.3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53"/>
        <v>Must be less than Available water</v>
      </c>
    </row>
    <row r="86" spans="1:14" x14ac:dyDescent="0.3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65">IF(A90="","",N82)</f>
        <v/>
      </c>
    </row>
    <row r="91" spans="1:14" x14ac:dyDescent="0.3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32"/>
      <c r="D93" s="132"/>
      <c r="E93" s="132"/>
      <c r="F93" s="132"/>
      <c r="G93" s="132"/>
      <c r="H93" s="132"/>
      <c r="I93" s="132"/>
      <c r="J93" s="132"/>
      <c r="K93" s="132"/>
      <c r="L93" s="132"/>
      <c r="N93" t="str">
        <f t="shared" si="65"/>
        <v/>
      </c>
    </row>
    <row r="94" spans="1:14" x14ac:dyDescent="0.3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77">IF(A98="","",N90)</f>
        <v/>
      </c>
    </row>
    <row r="99" spans="1:14" x14ac:dyDescent="0.3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32"/>
      <c r="D101" s="132"/>
      <c r="E101" s="132"/>
      <c r="F101" s="132"/>
      <c r="G101" s="132"/>
      <c r="H101" s="132"/>
      <c r="I101" s="132"/>
      <c r="J101" s="132"/>
      <c r="K101" s="132"/>
      <c r="L101" s="132"/>
      <c r="N101" t="str">
        <f t="shared" si="77"/>
        <v/>
      </c>
    </row>
    <row r="102" spans="1:14" x14ac:dyDescent="0.3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3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3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3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3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3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3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3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3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3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3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3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35">
      <c r="A120" s="1" t="s">
        <v>138</v>
      </c>
      <c r="B120" s="1"/>
      <c r="D120" s="2"/>
      <c r="E120" s="2"/>
      <c r="F120" s="2"/>
      <c r="G120" s="2"/>
      <c r="H120" s="2"/>
      <c r="I120" s="2"/>
      <c r="J120" s="2"/>
      <c r="K120" s="2"/>
      <c r="L120" s="2"/>
    </row>
    <row r="121" spans="1:12" x14ac:dyDescent="0.3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3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3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3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3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3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3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196</v>
      </c>
      <c r="B128" s="1"/>
      <c r="C128" s="68">
        <v>0.5</v>
      </c>
      <c r="D128" s="68">
        <v>0.65</v>
      </c>
      <c r="E128" s="68">
        <v>0.9</v>
      </c>
      <c r="F128" s="68">
        <v>0.5</v>
      </c>
      <c r="G128" s="68">
        <v>0.5</v>
      </c>
      <c r="H128" s="68"/>
      <c r="I128" s="68"/>
      <c r="J128" s="68"/>
      <c r="K128" s="68"/>
      <c r="L128" s="68"/>
    </row>
    <row r="129" spans="1:14" x14ac:dyDescent="0.3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2" t="s">
        <v>268</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114">IF(D$26&lt;&gt;"",0.2,"")</f>
        <v>0.2</v>
      </c>
      <c r="E139" s="136">
        <f t="shared" si="114"/>
        <v>0.2</v>
      </c>
      <c r="F139" s="136">
        <f t="shared" si="114"/>
        <v>0.2</v>
      </c>
      <c r="G139" s="136">
        <f t="shared" si="114"/>
        <v>0.2</v>
      </c>
      <c r="H139" s="136" t="str">
        <f t="shared" si="114"/>
        <v/>
      </c>
      <c r="I139" s="136" t="str">
        <f t="shared" si="114"/>
        <v/>
      </c>
      <c r="J139" s="136" t="str">
        <f t="shared" si="114"/>
        <v/>
      </c>
      <c r="K139" s="136" t="str">
        <f t="shared" si="114"/>
        <v/>
      </c>
      <c r="L139" s="136" t="str">
        <f t="shared" si="114"/>
        <v/>
      </c>
    </row>
    <row r="140" spans="1:14" x14ac:dyDescent="0.3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8"/>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181" t="s">
        <v>150</v>
      </c>
      <c r="B3" s="181"/>
      <c r="C3" s="181"/>
      <c r="D3" s="181"/>
      <c r="E3" s="181"/>
      <c r="F3" s="181"/>
      <c r="G3" s="181"/>
      <c r="H3" s="114"/>
      <c r="I3" s="114"/>
      <c r="J3" s="114"/>
      <c r="K3" s="114"/>
    </row>
    <row r="4" spans="1:13" x14ac:dyDescent="0.35">
      <c r="A4" s="53" t="s">
        <v>38</v>
      </c>
      <c r="B4" s="53" t="s">
        <v>42</v>
      </c>
      <c r="C4" s="182" t="s">
        <v>43</v>
      </c>
      <c r="D4" s="183"/>
      <c r="E4" s="183"/>
      <c r="F4" s="183"/>
      <c r="G4" s="184"/>
      <c r="M4" s="1" t="s">
        <v>307</v>
      </c>
    </row>
    <row r="5" spans="1:13" x14ac:dyDescent="0.35">
      <c r="A5" s="129" t="s">
        <v>39</v>
      </c>
      <c r="B5" s="129" t="s">
        <v>152</v>
      </c>
      <c r="C5" s="185" t="s">
        <v>317</v>
      </c>
      <c r="D5" s="186"/>
      <c r="E5" s="186"/>
      <c r="F5" s="186"/>
      <c r="G5" s="186"/>
      <c r="M5" t="s">
        <v>308</v>
      </c>
    </row>
    <row r="6" spans="1:13" x14ac:dyDescent="0.35">
      <c r="A6" s="129" t="s">
        <v>40</v>
      </c>
      <c r="B6" s="129" t="s">
        <v>152</v>
      </c>
      <c r="C6" s="185" t="s">
        <v>317</v>
      </c>
      <c r="D6" s="186"/>
      <c r="E6" s="186"/>
      <c r="F6" s="186"/>
      <c r="G6" s="186"/>
      <c r="M6" t="s">
        <v>313</v>
      </c>
    </row>
    <row r="7" spans="1:13" x14ac:dyDescent="0.35">
      <c r="A7" s="129" t="s">
        <v>41</v>
      </c>
      <c r="B7" s="129" t="s">
        <v>152</v>
      </c>
      <c r="C7" s="185" t="s">
        <v>317</v>
      </c>
      <c r="D7" s="186"/>
      <c r="E7" s="186"/>
      <c r="F7" s="186"/>
      <c r="G7" s="186"/>
      <c r="M7" t="s">
        <v>314</v>
      </c>
    </row>
    <row r="8" spans="1:13" x14ac:dyDescent="0.35">
      <c r="A8" s="113" t="s">
        <v>156</v>
      </c>
      <c r="B8" s="113" t="s">
        <v>152</v>
      </c>
      <c r="C8" s="180" t="s">
        <v>309</v>
      </c>
      <c r="D8" s="180"/>
      <c r="E8" s="180"/>
      <c r="F8" s="180"/>
      <c r="G8" s="180"/>
    </row>
    <row r="9" spans="1:13" x14ac:dyDescent="0.35">
      <c r="A9" s="129"/>
      <c r="B9" s="129"/>
      <c r="C9" s="174"/>
      <c r="D9" s="174"/>
      <c r="E9" s="174"/>
      <c r="F9" s="174"/>
      <c r="G9" s="174"/>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f>IF('8.1-Trade'!C26="","",'8.1-Trade'!C26)</f>
        <v>11</v>
      </c>
      <c r="D26" s="137">
        <f>IF('8.1-Trade'!D26="","",'8.1-Trade'!D26)</f>
        <v>9</v>
      </c>
      <c r="E26" s="137">
        <f>IF('8.1-Trade'!E26="","",'8.1-Trade'!E26)</f>
        <v>8.1</v>
      </c>
      <c r="F26" s="137">
        <f>IF('8.1-Trade'!F26="","",'8.1-Trade'!F26)</f>
        <v>8.1</v>
      </c>
      <c r="G26" s="137">
        <f>IF('8.1-Trade'!G26="","",'8.1-Trade'!G26)</f>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291</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255</v>
      </c>
      <c r="B46" s="74"/>
      <c r="C46" s="49">
        <f>IF(C$26&lt;&gt;"",1.5-0.21/9/2-VLOOKUP(C38,LowerBasinCuts!$C$5:$P$13,13),"")</f>
        <v>1.4473333333333334</v>
      </c>
      <c r="D46" s="49">
        <f ca="1">IF(D$26&lt;&gt;"",1.5-0.21/9/2-VLOOKUP(D38,LowerBasinCuts!$C$5:$P$13,13),"")</f>
        <v>1.4083333333333332</v>
      </c>
      <c r="E46" s="49">
        <f ca="1">IF(E$26&lt;&gt;"",1.5-0.21/9/2-VLOOKUP(E38,LowerBasinCuts!$C$5:$P$13,13),"")</f>
        <v>1.3423333333333334</v>
      </c>
      <c r="F46" s="49">
        <f ca="1">IF(F$26&lt;&gt;"",1.5-0.21/9/2-VLOOKUP(F38,LowerBasinCuts!$C$5:$P$13,13),"")</f>
        <v>1.3343333333333334</v>
      </c>
      <c r="G46" s="49">
        <f ca="1">IF(G$26&lt;&gt;"",1.5-0.21/9/2-VLOOKUP(G38,LowerBasinCuts!$C$5:$P$13,13),"")</f>
        <v>1.3343333333333334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34"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5">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5"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5"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IF(C27&lt;&gt;"",IF(C60&gt;4.2,4.2,MAX(C60,0)),"")</f>
        <v>4.2</v>
      </c>
      <c r="D61" s="132">
        <f t="shared" ref="D61:G61" ca="1" si="28">IF(D27&lt;&gt;"",IF(D60&gt;4.2,4.2,MAX(D60,0)),"")</f>
        <v>4.025685122594207</v>
      </c>
      <c r="E61" s="132">
        <f t="shared" ca="1" si="28"/>
        <v>0</v>
      </c>
      <c r="F61" s="132">
        <f t="shared" ca="1" si="28"/>
        <v>0</v>
      </c>
      <c r="G61" s="132">
        <f t="shared" ca="1" si="28"/>
        <v>1.7763568394002505E-15</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32">
        <f>IF(C27&lt;&gt;"",7.5-VLOOKUP(C38,LowerBasinCuts!$C$5:$P$13,14),"")</f>
        <v>7.2590000000000003</v>
      </c>
      <c r="D69" s="132">
        <f ca="1">IF(D27&lt;&gt;"",7.5-VLOOKUP(D38,LowerBasinCuts!$C$5:$P$13,14),"")</f>
        <v>6.8870000000000005</v>
      </c>
      <c r="E69" s="132">
        <f ca="1">IF(E27&lt;&gt;"",7.5-VLOOKUP(E38,LowerBasinCuts!$C$5:$P$13,14),"")</f>
        <v>6.4870000000000001</v>
      </c>
      <c r="F69" s="132">
        <f ca="1">IF(F27&lt;&gt;"",7.5-VLOOKUP(F38,LowerBasinCuts!$C$5:$P$13,14),"")</f>
        <v>6.4290000000000003</v>
      </c>
      <c r="G69" s="132">
        <f ca="1">IF(G27&lt;&gt;"",7.5-VLOOKUP(G38,LowerBasinCuts!$C$5:$P$13,14),"")</f>
        <v>6.4290000000000003</v>
      </c>
      <c r="H69" s="132"/>
      <c r="I69" s="132"/>
      <c r="J69" s="132"/>
      <c r="K69" s="132"/>
      <c r="L69" s="132"/>
      <c r="N69" t="str">
        <f t="shared" si="30"/>
        <v>Must be less than Available water</v>
      </c>
    </row>
    <row r="70" spans="1:14" x14ac:dyDescent="0.3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32">
        <f>C46</f>
        <v>1.4473333333333334</v>
      </c>
      <c r="D77" s="132">
        <f t="shared" ref="D77:G77" ca="1" si="37">D46</f>
        <v>1.4083333333333332</v>
      </c>
      <c r="E77" s="132">
        <f t="shared" ca="1" si="37"/>
        <v>1.3423333333333334</v>
      </c>
      <c r="F77" s="132">
        <f t="shared" ca="1" si="37"/>
        <v>1.3343333333333334</v>
      </c>
      <c r="G77" s="132">
        <f t="shared" ca="1" si="37"/>
        <v>1.3343333333333334</v>
      </c>
      <c r="H77" s="132"/>
      <c r="I77" s="132"/>
      <c r="J77" s="132"/>
      <c r="K77" s="132"/>
      <c r="L77" s="132"/>
      <c r="N77" t="str">
        <f t="shared" si="34"/>
        <v>Must be less than Available water</v>
      </c>
    </row>
    <row r="78" spans="1:14" x14ac:dyDescent="0.3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9">IF(A82="","",N74)</f>
        <v>Add if multiple transactions, e.g.: $350*0.5 + $450*0.25</v>
      </c>
    </row>
    <row r="83" spans="1:14" x14ac:dyDescent="0.3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9"/>
        <v>Must be less than Available water</v>
      </c>
    </row>
    <row r="86" spans="1:14" x14ac:dyDescent="0.3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43">IF(A90="","",N82)</f>
        <v/>
      </c>
    </row>
    <row r="91" spans="1:14" x14ac:dyDescent="0.3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32"/>
      <c r="D93" s="132"/>
      <c r="E93" s="132"/>
      <c r="F93" s="132"/>
      <c r="G93" s="132"/>
      <c r="H93" s="132"/>
      <c r="I93" s="132"/>
      <c r="J93" s="132"/>
      <c r="K93" s="132"/>
      <c r="L93" s="132"/>
      <c r="N93" t="str">
        <f t="shared" si="43"/>
        <v/>
      </c>
    </row>
    <row r="94" spans="1:14" x14ac:dyDescent="0.3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7">IF(A98="","",N90)</f>
        <v/>
      </c>
    </row>
    <row r="99" spans="1:14" x14ac:dyDescent="0.3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32"/>
      <c r="D101" s="132"/>
      <c r="E101" s="132"/>
      <c r="F101" s="132"/>
      <c r="G101" s="132"/>
      <c r="H101" s="132"/>
      <c r="I101" s="132"/>
      <c r="J101" s="132"/>
      <c r="K101" s="132"/>
      <c r="L101" s="132"/>
      <c r="N101" t="str">
        <f t="shared" si="47"/>
        <v/>
      </c>
    </row>
    <row r="102" spans="1:14" x14ac:dyDescent="0.3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3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3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3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3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3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3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3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3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3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3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3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35">
      <c r="A120" s="1" t="s">
        <v>138</v>
      </c>
      <c r="B120" s="1"/>
      <c r="D120" s="2"/>
      <c r="E120" s="2"/>
      <c r="F120" s="2"/>
      <c r="G120" s="2"/>
      <c r="H120" s="2"/>
      <c r="I120" s="2"/>
      <c r="J120" s="2"/>
      <c r="K120" s="2"/>
      <c r="L120" s="2"/>
    </row>
    <row r="121" spans="1:12" x14ac:dyDescent="0.3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3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3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3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3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3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3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2" t="s">
        <v>268</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61">IF(D$26&lt;&gt;"",0.2,"")</f>
        <v>0.2</v>
      </c>
      <c r="E139" s="136">
        <f t="shared" si="61"/>
        <v>0.2</v>
      </c>
      <c r="F139" s="136">
        <f t="shared" si="61"/>
        <v>0.2</v>
      </c>
      <c r="G139" s="136">
        <f t="shared" si="61"/>
        <v>0.2</v>
      </c>
      <c r="H139" s="136" t="str">
        <f t="shared" si="61"/>
        <v/>
      </c>
      <c r="I139" s="136" t="str">
        <f t="shared" si="61"/>
        <v/>
      </c>
      <c r="J139" s="136" t="str">
        <f t="shared" si="61"/>
        <v/>
      </c>
      <c r="K139" s="136" t="str">
        <f t="shared" si="61"/>
        <v/>
      </c>
      <c r="L139" s="136" t="str">
        <f t="shared" si="61"/>
        <v/>
      </c>
    </row>
    <row r="140" spans="1:14" x14ac:dyDescent="0.3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7" t="s">
        <v>39</v>
      </c>
      <c r="P1" s="47" t="s">
        <v>40</v>
      </c>
      <c r="X1" s="47" t="s">
        <v>208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181" t="s">
        <v>150</v>
      </c>
      <c r="B3" s="181"/>
      <c r="C3" s="181"/>
      <c r="D3" s="181"/>
      <c r="E3" s="181"/>
      <c r="F3" s="181"/>
      <c r="G3" s="181"/>
      <c r="H3" s="114"/>
      <c r="I3" s="114"/>
      <c r="J3" s="114"/>
      <c r="K3" s="114"/>
    </row>
    <row r="4" spans="1:13" x14ac:dyDescent="0.35">
      <c r="A4" s="53" t="s">
        <v>38</v>
      </c>
      <c r="B4" s="53" t="s">
        <v>42</v>
      </c>
      <c r="C4" s="182" t="s">
        <v>43</v>
      </c>
      <c r="D4" s="183"/>
      <c r="E4" s="183"/>
      <c r="F4" s="183"/>
      <c r="G4" s="184"/>
      <c r="M4" s="1" t="s">
        <v>307</v>
      </c>
    </row>
    <row r="5" spans="1:13" x14ac:dyDescent="0.35">
      <c r="A5" s="129" t="s">
        <v>39</v>
      </c>
      <c r="B5" s="129"/>
      <c r="C5" s="185" t="s">
        <v>151</v>
      </c>
      <c r="D5" s="186"/>
      <c r="E5" s="186"/>
      <c r="F5" s="186"/>
      <c r="G5" s="186"/>
      <c r="M5" t="s">
        <v>308</v>
      </c>
    </row>
    <row r="6" spans="1:13" x14ac:dyDescent="0.35">
      <c r="A6" s="129" t="s">
        <v>40</v>
      </c>
      <c r="B6" s="129"/>
      <c r="C6" s="185" t="s">
        <v>151</v>
      </c>
      <c r="D6" s="186"/>
      <c r="E6" s="186"/>
      <c r="F6" s="186"/>
      <c r="G6" s="186"/>
      <c r="M6" t="s">
        <v>313</v>
      </c>
    </row>
    <row r="7" spans="1:13" x14ac:dyDescent="0.35">
      <c r="A7" s="129" t="s">
        <v>41</v>
      </c>
      <c r="B7" s="129"/>
      <c r="C7" s="185" t="s">
        <v>151</v>
      </c>
      <c r="D7" s="186"/>
      <c r="E7" s="186"/>
      <c r="F7" s="186"/>
      <c r="G7" s="186"/>
      <c r="M7" t="s">
        <v>314</v>
      </c>
    </row>
    <row r="8" spans="1:13" x14ac:dyDescent="0.35">
      <c r="A8" s="113" t="s">
        <v>156</v>
      </c>
      <c r="B8" s="113"/>
      <c r="C8" s="180" t="s">
        <v>318</v>
      </c>
      <c r="D8" s="180"/>
      <c r="E8" s="180"/>
      <c r="F8" s="180"/>
      <c r="G8" s="180"/>
    </row>
    <row r="9" spans="1:13" x14ac:dyDescent="0.35">
      <c r="A9" s="129"/>
      <c r="B9" s="129"/>
      <c r="C9" s="174"/>
      <c r="D9" s="174"/>
      <c r="E9" s="174"/>
      <c r="F9" s="174"/>
      <c r="G9" s="174"/>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292</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34"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35">
      <c r="A49" t="str">
        <f t="shared" si="16"/>
        <v xml:space="preserve">    To Lower Basin</v>
      </c>
      <c r="B49" s="135">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35">
      <c r="A50" t="str">
        <f t="shared" si="16"/>
        <v xml:space="preserve">    To Mexico</v>
      </c>
      <c r="B50" s="135"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35">
      <c r="A51" t="str">
        <f t="shared" si="16"/>
        <v xml:space="preserve">    To Shared, Reserve</v>
      </c>
      <c r="B51" s="135"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23">IF(D60&gt;4.2,4.2,MAX(D60,0))</f>
        <v>4.2</v>
      </c>
      <c r="E61" s="132">
        <f t="shared" ca="1" si="23"/>
        <v>4.2</v>
      </c>
      <c r="F61" s="132">
        <f t="shared" ca="1" si="23"/>
        <v>4.2</v>
      </c>
      <c r="G61" s="132">
        <f t="shared" ca="1" si="23"/>
        <v>4.2</v>
      </c>
      <c r="H61" s="132">
        <f t="shared" ca="1" si="23"/>
        <v>4.2</v>
      </c>
      <c r="I61" s="132">
        <f t="shared" ca="1" si="23"/>
        <v>4.2</v>
      </c>
      <c r="J61" s="132">
        <f t="shared" ca="1" si="23"/>
        <v>4.2</v>
      </c>
      <c r="K61" s="132">
        <f t="shared" ca="1" si="23"/>
        <v>4.2</v>
      </c>
      <c r="L61" s="132">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6.3702888005243183</v>
      </c>
      <c r="J69" s="132">
        <f ca="1">IF(J27&lt;&gt;"",MIN(7.5-VLOOKUP(J38,LowerBasinCuts!$C$5:$P$13,14),J68),"")</f>
        <v>6.3859604978537057</v>
      </c>
      <c r="K69" s="132">
        <f ca="1">IF(K27&lt;&gt;"",MIN(7.5-VLOOKUP(K38,LowerBasinCuts!$C$5:$P$13,14),K68),"")</f>
        <v>6.4093097077066208</v>
      </c>
      <c r="L69" s="132">
        <f ca="1">IF(L27&lt;&gt;"",MIN(7.5-VLOOKUP(L38,LowerBasinCuts!$C$5:$P$13,14),L68),"")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32">MIN(D46,D76)</f>
        <v>1.4473333333333334</v>
      </c>
      <c r="E77" s="132">
        <f t="shared" ca="1" si="32"/>
        <v>1.4083333333333332</v>
      </c>
      <c r="F77" s="132">
        <f t="shared" ca="1" si="32"/>
        <v>1.4083333333333332</v>
      </c>
      <c r="G77" s="132">
        <f t="shared" ca="1" si="32"/>
        <v>1.4083333333333332</v>
      </c>
      <c r="H77" s="132">
        <f t="shared" ca="1" si="32"/>
        <v>1.4083333333333332</v>
      </c>
      <c r="I77" s="132">
        <f t="shared" ca="1" si="32"/>
        <v>1.3843333333333332</v>
      </c>
      <c r="J77" s="132">
        <f t="shared" ca="1" si="32"/>
        <v>1.4083333333333332</v>
      </c>
      <c r="K77" s="132">
        <f t="shared" ca="1" si="32"/>
        <v>1.4083333333333332</v>
      </c>
      <c r="L77" s="132">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2"/>
      <c r="D93" s="132"/>
      <c r="E93" s="132"/>
      <c r="F93" s="132"/>
      <c r="G93" s="132"/>
      <c r="H93" s="132"/>
      <c r="I93" s="132"/>
      <c r="J93" s="132"/>
      <c r="K93" s="132"/>
      <c r="L93" s="132"/>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2"/>
      <c r="D101" s="132"/>
      <c r="E101" s="132"/>
      <c r="F101" s="132"/>
      <c r="G101" s="132"/>
      <c r="H101" s="132"/>
      <c r="I101" s="132"/>
      <c r="J101" s="132"/>
      <c r="K101" s="132"/>
      <c r="L101" s="132"/>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281</v>
      </c>
      <c r="B133" s="1"/>
    </row>
    <row r="134" spans="1:14" x14ac:dyDescent="0.35">
      <c r="A134" s="32" t="s">
        <v>282</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6">IF(D$26&lt;&gt;"",0.2,"")</f>
        <v>0.2</v>
      </c>
      <c r="E139" s="136">
        <f t="shared" si="56"/>
        <v>0.2</v>
      </c>
      <c r="F139" s="136">
        <f t="shared" si="56"/>
        <v>0.2</v>
      </c>
      <c r="G139" s="136">
        <f t="shared" si="56"/>
        <v>0.2</v>
      </c>
      <c r="H139" s="136">
        <f t="shared" si="56"/>
        <v>0.2</v>
      </c>
      <c r="I139" s="136">
        <f t="shared" si="56"/>
        <v>0.2</v>
      </c>
      <c r="J139" s="136">
        <f t="shared" si="56"/>
        <v>0.2</v>
      </c>
      <c r="K139" s="136">
        <f t="shared" si="56"/>
        <v>0.2</v>
      </c>
      <c r="L139" s="136">
        <f t="shared" si="56"/>
        <v>0.2</v>
      </c>
    </row>
    <row r="140" spans="1:14" x14ac:dyDescent="0.3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2021-09-05T05:25:33Z</dcterms:modified>
</cp:coreProperties>
</file>