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5D3DA34B-A36B-44E7-93E3-E13123119189}" xr6:coauthVersionLast="36" xr6:coauthVersionMax="36" xr10:uidLastSave="{00000000-0000-0000-0000-000000000000}"/>
  <bookViews>
    <workbookView xWindow="0" yWindow="0" windowWidth="19200" windowHeight="6640" firstSheet="9" activeTab="1" xr2:uid="{5373AB19-D84C-490D-97DC-C516D358024A}"/>
  </bookViews>
  <sheets>
    <sheet name="ReadMe-Directions" sheetId="6" r:id="rId1"/>
    <sheet name="Versions" sheetId="31" r:id="rId2"/>
    <sheet name="Master" sheetId="44" r:id="rId3"/>
    <sheet name="Master-Today" sheetId="42" r:id="rId4"/>
    <sheet name="8.1-Trade" sheetId="33" r:id="rId5"/>
    <sheet name="8.1-LawOfRiver" sheetId="35" r:id="rId6"/>
    <sheet name="8.1-Plots" sheetId="19" r:id="rId7"/>
    <sheet name="MillenniumRecover-LawOfRiver" sheetId="37" r:id="rId8"/>
    <sheet name="MillenniumRecover-Trade" sheetId="39" r:id="rId9"/>
    <sheet name="Millennium-Plots" sheetId="28" r:id="rId10"/>
    <sheet name="MillenniumRecover-Delta" sheetId="40" r:id="rId11"/>
    <sheet name="LowerBasinCuts" sheetId="41" r:id="rId12"/>
    <sheet name="HydrologicScenarios" sheetId="7" r:id="rId13"/>
    <sheet name="PowellReleaseTemperature" sheetId="43" r:id="rId14"/>
    <sheet name="Powell-Elevation-Area" sheetId="2" r:id="rId15"/>
    <sheet name="Mead-Elevation-Area" sheetId="10" r:id="rId16"/>
    <sheet name="11.0-LawOfRiverShort" sheetId="16"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 i="44" l="1"/>
  <c r="C50" i="44"/>
  <c r="C48" i="44" s="1"/>
  <c r="H47" i="33"/>
  <c r="I47" i="33"/>
  <c r="J47" i="33"/>
  <c r="K47" i="33"/>
  <c r="L47" i="33"/>
  <c r="H29" i="33"/>
  <c r="I29" i="33"/>
  <c r="J29" i="33"/>
  <c r="K29" i="33"/>
  <c r="L29" i="33"/>
  <c r="C29" i="33"/>
  <c r="D28" i="33"/>
  <c r="E28" i="33"/>
  <c r="F28" i="33"/>
  <c r="G28" i="33"/>
  <c r="H28" i="33"/>
  <c r="I28" i="33"/>
  <c r="J28" i="33"/>
  <c r="K28" i="33"/>
  <c r="L28" i="33"/>
  <c r="C28" i="33"/>
  <c r="D48" i="44"/>
  <c r="E48" i="44"/>
  <c r="F48" i="44"/>
  <c r="G48" i="44"/>
  <c r="H48" i="44"/>
  <c r="I48" i="44"/>
  <c r="J48" i="44"/>
  <c r="K48" i="44"/>
  <c r="L48" i="44"/>
  <c r="D49" i="44"/>
  <c r="E49" i="44"/>
  <c r="F49" i="44"/>
  <c r="G49" i="44"/>
  <c r="H49" i="44"/>
  <c r="I49" i="44"/>
  <c r="J49" i="44"/>
  <c r="K49" i="44"/>
  <c r="L49" i="44"/>
  <c r="D50" i="44"/>
  <c r="E50" i="44"/>
  <c r="F50" i="44"/>
  <c r="G50" i="44"/>
  <c r="H50" i="44"/>
  <c r="I50" i="44"/>
  <c r="J50" i="44"/>
  <c r="K50" i="44"/>
  <c r="L50" i="44"/>
  <c r="D51" i="44"/>
  <c r="E51" i="44"/>
  <c r="F51" i="44"/>
  <c r="G51" i="44"/>
  <c r="H51" i="44"/>
  <c r="I51" i="44"/>
  <c r="J51" i="44"/>
  <c r="K51" i="44"/>
  <c r="L51" i="44"/>
  <c r="D52" i="44"/>
  <c r="E52" i="44"/>
  <c r="F52" i="44"/>
  <c r="G52" i="44"/>
  <c r="H52" i="44"/>
  <c r="I52" i="44"/>
  <c r="J52" i="44"/>
  <c r="K52" i="44"/>
  <c r="L52" i="44"/>
  <c r="D53" i="44"/>
  <c r="E53" i="44"/>
  <c r="F53" i="44"/>
  <c r="G53" i="44"/>
  <c r="H53" i="44"/>
  <c r="I53" i="44"/>
  <c r="J53" i="44"/>
  <c r="K53" i="44"/>
  <c r="L53" i="44"/>
  <c r="C49" i="44" l="1"/>
  <c r="B33" i="44"/>
  <c r="D47" i="44"/>
  <c r="E47" i="44"/>
  <c r="F47" i="44"/>
  <c r="G47" i="44"/>
  <c r="H47" i="44"/>
  <c r="I47" i="44"/>
  <c r="J47" i="44"/>
  <c r="K47" i="44"/>
  <c r="L47" i="44"/>
  <c r="D28" i="44"/>
  <c r="E28" i="44"/>
  <c r="F28" i="44"/>
  <c r="G28" i="44"/>
  <c r="H28" i="44"/>
  <c r="I28" i="44"/>
  <c r="J28" i="44"/>
  <c r="K28" i="44"/>
  <c r="L28" i="44"/>
  <c r="C28" i="44"/>
  <c r="F134" i="42" l="1"/>
  <c r="G134" i="42"/>
  <c r="H134" i="42"/>
  <c r="I134" i="42"/>
  <c r="J134" i="42"/>
  <c r="K134" i="42"/>
  <c r="L134" i="42"/>
  <c r="F135" i="42"/>
  <c r="G135" i="42"/>
  <c r="H135" i="42"/>
  <c r="I135" i="42"/>
  <c r="J135" i="42"/>
  <c r="K135" i="42"/>
  <c r="L135" i="42"/>
  <c r="F131" i="42"/>
  <c r="G131" i="42"/>
  <c r="H131" i="42"/>
  <c r="I131" i="42"/>
  <c r="J131" i="42"/>
  <c r="K131" i="42"/>
  <c r="L131" i="42"/>
  <c r="F132" i="42"/>
  <c r="G132" i="42"/>
  <c r="H132" i="42"/>
  <c r="I132" i="42"/>
  <c r="J132" i="42"/>
  <c r="K132" i="42"/>
  <c r="L132" i="42"/>
  <c r="L138" i="44"/>
  <c r="K138" i="44"/>
  <c r="J138" i="44"/>
  <c r="I138" i="44"/>
  <c r="H138" i="44"/>
  <c r="L137" i="44"/>
  <c r="K137" i="44"/>
  <c r="J137" i="44"/>
  <c r="I137" i="44"/>
  <c r="H137" i="44"/>
  <c r="G137" i="44"/>
  <c r="F137" i="44"/>
  <c r="E137" i="44"/>
  <c r="D137" i="44"/>
  <c r="C137" i="44"/>
  <c r="L135" i="44"/>
  <c r="K135" i="44"/>
  <c r="J135" i="44"/>
  <c r="I135" i="44"/>
  <c r="H135" i="44"/>
  <c r="L134" i="44"/>
  <c r="K134" i="44"/>
  <c r="J134" i="44"/>
  <c r="I134" i="44"/>
  <c r="H134" i="44"/>
  <c r="L132" i="44"/>
  <c r="K132" i="44"/>
  <c r="J132" i="44"/>
  <c r="I132" i="44"/>
  <c r="H132" i="44"/>
  <c r="L131" i="44"/>
  <c r="K131" i="44"/>
  <c r="J131" i="44"/>
  <c r="I131" i="44"/>
  <c r="H131" i="44"/>
  <c r="I130" i="44"/>
  <c r="L129" i="44"/>
  <c r="K129" i="44"/>
  <c r="J129" i="44"/>
  <c r="I129" i="44"/>
  <c r="H129" i="44"/>
  <c r="L127" i="44"/>
  <c r="K127" i="44"/>
  <c r="J127" i="44"/>
  <c r="I127" i="44"/>
  <c r="H127" i="44"/>
  <c r="G126" i="44"/>
  <c r="E126" i="44"/>
  <c r="D126" i="44"/>
  <c r="A126" i="44"/>
  <c r="F126" i="44" s="1"/>
  <c r="A125" i="44"/>
  <c r="A124" i="44"/>
  <c r="L124" i="44" s="1"/>
  <c r="A123" i="44"/>
  <c r="H123" i="44" s="1"/>
  <c r="A122" i="44"/>
  <c r="J122" i="44" s="1"/>
  <c r="L121" i="44"/>
  <c r="K121" i="44"/>
  <c r="A121" i="44"/>
  <c r="J121" i="44" s="1"/>
  <c r="F119" i="44"/>
  <c r="E119" i="44"/>
  <c r="A119" i="44"/>
  <c r="L119" i="44" s="1"/>
  <c r="A118" i="44"/>
  <c r="K118" i="44" s="1"/>
  <c r="A117" i="44"/>
  <c r="J117" i="44" s="1"/>
  <c r="A116" i="44"/>
  <c r="A115" i="44"/>
  <c r="L115" i="44" s="1"/>
  <c r="H114" i="44"/>
  <c r="F114" i="44"/>
  <c r="A114" i="44"/>
  <c r="G114" i="44" s="1"/>
  <c r="L112" i="44"/>
  <c r="K112" i="44"/>
  <c r="J112" i="44"/>
  <c r="I112" i="44"/>
  <c r="H112" i="44"/>
  <c r="N111" i="44"/>
  <c r="D111" i="44"/>
  <c r="A111" i="44"/>
  <c r="J111" i="44" s="1"/>
  <c r="A110" i="44"/>
  <c r="K110" i="44" s="1"/>
  <c r="H109" i="44"/>
  <c r="A109" i="44"/>
  <c r="L109" i="44" s="1"/>
  <c r="H108" i="44"/>
  <c r="F108" i="44"/>
  <c r="D108" i="44"/>
  <c r="C108" i="44"/>
  <c r="A108" i="44"/>
  <c r="L108" i="44" s="1"/>
  <c r="K107" i="44"/>
  <c r="G107" i="44"/>
  <c r="E107" i="44"/>
  <c r="C107" i="44"/>
  <c r="A107" i="44"/>
  <c r="J107" i="44" s="1"/>
  <c r="C106" i="44"/>
  <c r="A106" i="44"/>
  <c r="G106" i="44" s="1"/>
  <c r="M98" i="44"/>
  <c r="M97" i="44"/>
  <c r="A97" i="44"/>
  <c r="N97" i="44" s="1"/>
  <c r="A96" i="44"/>
  <c r="M90" i="44"/>
  <c r="M89" i="44"/>
  <c r="A88" i="44"/>
  <c r="A89" i="44" s="1"/>
  <c r="M82" i="44"/>
  <c r="N109" i="44" s="1"/>
  <c r="M81" i="44"/>
  <c r="A80" i="44"/>
  <c r="A81" i="44" s="1"/>
  <c r="M74" i="44"/>
  <c r="N108" i="44" s="1"/>
  <c r="M73" i="44"/>
  <c r="A72" i="44"/>
  <c r="A73" i="44" s="1"/>
  <c r="M65" i="44"/>
  <c r="A64" i="44"/>
  <c r="A65" i="44" s="1"/>
  <c r="M57" i="44"/>
  <c r="F106" i="44"/>
  <c r="A56" i="44"/>
  <c r="A57" i="44" s="1"/>
  <c r="A53" i="44"/>
  <c r="A52" i="44"/>
  <c r="A51" i="44"/>
  <c r="A50" i="44"/>
  <c r="B49" i="44"/>
  <c r="A49" i="44"/>
  <c r="A48" i="44"/>
  <c r="L46" i="44"/>
  <c r="K46" i="44"/>
  <c r="J46" i="44"/>
  <c r="I46" i="44"/>
  <c r="H46" i="44"/>
  <c r="J45" i="44"/>
  <c r="A45" i="44"/>
  <c r="G45" i="44" s="1"/>
  <c r="A44" i="44"/>
  <c r="J44" i="44" s="1"/>
  <c r="A43" i="44"/>
  <c r="H43" i="44" s="1"/>
  <c r="A42" i="44"/>
  <c r="K42" i="44" s="1"/>
  <c r="A41" i="44"/>
  <c r="J41" i="44" s="1"/>
  <c r="K40" i="44"/>
  <c r="I40" i="44"/>
  <c r="A40" i="44"/>
  <c r="L40" i="44" s="1"/>
  <c r="L39" i="44"/>
  <c r="K39" i="44"/>
  <c r="J39" i="44"/>
  <c r="I39" i="44"/>
  <c r="H39" i="44"/>
  <c r="C38" i="44"/>
  <c r="C46" i="44" s="1"/>
  <c r="L37" i="44"/>
  <c r="K37" i="44"/>
  <c r="J37" i="44"/>
  <c r="I37" i="44"/>
  <c r="H37" i="44"/>
  <c r="C37" i="44"/>
  <c r="C39" i="44" s="1"/>
  <c r="A35" i="44"/>
  <c r="L35" i="44" s="1"/>
  <c r="A34" i="44"/>
  <c r="L34" i="44" s="1"/>
  <c r="I33" i="44"/>
  <c r="A33" i="44"/>
  <c r="H33" i="44" s="1"/>
  <c r="L32" i="44"/>
  <c r="K32" i="44"/>
  <c r="H32" i="44"/>
  <c r="A32" i="44"/>
  <c r="J32" i="44" s="1"/>
  <c r="A31" i="44"/>
  <c r="L31" i="44" s="1"/>
  <c r="K30" i="44"/>
  <c r="A30" i="44"/>
  <c r="I30" i="44" s="1"/>
  <c r="L29" i="44"/>
  <c r="K29" i="44"/>
  <c r="J29" i="44"/>
  <c r="I29" i="44"/>
  <c r="H29" i="44"/>
  <c r="C29" i="44"/>
  <c r="L27" i="44"/>
  <c r="K27" i="44"/>
  <c r="K130" i="44" s="1"/>
  <c r="J27" i="44"/>
  <c r="J130" i="44" s="1"/>
  <c r="I27" i="44"/>
  <c r="I38" i="44" s="1"/>
  <c r="H27" i="44"/>
  <c r="H130" i="44" s="1"/>
  <c r="G27" i="44"/>
  <c r="F27" i="44"/>
  <c r="E27" i="44"/>
  <c r="D27" i="44"/>
  <c r="C27" i="44"/>
  <c r="C23" i="44"/>
  <c r="B31" i="44" s="1"/>
  <c r="B23" i="44"/>
  <c r="B30" i="44" s="1"/>
  <c r="A1" i="44"/>
  <c r="H134" i="33"/>
  <c r="I134" i="33"/>
  <c r="J134" i="33"/>
  <c r="K134" i="33"/>
  <c r="L134" i="33"/>
  <c r="H135" i="33"/>
  <c r="I135" i="33"/>
  <c r="J135" i="33"/>
  <c r="K135" i="33"/>
  <c r="L135" i="33"/>
  <c r="H131" i="33"/>
  <c r="I131" i="33"/>
  <c r="J131" i="33"/>
  <c r="K131" i="33"/>
  <c r="L131" i="33"/>
  <c r="H132" i="33"/>
  <c r="I132" i="33"/>
  <c r="J132" i="33"/>
  <c r="K132" i="33"/>
  <c r="L132" i="33"/>
  <c r="H135" i="35"/>
  <c r="I135" i="35"/>
  <c r="J135" i="35"/>
  <c r="K135" i="35"/>
  <c r="L135" i="35"/>
  <c r="H134" i="35"/>
  <c r="I134" i="35"/>
  <c r="J134" i="35"/>
  <c r="K134" i="35"/>
  <c r="L134" i="35"/>
  <c r="H131" i="35"/>
  <c r="I131" i="35"/>
  <c r="J131" i="35"/>
  <c r="K131" i="35"/>
  <c r="L131" i="35"/>
  <c r="H132" i="35"/>
  <c r="I132" i="35"/>
  <c r="J132" i="35"/>
  <c r="K132" i="35"/>
  <c r="L132" i="35"/>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47" i="44" l="1"/>
  <c r="L110" i="44"/>
  <c r="F109" i="44"/>
  <c r="I117" i="44"/>
  <c r="K117" i="44"/>
  <c r="L117" i="44"/>
  <c r="J43" i="44"/>
  <c r="H31" i="44"/>
  <c r="H41" i="44"/>
  <c r="H107" i="44"/>
  <c r="K108" i="44"/>
  <c r="I109" i="44"/>
  <c r="E111" i="44"/>
  <c r="G119" i="44"/>
  <c r="C31" i="44"/>
  <c r="K31" i="44"/>
  <c r="K41" i="44"/>
  <c r="I107" i="44"/>
  <c r="K109" i="44"/>
  <c r="F111" i="44"/>
  <c r="C115" i="44"/>
  <c r="C138" i="44" s="1"/>
  <c r="H119" i="44"/>
  <c r="H122" i="44"/>
  <c r="G111" i="44"/>
  <c r="E115" i="44"/>
  <c r="E138" i="44" s="1"/>
  <c r="D118" i="44"/>
  <c r="I119" i="44"/>
  <c r="I122" i="44"/>
  <c r="H30" i="44"/>
  <c r="H42" i="44"/>
  <c r="D45" i="44"/>
  <c r="H106" i="44"/>
  <c r="C109" i="44"/>
  <c r="D110" i="44"/>
  <c r="I111" i="44"/>
  <c r="K115" i="44"/>
  <c r="L118" i="44"/>
  <c r="K119" i="44"/>
  <c r="K122" i="44"/>
  <c r="J30" i="44"/>
  <c r="C32" i="44"/>
  <c r="C42" i="44" s="1"/>
  <c r="J34" i="44"/>
  <c r="E109" i="44"/>
  <c r="K111" i="44"/>
  <c r="L126" i="44"/>
  <c r="L111" i="44"/>
  <c r="C119" i="44"/>
  <c r="H121" i="44"/>
  <c r="L30" i="44"/>
  <c r="I32" i="44"/>
  <c r="C35" i="44"/>
  <c r="H38" i="44"/>
  <c r="A98" i="44"/>
  <c r="G109" i="44"/>
  <c r="C111" i="44"/>
  <c r="M111" i="44"/>
  <c r="C30" i="44"/>
  <c r="J33" i="44"/>
  <c r="D35" i="44"/>
  <c r="C41" i="44"/>
  <c r="A66" i="44"/>
  <c r="A58" i="44"/>
  <c r="N57" i="44"/>
  <c r="N65" i="44" s="1"/>
  <c r="N73" i="44" s="1"/>
  <c r="N81" i="44" s="1"/>
  <c r="N89" i="44" s="1"/>
  <c r="L130" i="44"/>
  <c r="L38" i="44"/>
  <c r="I31" i="44"/>
  <c r="C33" i="44"/>
  <c r="C43" i="44" s="1"/>
  <c r="K33" i="44"/>
  <c r="F35" i="44"/>
  <c r="J38" i="44"/>
  <c r="L43" i="44"/>
  <c r="K43" i="44"/>
  <c r="I43" i="44"/>
  <c r="F45" i="44"/>
  <c r="E45" i="44"/>
  <c r="K45" i="44"/>
  <c r="C45" i="44"/>
  <c r="I45" i="44"/>
  <c r="H45" i="44"/>
  <c r="J31" i="44"/>
  <c r="L33" i="44"/>
  <c r="H34" i="44"/>
  <c r="G35" i="44"/>
  <c r="K38" i="44"/>
  <c r="M66" i="44"/>
  <c r="N107" i="44" s="1"/>
  <c r="M58" i="44"/>
  <c r="N106" i="44" s="1"/>
  <c r="I34" i="44"/>
  <c r="J35" i="44"/>
  <c r="C40" i="44"/>
  <c r="A90" i="44"/>
  <c r="A74" i="44"/>
  <c r="B29" i="44"/>
  <c r="K35" i="44"/>
  <c r="I116" i="44"/>
  <c r="H116" i="44"/>
  <c r="G116" i="44"/>
  <c r="F116" i="44"/>
  <c r="E116" i="44"/>
  <c r="L116" i="44"/>
  <c r="D116" i="44"/>
  <c r="K116" i="44"/>
  <c r="C116" i="44"/>
  <c r="I125" i="44"/>
  <c r="H125" i="44"/>
  <c r="L125" i="44"/>
  <c r="K125" i="44"/>
  <c r="C34" i="44"/>
  <c r="C44" i="44" s="1"/>
  <c r="K34" i="44"/>
  <c r="I44" i="44"/>
  <c r="H44" i="44"/>
  <c r="L44" i="44"/>
  <c r="K44" i="44"/>
  <c r="L45" i="44"/>
  <c r="A82" i="44"/>
  <c r="A99" i="44"/>
  <c r="J116" i="44"/>
  <c r="J125" i="44"/>
  <c r="E35" i="44"/>
  <c r="I35" i="44"/>
  <c r="H35" i="44"/>
  <c r="L41" i="44"/>
  <c r="I42" i="44"/>
  <c r="I106" i="44"/>
  <c r="D107" i="44"/>
  <c r="L107" i="44"/>
  <c r="G108" i="44"/>
  <c r="J109" i="44"/>
  <c r="E110" i="44"/>
  <c r="H111" i="44"/>
  <c r="I114" i="44"/>
  <c r="F115" i="44"/>
  <c r="F138" i="44" s="1"/>
  <c r="H117" i="44"/>
  <c r="E118" i="44"/>
  <c r="J119" i="44"/>
  <c r="L122" i="44"/>
  <c r="I123" i="44"/>
  <c r="H126" i="44"/>
  <c r="H40" i="44"/>
  <c r="J42" i="44"/>
  <c r="J106" i="44"/>
  <c r="F110" i="44"/>
  <c r="N110" i="44"/>
  <c r="J114" i="44"/>
  <c r="G115" i="44"/>
  <c r="G138" i="44" s="1"/>
  <c r="F118" i="44"/>
  <c r="J123" i="44"/>
  <c r="I126" i="44"/>
  <c r="K106" i="44"/>
  <c r="F107" i="44"/>
  <c r="F112" i="44" s="1"/>
  <c r="I108" i="44"/>
  <c r="D109" i="44"/>
  <c r="G110" i="44"/>
  <c r="G112" i="44" s="1"/>
  <c r="C114" i="44"/>
  <c r="K114" i="44"/>
  <c r="H115" i="44"/>
  <c r="G118" i="44"/>
  <c r="D119" i="44"/>
  <c r="I121" i="44"/>
  <c r="K123" i="44"/>
  <c r="H124" i="44"/>
  <c r="J126" i="44"/>
  <c r="J40" i="44"/>
  <c r="L42" i="44"/>
  <c r="D106" i="44"/>
  <c r="L106" i="44"/>
  <c r="J108" i="44"/>
  <c r="H110" i="44"/>
  <c r="D114" i="44"/>
  <c r="L114" i="44"/>
  <c r="I115" i="44"/>
  <c r="H118" i="44"/>
  <c r="L123" i="44"/>
  <c r="I124" i="44"/>
  <c r="C126" i="44"/>
  <c r="K126" i="44"/>
  <c r="E106" i="44"/>
  <c r="E112" i="44" s="1"/>
  <c r="I110" i="44"/>
  <c r="E114" i="44"/>
  <c r="J115" i="44"/>
  <c r="I118" i="44"/>
  <c r="J124" i="44"/>
  <c r="I41" i="44"/>
  <c r="J110" i="44"/>
  <c r="J118" i="44"/>
  <c r="K124" i="44"/>
  <c r="E108" i="44"/>
  <c r="C110" i="44"/>
  <c r="D115" i="44"/>
  <c r="D138" i="44" s="1"/>
  <c r="C118" i="44"/>
  <c r="E28" i="35"/>
  <c r="C58" i="33"/>
  <c r="F57" i="33"/>
  <c r="F74" i="33"/>
  <c r="F58" i="33" s="1"/>
  <c r="E74" i="33"/>
  <c r="E66" i="33"/>
  <c r="D58" i="33"/>
  <c r="E58" i="33"/>
  <c r="C112" i="44" l="1"/>
  <c r="N98" i="44"/>
  <c r="A100" i="44"/>
  <c r="M109" i="44"/>
  <c r="M107" i="44"/>
  <c r="M108" i="44"/>
  <c r="M110" i="44"/>
  <c r="A60" i="44"/>
  <c r="A59" i="44"/>
  <c r="N58" i="44"/>
  <c r="A75" i="44"/>
  <c r="A76" i="44"/>
  <c r="A84" i="44"/>
  <c r="A83" i="44"/>
  <c r="M106" i="44"/>
  <c r="D112" i="44"/>
  <c r="A67" i="44"/>
  <c r="A68" i="44"/>
  <c r="N66" i="44"/>
  <c r="N74" i="44" s="1"/>
  <c r="N82" i="44" s="1"/>
  <c r="N90" i="44" s="1"/>
  <c r="A91" i="44"/>
  <c r="A92" i="44"/>
  <c r="N99" i="44"/>
  <c r="F99" i="44"/>
  <c r="M99" i="44"/>
  <c r="E99" i="44"/>
  <c r="L99" i="44"/>
  <c r="D99" i="44"/>
  <c r="K99" i="44"/>
  <c r="C99" i="44"/>
  <c r="I99" i="44"/>
  <c r="H99" i="44"/>
  <c r="G99" i="44"/>
  <c r="J99" i="44"/>
  <c r="L138" i="42"/>
  <c r="K138" i="42"/>
  <c r="J138" i="42"/>
  <c r="I138" i="42"/>
  <c r="H138" i="42"/>
  <c r="G138" i="42"/>
  <c r="F138" i="42"/>
  <c r="L137" i="42"/>
  <c r="K137" i="42"/>
  <c r="J137" i="42"/>
  <c r="I137" i="42"/>
  <c r="H137" i="42"/>
  <c r="G137" i="42"/>
  <c r="F137" i="42"/>
  <c r="E137" i="42"/>
  <c r="D137" i="42"/>
  <c r="C137" i="42"/>
  <c r="F130" i="42"/>
  <c r="L129" i="42"/>
  <c r="K129" i="42"/>
  <c r="J129" i="42"/>
  <c r="I129" i="42"/>
  <c r="H129" i="42"/>
  <c r="G129" i="42"/>
  <c r="F129" i="42"/>
  <c r="L127" i="42"/>
  <c r="K127" i="42"/>
  <c r="J127" i="42"/>
  <c r="I127" i="42"/>
  <c r="H127" i="42"/>
  <c r="G127" i="42"/>
  <c r="F127" i="42"/>
  <c r="L126" i="42"/>
  <c r="D126" i="42"/>
  <c r="A126" i="42"/>
  <c r="F126" i="42" s="1"/>
  <c r="A125" i="42"/>
  <c r="K125" i="42" s="1"/>
  <c r="A124" i="42"/>
  <c r="I124" i="42" s="1"/>
  <c r="H123" i="42"/>
  <c r="A123" i="42"/>
  <c r="G123" i="42" s="1"/>
  <c r="A122" i="42"/>
  <c r="J122" i="42" s="1"/>
  <c r="A121" i="42"/>
  <c r="K121" i="42" s="1"/>
  <c r="I119" i="42"/>
  <c r="F119" i="42"/>
  <c r="E119" i="42"/>
  <c r="A119" i="42"/>
  <c r="J119" i="42" s="1"/>
  <c r="L118" i="42"/>
  <c r="I118" i="42"/>
  <c r="H118" i="42"/>
  <c r="F118" i="42"/>
  <c r="E118" i="42"/>
  <c r="D118" i="42"/>
  <c r="C118" i="42"/>
  <c r="A118" i="42"/>
  <c r="K118" i="42" s="1"/>
  <c r="L117" i="42"/>
  <c r="K117" i="42"/>
  <c r="I117" i="42"/>
  <c r="H117" i="42"/>
  <c r="G117" i="42"/>
  <c r="F117" i="42"/>
  <c r="A117" i="42"/>
  <c r="G116" i="42"/>
  <c r="F116" i="42"/>
  <c r="A116" i="42"/>
  <c r="K116" i="42" s="1"/>
  <c r="A115" i="42"/>
  <c r="L114" i="42"/>
  <c r="I114" i="42"/>
  <c r="H114" i="42"/>
  <c r="G114" i="42"/>
  <c r="E114" i="42"/>
  <c r="D114" i="42"/>
  <c r="A114" i="42"/>
  <c r="F114" i="42" s="1"/>
  <c r="L112" i="42"/>
  <c r="K112" i="42"/>
  <c r="J112" i="42"/>
  <c r="I112" i="42"/>
  <c r="H112" i="42"/>
  <c r="G112" i="42"/>
  <c r="F112" i="42"/>
  <c r="A111" i="42"/>
  <c r="M111" i="42" s="1"/>
  <c r="A110" i="42"/>
  <c r="J110" i="42" s="1"/>
  <c r="A109" i="42"/>
  <c r="J109" i="42" s="1"/>
  <c r="C108" i="42"/>
  <c r="A108" i="42"/>
  <c r="J108" i="42" s="1"/>
  <c r="A107" i="42"/>
  <c r="J107" i="42" s="1"/>
  <c r="A106" i="42"/>
  <c r="H106" i="42" s="1"/>
  <c r="M98" i="42"/>
  <c r="M97" i="42"/>
  <c r="A97" i="42"/>
  <c r="A96" i="42"/>
  <c r="M90" i="42"/>
  <c r="N110" i="42" s="1"/>
  <c r="M89" i="42"/>
  <c r="A89" i="42"/>
  <c r="A90" i="42" s="1"/>
  <c r="A92" i="42" s="1"/>
  <c r="A88" i="42"/>
  <c r="L85" i="42"/>
  <c r="K85" i="42"/>
  <c r="J85" i="42"/>
  <c r="I85" i="42"/>
  <c r="H85" i="42"/>
  <c r="G85" i="42"/>
  <c r="F85" i="42"/>
  <c r="L84" i="42"/>
  <c r="M82" i="42"/>
  <c r="M81" i="42"/>
  <c r="A81" i="42"/>
  <c r="A82" i="42" s="1"/>
  <c r="A84" i="42" s="1"/>
  <c r="A80" i="42"/>
  <c r="M74" i="42"/>
  <c r="M73" i="42"/>
  <c r="A73" i="42"/>
  <c r="A74" i="42" s="1"/>
  <c r="A72" i="42"/>
  <c r="M66" i="42"/>
  <c r="M65" i="42"/>
  <c r="A64" i="42"/>
  <c r="A65" i="42" s="1"/>
  <c r="A66" i="42" s="1"/>
  <c r="A68" i="42" s="1"/>
  <c r="I68" i="42" s="1"/>
  <c r="M58" i="42"/>
  <c r="M57" i="42"/>
  <c r="A56" i="42"/>
  <c r="A57" i="42" s="1"/>
  <c r="A53" i="42"/>
  <c r="E53" i="42" s="1"/>
  <c r="H52" i="42"/>
  <c r="A52" i="42"/>
  <c r="J52" i="42" s="1"/>
  <c r="I51" i="42"/>
  <c r="H51" i="42"/>
  <c r="A51" i="42"/>
  <c r="A50" i="42"/>
  <c r="F50" i="42" s="1"/>
  <c r="B49" i="42"/>
  <c r="A49" i="42"/>
  <c r="A48" i="42"/>
  <c r="L47" i="42"/>
  <c r="K47" i="42"/>
  <c r="J47" i="42"/>
  <c r="I47" i="42"/>
  <c r="H47" i="42"/>
  <c r="G47" i="42"/>
  <c r="F47" i="42"/>
  <c r="L46" i="42"/>
  <c r="K46" i="42"/>
  <c r="J46" i="42"/>
  <c r="I46" i="42"/>
  <c r="H46" i="42"/>
  <c r="G46" i="42"/>
  <c r="F46" i="42"/>
  <c r="A45" i="42"/>
  <c r="F45" i="42" s="1"/>
  <c r="H44" i="42"/>
  <c r="A44" i="42"/>
  <c r="K44" i="42" s="1"/>
  <c r="A43" i="42"/>
  <c r="K43" i="42" s="1"/>
  <c r="A42" i="42"/>
  <c r="K41" i="42"/>
  <c r="H41" i="42"/>
  <c r="A41" i="42"/>
  <c r="J41" i="42" s="1"/>
  <c r="G40" i="42"/>
  <c r="A40" i="42"/>
  <c r="L39" i="42"/>
  <c r="K39" i="42"/>
  <c r="J39" i="42"/>
  <c r="I39" i="42"/>
  <c r="H39" i="42"/>
  <c r="G39" i="42"/>
  <c r="F39" i="42"/>
  <c r="L38" i="42"/>
  <c r="K38" i="42"/>
  <c r="J38" i="42"/>
  <c r="I38" i="42"/>
  <c r="H38" i="42"/>
  <c r="G38" i="42"/>
  <c r="F38" i="42"/>
  <c r="C38" i="42"/>
  <c r="C46" i="42" s="1"/>
  <c r="L37" i="42"/>
  <c r="K37" i="42"/>
  <c r="J37" i="42"/>
  <c r="I37" i="42"/>
  <c r="H37" i="42"/>
  <c r="G37" i="42"/>
  <c r="F37" i="42"/>
  <c r="C37" i="42"/>
  <c r="C39" i="42" s="1"/>
  <c r="L35" i="42"/>
  <c r="H35" i="42"/>
  <c r="A35" i="42"/>
  <c r="F35" i="42" s="1"/>
  <c r="K34" i="42"/>
  <c r="J34" i="42"/>
  <c r="A34" i="42"/>
  <c r="I34" i="42" s="1"/>
  <c r="A33" i="42"/>
  <c r="F32" i="42"/>
  <c r="C32" i="42"/>
  <c r="A32" i="42"/>
  <c r="K32" i="42" s="1"/>
  <c r="A31" i="42"/>
  <c r="L31" i="42" s="1"/>
  <c r="A30" i="42"/>
  <c r="J30" i="42" s="1"/>
  <c r="L29" i="42"/>
  <c r="K29" i="42"/>
  <c r="J29" i="42"/>
  <c r="I29" i="42"/>
  <c r="H29" i="42"/>
  <c r="G29" i="42"/>
  <c r="F29" i="42"/>
  <c r="C29" i="42"/>
  <c r="L28" i="42"/>
  <c r="L130" i="42" s="1"/>
  <c r="K28" i="42"/>
  <c r="K130" i="42" s="1"/>
  <c r="J28" i="42"/>
  <c r="J130" i="42" s="1"/>
  <c r="I28" i="42"/>
  <c r="I130" i="42" s="1"/>
  <c r="H28" i="42"/>
  <c r="H130" i="42" s="1"/>
  <c r="G28" i="42"/>
  <c r="G130" i="42" s="1"/>
  <c r="F28" i="42"/>
  <c r="E28" i="42"/>
  <c r="E47" i="42" s="1"/>
  <c r="D28" i="42"/>
  <c r="C28" i="42"/>
  <c r="C24" i="42"/>
  <c r="B31" i="42" s="1"/>
  <c r="B24" i="42"/>
  <c r="B30" i="42" s="1"/>
  <c r="A1" i="42"/>
  <c r="F100" i="44" l="1"/>
  <c r="L100" i="44"/>
  <c r="E100" i="44"/>
  <c r="K100" i="44"/>
  <c r="N100" i="44"/>
  <c r="D100" i="44"/>
  <c r="J100" i="44"/>
  <c r="G100" i="44"/>
  <c r="I100" i="44"/>
  <c r="C100" i="44"/>
  <c r="H100" i="44"/>
  <c r="A101" i="44"/>
  <c r="D47" i="42"/>
  <c r="C40" i="42"/>
  <c r="C47" i="42"/>
  <c r="C33" i="42"/>
  <c r="G34" i="42"/>
  <c r="I35" i="42"/>
  <c r="I41" i="42"/>
  <c r="L44" i="42"/>
  <c r="I52" i="42"/>
  <c r="K126" i="42"/>
  <c r="H33" i="42"/>
  <c r="H40" i="42"/>
  <c r="H45" i="42"/>
  <c r="K51" i="42"/>
  <c r="N109" i="42"/>
  <c r="K33" i="42"/>
  <c r="D35" i="42"/>
  <c r="K40" i="42"/>
  <c r="I45" i="42"/>
  <c r="F125" i="42"/>
  <c r="E35" i="42"/>
  <c r="L45" i="42"/>
  <c r="C52" i="42"/>
  <c r="C110" i="42"/>
  <c r="G125" i="42"/>
  <c r="F33" i="42"/>
  <c r="D45" i="42"/>
  <c r="F109" i="42"/>
  <c r="C34" i="42"/>
  <c r="G35" i="42"/>
  <c r="G44" i="42"/>
  <c r="F52" i="42"/>
  <c r="D110" i="42"/>
  <c r="N111" i="42"/>
  <c r="J31" i="42"/>
  <c r="F40" i="42"/>
  <c r="C44" i="42"/>
  <c r="G45" i="42"/>
  <c r="G51" i="42"/>
  <c r="F53" i="42"/>
  <c r="I106" i="42"/>
  <c r="L107" i="42"/>
  <c r="K110" i="42"/>
  <c r="I111" i="42"/>
  <c r="J124" i="42"/>
  <c r="H126" i="42"/>
  <c r="L106" i="42"/>
  <c r="L110" i="42"/>
  <c r="K111" i="42"/>
  <c r="C107" i="42"/>
  <c r="G32" i="42"/>
  <c r="G33" i="42"/>
  <c r="H34" i="42"/>
  <c r="L40" i="42"/>
  <c r="L41" i="42"/>
  <c r="L51" i="42"/>
  <c r="K52" i="42"/>
  <c r="D106" i="42"/>
  <c r="D107" i="42"/>
  <c r="E110" i="42"/>
  <c r="D111" i="42"/>
  <c r="G122" i="42"/>
  <c r="I123" i="42"/>
  <c r="L111" i="42"/>
  <c r="C111" i="42"/>
  <c r="I32" i="42"/>
  <c r="L52" i="42"/>
  <c r="E106" i="42"/>
  <c r="G107" i="42"/>
  <c r="E109" i="42"/>
  <c r="F110" i="42"/>
  <c r="F111" i="42"/>
  <c r="H122" i="42"/>
  <c r="L123" i="42"/>
  <c r="C126" i="42"/>
  <c r="G106" i="42"/>
  <c r="H107" i="42"/>
  <c r="H110" i="42"/>
  <c r="G111" i="42"/>
  <c r="K122" i="42"/>
  <c r="F31" i="42"/>
  <c r="J32" i="42"/>
  <c r="I31" i="42"/>
  <c r="L33" i="42"/>
  <c r="L34" i="42"/>
  <c r="E45" i="42"/>
  <c r="F51" i="42"/>
  <c r="K107" i="42"/>
  <c r="I109" i="42"/>
  <c r="I110" i="42"/>
  <c r="H111" i="42"/>
  <c r="L122" i="42"/>
  <c r="G126" i="42"/>
  <c r="H68" i="44"/>
  <c r="A69" i="44"/>
  <c r="K68" i="44"/>
  <c r="J68" i="44"/>
  <c r="L68" i="44"/>
  <c r="I68" i="44"/>
  <c r="M67" i="44"/>
  <c r="E67" i="44"/>
  <c r="L67" i="44"/>
  <c r="D67" i="44"/>
  <c r="K67" i="44"/>
  <c r="C67" i="44"/>
  <c r="J67" i="44"/>
  <c r="H67" i="44"/>
  <c r="G67" i="44"/>
  <c r="F67" i="44"/>
  <c r="I67" i="44"/>
  <c r="N67" i="44"/>
  <c r="N75" i="44" s="1"/>
  <c r="N83" i="44" s="1"/>
  <c r="N91" i="44" s="1"/>
  <c r="H59" i="44"/>
  <c r="G59" i="44"/>
  <c r="N59" i="44"/>
  <c r="F59" i="44"/>
  <c r="M59" i="44"/>
  <c r="E59" i="44"/>
  <c r="K59" i="44"/>
  <c r="C59" i="44"/>
  <c r="J59" i="44"/>
  <c r="D59" i="44"/>
  <c r="L59" i="44"/>
  <c r="I59" i="44"/>
  <c r="H76" i="44"/>
  <c r="A77" i="44"/>
  <c r="K76" i="44"/>
  <c r="J76" i="44"/>
  <c r="L76" i="44"/>
  <c r="I76" i="44"/>
  <c r="K60" i="44"/>
  <c r="J60" i="44"/>
  <c r="I60" i="44"/>
  <c r="H60" i="44"/>
  <c r="A61" i="44"/>
  <c r="N60" i="44"/>
  <c r="N68" i="44" s="1"/>
  <c r="N76" i="44" s="1"/>
  <c r="N84" i="44" s="1"/>
  <c r="N92" i="44" s="1"/>
  <c r="L60" i="44"/>
  <c r="M75" i="44"/>
  <c r="E75" i="44"/>
  <c r="L75" i="44"/>
  <c r="D75" i="44"/>
  <c r="K75" i="44"/>
  <c r="C75" i="44"/>
  <c r="J75" i="44"/>
  <c r="H75" i="44"/>
  <c r="G75" i="44"/>
  <c r="I75" i="44"/>
  <c r="F75" i="44"/>
  <c r="A93" i="44"/>
  <c r="L92" i="44"/>
  <c r="J92" i="44"/>
  <c r="I92" i="44"/>
  <c r="K92" i="44"/>
  <c r="H92" i="44"/>
  <c r="C92" i="44"/>
  <c r="G83" i="44"/>
  <c r="F83" i="44"/>
  <c r="M83" i="44"/>
  <c r="E83" i="44"/>
  <c r="L83" i="44"/>
  <c r="D83" i="44"/>
  <c r="J83" i="44"/>
  <c r="I83" i="44"/>
  <c r="K83" i="44"/>
  <c r="H83" i="44"/>
  <c r="C83" i="44"/>
  <c r="L91" i="44"/>
  <c r="D91" i="44"/>
  <c r="K91" i="44"/>
  <c r="C91" i="44"/>
  <c r="J91" i="44"/>
  <c r="I91" i="44"/>
  <c r="G91" i="44"/>
  <c r="F91" i="44"/>
  <c r="E91" i="44"/>
  <c r="H91" i="44"/>
  <c r="M91" i="44"/>
  <c r="J84" i="44"/>
  <c r="I84" i="44"/>
  <c r="H84" i="44"/>
  <c r="L84" i="44"/>
  <c r="A85" i="44"/>
  <c r="K84" i="44"/>
  <c r="N57" i="42"/>
  <c r="N65" i="42" s="1"/>
  <c r="A58" i="42"/>
  <c r="A75" i="42"/>
  <c r="A76" i="42"/>
  <c r="K49" i="42"/>
  <c r="H49" i="42"/>
  <c r="G49" i="42"/>
  <c r="F30" i="42"/>
  <c r="C43" i="42"/>
  <c r="H53" i="42"/>
  <c r="G53" i="42"/>
  <c r="L53" i="42"/>
  <c r="D53" i="42"/>
  <c r="K53" i="42"/>
  <c r="C53" i="42"/>
  <c r="G84" i="42"/>
  <c r="A85" i="42"/>
  <c r="F84" i="42"/>
  <c r="K84" i="42"/>
  <c r="I84" i="42"/>
  <c r="J84" i="42"/>
  <c r="G42" i="42"/>
  <c r="L42" i="42"/>
  <c r="K42" i="42"/>
  <c r="C42" i="42"/>
  <c r="G48" i="42"/>
  <c r="L48" i="42"/>
  <c r="K48" i="42"/>
  <c r="I92" i="42"/>
  <c r="H92" i="42"/>
  <c r="G92" i="42"/>
  <c r="A93" i="42"/>
  <c r="F92" i="42"/>
  <c r="K92" i="42"/>
  <c r="C92" i="42"/>
  <c r="J92" i="42"/>
  <c r="F115" i="42"/>
  <c r="E115" i="42"/>
  <c r="E138" i="42" s="1"/>
  <c r="L115" i="42"/>
  <c r="D115" i="42"/>
  <c r="D138" i="42" s="1"/>
  <c r="K115" i="42"/>
  <c r="C115" i="42"/>
  <c r="C138" i="42" s="1"/>
  <c r="H115" i="42"/>
  <c r="G115" i="42"/>
  <c r="H50" i="42"/>
  <c r="L50" i="42"/>
  <c r="A98" i="42"/>
  <c r="N97" i="42"/>
  <c r="F43" i="42"/>
  <c r="G50" i="42"/>
  <c r="L92" i="42"/>
  <c r="I115" i="42"/>
  <c r="N73" i="42"/>
  <c r="N81" i="42" s="1"/>
  <c r="N89" i="42" s="1"/>
  <c r="H30" i="42"/>
  <c r="I30" i="42"/>
  <c r="F42" i="42"/>
  <c r="G43" i="42"/>
  <c r="J44" i="42"/>
  <c r="F48" i="42"/>
  <c r="F49" i="42"/>
  <c r="I50" i="42"/>
  <c r="I53" i="42"/>
  <c r="A67" i="42"/>
  <c r="G108" i="42"/>
  <c r="N108" i="42"/>
  <c r="F108" i="42"/>
  <c r="E108" i="42"/>
  <c r="L108" i="42"/>
  <c r="D108" i="42"/>
  <c r="I108" i="42"/>
  <c r="H108" i="42"/>
  <c r="J115" i="42"/>
  <c r="K31" i="42"/>
  <c r="C31" i="42"/>
  <c r="C41" i="42" s="1"/>
  <c r="H31" i="42"/>
  <c r="G31" i="42"/>
  <c r="H32" i="42"/>
  <c r="L32" i="42"/>
  <c r="B34" i="42"/>
  <c r="B29" i="42" s="1"/>
  <c r="H42" i="42"/>
  <c r="J43" i="42"/>
  <c r="H48" i="42"/>
  <c r="I49" i="42"/>
  <c r="J50" i="42"/>
  <c r="J53" i="42"/>
  <c r="H68" i="42"/>
  <c r="N106" i="42"/>
  <c r="G121" i="42"/>
  <c r="F121" i="42"/>
  <c r="L121" i="42"/>
  <c r="I121" i="42"/>
  <c r="H121" i="42"/>
  <c r="G30" i="42"/>
  <c r="L30" i="42"/>
  <c r="K30" i="42"/>
  <c r="C30" i="42"/>
  <c r="I42" i="42"/>
  <c r="I48" i="42"/>
  <c r="J49" i="42"/>
  <c r="K50" i="42"/>
  <c r="A83" i="42"/>
  <c r="A91" i="42"/>
  <c r="L43" i="42"/>
  <c r="I43" i="42"/>
  <c r="H43" i="42"/>
  <c r="J42" i="42"/>
  <c r="I44" i="42"/>
  <c r="F44" i="42"/>
  <c r="J48" i="42"/>
  <c r="L49" i="42"/>
  <c r="K68" i="42"/>
  <c r="J68" i="42"/>
  <c r="G68" i="42"/>
  <c r="A69" i="42"/>
  <c r="F68" i="42"/>
  <c r="L68" i="42"/>
  <c r="H84" i="42"/>
  <c r="K108" i="42"/>
  <c r="J121" i="42"/>
  <c r="F124" i="42"/>
  <c r="L124" i="42"/>
  <c r="K124" i="42"/>
  <c r="H124" i="42"/>
  <c r="G124" i="42"/>
  <c r="I33" i="42"/>
  <c r="J35" i="42"/>
  <c r="I40" i="42"/>
  <c r="F41" i="42"/>
  <c r="J45" i="42"/>
  <c r="J106" i="42"/>
  <c r="E107" i="42"/>
  <c r="C109" i="42"/>
  <c r="K109" i="42"/>
  <c r="J114" i="42"/>
  <c r="D116" i="42"/>
  <c r="L116" i="42"/>
  <c r="C119" i="42"/>
  <c r="K119" i="42"/>
  <c r="J123" i="42"/>
  <c r="L125" i="42"/>
  <c r="I126" i="42"/>
  <c r="J33" i="42"/>
  <c r="F34" i="42"/>
  <c r="C35" i="42"/>
  <c r="K35" i="42"/>
  <c r="J40" i="42"/>
  <c r="G41" i="42"/>
  <c r="C45" i="42"/>
  <c r="K45" i="42"/>
  <c r="J51" i="42"/>
  <c r="G52" i="42"/>
  <c r="C106" i="42"/>
  <c r="K106" i="42"/>
  <c r="F107" i="42"/>
  <c r="N107" i="42"/>
  <c r="D109" i="42"/>
  <c r="L109" i="42"/>
  <c r="G110" i="42"/>
  <c r="J111" i="42"/>
  <c r="C114" i="42"/>
  <c r="K114" i="42"/>
  <c r="E116" i="42"/>
  <c r="J117" i="42"/>
  <c r="G118" i="42"/>
  <c r="D119" i="42"/>
  <c r="L119" i="42"/>
  <c r="F122" i="42"/>
  <c r="K123" i="42"/>
  <c r="J126" i="42"/>
  <c r="F106" i="42"/>
  <c r="I107" i="42"/>
  <c r="G109" i="42"/>
  <c r="E111" i="42"/>
  <c r="H116" i="42"/>
  <c r="J118" i="42"/>
  <c r="G119" i="42"/>
  <c r="I122" i="42"/>
  <c r="F123" i="42"/>
  <c r="H125" i="42"/>
  <c r="E126" i="42"/>
  <c r="H109" i="42"/>
  <c r="I116" i="42"/>
  <c r="H119" i="42"/>
  <c r="I125" i="42"/>
  <c r="J116" i="42"/>
  <c r="J125" i="42"/>
  <c r="C116" i="42"/>
  <c r="C69" i="40"/>
  <c r="C46" i="40"/>
  <c r="C46" i="37"/>
  <c r="C69" i="37"/>
  <c r="C69" i="39"/>
  <c r="C46" i="39"/>
  <c r="C69" i="35"/>
  <c r="H46" i="35"/>
  <c r="I46" i="35"/>
  <c r="J46" i="35"/>
  <c r="K46" i="35"/>
  <c r="L46" i="35"/>
  <c r="C46" i="35"/>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A102" i="44" l="1"/>
  <c r="N101" i="44"/>
  <c r="E112" i="42"/>
  <c r="E75" i="42" s="1"/>
  <c r="C112" i="42"/>
  <c r="C75" i="42" s="1"/>
  <c r="D112" i="42"/>
  <c r="D83" i="42" s="1"/>
  <c r="C51" i="42"/>
  <c r="M110" i="42"/>
  <c r="A78" i="44"/>
  <c r="A62" i="44"/>
  <c r="N61" i="44"/>
  <c r="N69" i="44" s="1"/>
  <c r="N77" i="44" s="1"/>
  <c r="N85" i="44" s="1"/>
  <c r="N93" i="44" s="1"/>
  <c r="A94" i="44"/>
  <c r="A70" i="44"/>
  <c r="A86" i="44"/>
  <c r="M107" i="42"/>
  <c r="M106" i="42"/>
  <c r="M108" i="42"/>
  <c r="A100" i="42"/>
  <c r="A99" i="42"/>
  <c r="N98" i="42"/>
  <c r="A86" i="42"/>
  <c r="L76" i="42"/>
  <c r="I76" i="42"/>
  <c r="H76" i="42"/>
  <c r="K76" i="42"/>
  <c r="A77" i="42"/>
  <c r="J76" i="42"/>
  <c r="G76" i="42"/>
  <c r="F76" i="42"/>
  <c r="A70" i="42"/>
  <c r="F91" i="42"/>
  <c r="M91" i="42"/>
  <c r="L91" i="42"/>
  <c r="K91" i="42"/>
  <c r="H91" i="42"/>
  <c r="G91" i="42"/>
  <c r="I91" i="42"/>
  <c r="J91" i="42"/>
  <c r="M109" i="42"/>
  <c r="A94" i="42"/>
  <c r="J75" i="42"/>
  <c r="I75" i="42"/>
  <c r="F75" i="42"/>
  <c r="M75" i="42"/>
  <c r="H75" i="42"/>
  <c r="G75" i="42"/>
  <c r="L75" i="42"/>
  <c r="K75" i="42"/>
  <c r="L83" i="42"/>
  <c r="K83" i="42"/>
  <c r="H83" i="42"/>
  <c r="G83" i="42"/>
  <c r="M83" i="42"/>
  <c r="J83" i="42"/>
  <c r="F83" i="42"/>
  <c r="I83" i="42"/>
  <c r="A59" i="42"/>
  <c r="N58" i="42"/>
  <c r="N66" i="42" s="1"/>
  <c r="N74" i="42" s="1"/>
  <c r="N82" i="42" s="1"/>
  <c r="N90" i="42" s="1"/>
  <c r="A60" i="42"/>
  <c r="H67" i="42"/>
  <c r="G67" i="42"/>
  <c r="L67" i="42"/>
  <c r="K67" i="42"/>
  <c r="I67" i="42"/>
  <c r="J67" i="42"/>
  <c r="F67" i="42"/>
  <c r="M67" i="42"/>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N102" i="44" l="1"/>
  <c r="F102" i="44"/>
  <c r="E102" i="44"/>
  <c r="K102" i="44"/>
  <c r="L102" i="44"/>
  <c r="C102" i="44"/>
  <c r="G102" i="44"/>
  <c r="J102" i="44"/>
  <c r="D102" i="44"/>
  <c r="I102" i="44"/>
  <c r="H102" i="44"/>
  <c r="D91" i="42"/>
  <c r="E83" i="42"/>
  <c r="E67" i="42"/>
  <c r="E91" i="42"/>
  <c r="C83" i="42"/>
  <c r="D75" i="42"/>
  <c r="C67" i="42"/>
  <c r="D67" i="42"/>
  <c r="C91" i="42"/>
  <c r="C84" i="42"/>
  <c r="C85" i="42" s="1"/>
  <c r="C117" i="42" s="1"/>
  <c r="C50" i="42"/>
  <c r="C76" i="42" s="1"/>
  <c r="L86" i="44"/>
  <c r="J86" i="44"/>
  <c r="I86" i="44"/>
  <c r="K86" i="44"/>
  <c r="H86" i="44"/>
  <c r="J70" i="44"/>
  <c r="I70" i="44"/>
  <c r="H70" i="44"/>
  <c r="N70" i="44"/>
  <c r="N78" i="44" s="1"/>
  <c r="N86" i="44" s="1"/>
  <c r="N94" i="44" s="1"/>
  <c r="L70" i="44"/>
  <c r="K70" i="44"/>
  <c r="N62" i="44"/>
  <c r="L62" i="44"/>
  <c r="K62" i="44"/>
  <c r="J62" i="44"/>
  <c r="H62" i="44"/>
  <c r="I62" i="44"/>
  <c r="I94" i="44"/>
  <c r="H94" i="44"/>
  <c r="L94" i="44"/>
  <c r="K94" i="44"/>
  <c r="C94" i="44"/>
  <c r="C125" i="44" s="1"/>
  <c r="D34" i="44" s="1"/>
  <c r="J94" i="44"/>
  <c r="J78" i="44"/>
  <c r="I78" i="44"/>
  <c r="H78" i="44"/>
  <c r="L78" i="44"/>
  <c r="K78" i="44"/>
  <c r="I60" i="42"/>
  <c r="H60" i="42"/>
  <c r="N60" i="42"/>
  <c r="N68" i="42" s="1"/>
  <c r="N76" i="42" s="1"/>
  <c r="N84" i="42" s="1"/>
  <c r="N92" i="42" s="1"/>
  <c r="L60" i="42"/>
  <c r="A61" i="42"/>
  <c r="K60" i="42"/>
  <c r="J60" i="42"/>
  <c r="G60" i="42"/>
  <c r="F60" i="42"/>
  <c r="A78" i="42"/>
  <c r="I86" i="42"/>
  <c r="G86" i="42"/>
  <c r="F86" i="42"/>
  <c r="K86" i="42"/>
  <c r="J86" i="42"/>
  <c r="L86" i="42"/>
  <c r="H86" i="42"/>
  <c r="N59" i="42"/>
  <c r="N67" i="42" s="1"/>
  <c r="N75" i="42" s="1"/>
  <c r="N83" i="42" s="1"/>
  <c r="N91" i="42" s="1"/>
  <c r="F59" i="42"/>
  <c r="M59" i="42"/>
  <c r="E59" i="42"/>
  <c r="J59" i="42"/>
  <c r="I59" i="42"/>
  <c r="K59" i="42"/>
  <c r="H59" i="42"/>
  <c r="G59" i="42"/>
  <c r="D59" i="42"/>
  <c r="C59" i="42"/>
  <c r="L59" i="42"/>
  <c r="L70" i="42"/>
  <c r="I70" i="42"/>
  <c r="H70" i="42"/>
  <c r="K70" i="42"/>
  <c r="J70" i="42"/>
  <c r="G70" i="42"/>
  <c r="F70" i="42"/>
  <c r="H99" i="42"/>
  <c r="G99" i="42"/>
  <c r="N99" i="42"/>
  <c r="F99" i="42"/>
  <c r="M99" i="42"/>
  <c r="E99" i="42"/>
  <c r="J99" i="42"/>
  <c r="I99" i="42"/>
  <c r="L99" i="42"/>
  <c r="K99" i="42"/>
  <c r="D99" i="42"/>
  <c r="C99" i="42"/>
  <c r="C94" i="42"/>
  <c r="C125" i="42" s="1"/>
  <c r="D34" i="42" s="1"/>
  <c r="J94" i="42"/>
  <c r="I94" i="42"/>
  <c r="H94" i="42"/>
  <c r="K94" i="42"/>
  <c r="L94" i="42"/>
  <c r="G94" i="42"/>
  <c r="F94" i="42"/>
  <c r="K100" i="42"/>
  <c r="C100" i="42"/>
  <c r="J100" i="42"/>
  <c r="I100" i="42"/>
  <c r="H100" i="42"/>
  <c r="N100" i="42"/>
  <c r="E100" i="42"/>
  <c r="L100" i="42"/>
  <c r="D100" i="42"/>
  <c r="F100" i="42"/>
  <c r="G100" i="42"/>
  <c r="A101" i="42"/>
  <c r="P5" i="41"/>
  <c r="C49" i="42" l="1"/>
  <c r="C86" i="42"/>
  <c r="C124" i="42" s="1"/>
  <c r="D33" i="42" s="1"/>
  <c r="D30" i="44"/>
  <c r="A62" i="42"/>
  <c r="N61" i="42"/>
  <c r="N69" i="42" s="1"/>
  <c r="N77" i="42" s="1"/>
  <c r="N85" i="42" s="1"/>
  <c r="N93" i="42" s="1"/>
  <c r="A102" i="42"/>
  <c r="N101" i="42"/>
  <c r="G78" i="42"/>
  <c r="F78" i="42"/>
  <c r="K78" i="42"/>
  <c r="C78" i="42"/>
  <c r="C123" i="42" s="1"/>
  <c r="D32" i="42" s="1"/>
  <c r="J78" i="42"/>
  <c r="L78" i="42"/>
  <c r="I78" i="42"/>
  <c r="H78" i="42"/>
  <c r="F9" i="31"/>
  <c r="C48" i="42" l="1"/>
  <c r="C60" i="42" s="1"/>
  <c r="C68" i="42"/>
  <c r="C70" i="42" s="1"/>
  <c r="C122" i="42" s="1"/>
  <c r="D31" i="42" s="1"/>
  <c r="D29" i="44"/>
  <c r="N102" i="42"/>
  <c r="E102" i="42"/>
  <c r="L102" i="42"/>
  <c r="D102" i="42"/>
  <c r="K102" i="42"/>
  <c r="C102" i="42"/>
  <c r="J102" i="42"/>
  <c r="G102" i="42"/>
  <c r="F102" i="42"/>
  <c r="I102" i="42"/>
  <c r="H102" i="42"/>
  <c r="K62" i="42"/>
  <c r="C62" i="42"/>
  <c r="C121" i="42" s="1"/>
  <c r="J62" i="42"/>
  <c r="G62" i="42"/>
  <c r="F62" i="42"/>
  <c r="N62" i="42"/>
  <c r="N70" i="42" s="1"/>
  <c r="N78" i="42" s="1"/>
  <c r="N86" i="42" s="1"/>
  <c r="N94" i="42" s="1"/>
  <c r="L62" i="42"/>
  <c r="I62" i="42"/>
  <c r="H62" i="42"/>
  <c r="K97" i="40"/>
  <c r="M97" i="40"/>
  <c r="K74" i="40"/>
  <c r="M74" i="40" s="1"/>
  <c r="K66" i="40"/>
  <c r="H74" i="40"/>
  <c r="H73" i="40"/>
  <c r="M73" i="40" s="1"/>
  <c r="H98" i="40"/>
  <c r="H97" i="40"/>
  <c r="E98" i="40"/>
  <c r="E97" i="40"/>
  <c r="E74" i="40"/>
  <c r="B53" i="40"/>
  <c r="I137" i="40"/>
  <c r="C137" i="40"/>
  <c r="A126" i="40"/>
  <c r="A125" i="40"/>
  <c r="A124" i="40"/>
  <c r="A123" i="40"/>
  <c r="A122" i="40"/>
  <c r="A121" i="40"/>
  <c r="A119" i="40"/>
  <c r="I119" i="40" s="1"/>
  <c r="A118" i="40"/>
  <c r="I118" i="40" s="1"/>
  <c r="A117" i="40"/>
  <c r="A116" i="40"/>
  <c r="A115" i="40"/>
  <c r="A114" i="40"/>
  <c r="A111" i="40"/>
  <c r="I111" i="40" s="1"/>
  <c r="A110" i="40"/>
  <c r="N110" i="40" s="1"/>
  <c r="A109" i="40"/>
  <c r="C109" i="40" s="1"/>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A42" i="40"/>
  <c r="A41" i="40"/>
  <c r="A40" i="40"/>
  <c r="C39" i="40"/>
  <c r="C42" i="40" s="1"/>
  <c r="C38" i="40"/>
  <c r="C37" i="40"/>
  <c r="A35" i="40"/>
  <c r="A34" i="40"/>
  <c r="A33" i="40"/>
  <c r="A32" i="40"/>
  <c r="C32" i="40" s="1"/>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7" i="39"/>
  <c r="C137" i="39"/>
  <c r="I126" i="39"/>
  <c r="A126" i="39"/>
  <c r="C126" i="39" s="1"/>
  <c r="A125" i="39"/>
  <c r="A124" i="39"/>
  <c r="A123" i="39"/>
  <c r="A122" i="39"/>
  <c r="A121" i="39"/>
  <c r="I119" i="39"/>
  <c r="C119" i="39"/>
  <c r="A119" i="39"/>
  <c r="A118" i="39"/>
  <c r="C118" i="39" s="1"/>
  <c r="A117" i="39"/>
  <c r="A116" i="39"/>
  <c r="A115" i="39"/>
  <c r="A114" i="39"/>
  <c r="C111" i="39"/>
  <c r="A111" i="39"/>
  <c r="N111" i="39" s="1"/>
  <c r="A110" i="39"/>
  <c r="C110" i="39" s="1"/>
  <c r="A109" i="39"/>
  <c r="N109" i="39" s="1"/>
  <c r="A108" i="39"/>
  <c r="I107" i="39"/>
  <c r="A107" i="39"/>
  <c r="C107" i="39" s="1"/>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A53" i="39"/>
  <c r="I53" i="39" s="1"/>
  <c r="A52" i="39"/>
  <c r="A51" i="39"/>
  <c r="A50" i="39"/>
  <c r="B49" i="39"/>
  <c r="A49" i="39"/>
  <c r="A48" i="39"/>
  <c r="I47"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A1" i="39"/>
  <c r="K27" i="37"/>
  <c r="L27" i="37" s="1"/>
  <c r="J27" i="37"/>
  <c r="H27" i="37"/>
  <c r="K137" i="37"/>
  <c r="I137" i="37"/>
  <c r="H137" i="37"/>
  <c r="C137" i="37"/>
  <c r="A126" i="37"/>
  <c r="J126" i="37" s="1"/>
  <c r="A125" i="37"/>
  <c r="A124" i="37"/>
  <c r="A123" i="37"/>
  <c r="A122" i="37"/>
  <c r="A121" i="37"/>
  <c r="K119" i="37"/>
  <c r="I119" i="37"/>
  <c r="C119" i="37"/>
  <c r="A119" i="37"/>
  <c r="I118" i="37"/>
  <c r="H118" i="37"/>
  <c r="A118" i="37"/>
  <c r="A117" i="37"/>
  <c r="A116" i="37"/>
  <c r="A115" i="37"/>
  <c r="A114" i="37"/>
  <c r="A111" i="37"/>
  <c r="N111" i="37" s="1"/>
  <c r="A110" i="37"/>
  <c r="I110" i="37" s="1"/>
  <c r="A109" i="37"/>
  <c r="A108" i="37"/>
  <c r="C108" i="37" s="1"/>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A53" i="37"/>
  <c r="C53" i="37" s="1"/>
  <c r="A52" i="37"/>
  <c r="A51" i="37"/>
  <c r="A50" i="37"/>
  <c r="B49" i="37"/>
  <c r="A49" i="37"/>
  <c r="A48" i="37"/>
  <c r="H47" i="37"/>
  <c r="A45" i="37"/>
  <c r="A44" i="37"/>
  <c r="A43" i="37"/>
  <c r="A42" i="37"/>
  <c r="A41" i="37"/>
  <c r="A40" i="37"/>
  <c r="C38" i="37"/>
  <c r="C37" i="37"/>
  <c r="A35" i="37"/>
  <c r="K35" i="37" s="1"/>
  <c r="A34" i="37"/>
  <c r="A33" i="37"/>
  <c r="C33" i="37" s="1"/>
  <c r="A32" i="37"/>
  <c r="C32" i="37" s="1"/>
  <c r="A31" i="37"/>
  <c r="A30" i="37"/>
  <c r="C29" i="37"/>
  <c r="K28" i="37"/>
  <c r="I28" i="37"/>
  <c r="I47" i="37" s="1"/>
  <c r="H28" i="37"/>
  <c r="D28" i="37"/>
  <c r="C28" i="37"/>
  <c r="C47" i="37" s="1"/>
  <c r="D27" i="37"/>
  <c r="C24" i="37"/>
  <c r="B31" i="37" s="1"/>
  <c r="B24" i="37"/>
  <c r="A1" i="37"/>
  <c r="C127" i="42" l="1"/>
  <c r="D29" i="42" s="1"/>
  <c r="D30" i="42"/>
  <c r="D37" i="44"/>
  <c r="D39" i="44" s="1"/>
  <c r="D38" i="44"/>
  <c r="D46" i="44" s="1"/>
  <c r="I110" i="40"/>
  <c r="I109" i="40"/>
  <c r="C110" i="40"/>
  <c r="C53" i="39"/>
  <c r="B34" i="39"/>
  <c r="C34" i="39" s="1"/>
  <c r="M111" i="39"/>
  <c r="I111" i="39"/>
  <c r="C45" i="39"/>
  <c r="N110" i="39"/>
  <c r="D111" i="37"/>
  <c r="M111" i="37"/>
  <c r="H110" i="37"/>
  <c r="H126" i="37"/>
  <c r="N110" i="37"/>
  <c r="C34" i="37"/>
  <c r="I126" i="37"/>
  <c r="H35" i="37"/>
  <c r="H107" i="37"/>
  <c r="C126" i="37"/>
  <c r="B34" i="37"/>
  <c r="I35" i="37"/>
  <c r="K107" i="37"/>
  <c r="C111" i="37"/>
  <c r="J53" i="37"/>
  <c r="I107" i="37"/>
  <c r="C31" i="37"/>
  <c r="H111" i="37"/>
  <c r="B30" i="37"/>
  <c r="I111" i="37"/>
  <c r="I53" i="37"/>
  <c r="K111" i="37"/>
  <c r="C107" i="37"/>
  <c r="K98" i="40"/>
  <c r="M98" i="40" s="1"/>
  <c r="N111" i="40" s="1"/>
  <c r="K119"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8" i="40" s="1"/>
  <c r="L107" i="40"/>
  <c r="L118" i="40"/>
  <c r="L110" i="40"/>
  <c r="L137" i="40"/>
  <c r="L108" i="40"/>
  <c r="L111" i="40"/>
  <c r="L106" i="40"/>
  <c r="L119" i="40"/>
  <c r="L109" i="40"/>
  <c r="C43" i="40"/>
  <c r="D107" i="40"/>
  <c r="D118" i="40"/>
  <c r="D110" i="40"/>
  <c r="D137" i="40"/>
  <c r="D108" i="40"/>
  <c r="D111" i="40"/>
  <c r="D106" i="40"/>
  <c r="D119" i="40"/>
  <c r="D109" i="40"/>
  <c r="L53" i="40"/>
  <c r="B34" i="40"/>
  <c r="C34" i="40" s="1"/>
  <c r="C77" i="40" s="1"/>
  <c r="C116" i="40" s="1"/>
  <c r="C35" i="40"/>
  <c r="C45" i="40" s="1"/>
  <c r="J119" i="40"/>
  <c r="J109" i="40"/>
  <c r="J107" i="40"/>
  <c r="J118" i="40"/>
  <c r="J110" i="40"/>
  <c r="J137" i="40"/>
  <c r="J53" i="40"/>
  <c r="J108" i="40"/>
  <c r="J111" i="40"/>
  <c r="D53" i="40"/>
  <c r="K107" i="40"/>
  <c r="K118" i="40"/>
  <c r="K110" i="40"/>
  <c r="K137" i="40"/>
  <c r="K53" i="40"/>
  <c r="K108" i="40"/>
  <c r="K111" i="40"/>
  <c r="K106" i="40"/>
  <c r="K47" i="40"/>
  <c r="I47" i="40"/>
  <c r="C44" i="40"/>
  <c r="C52" i="40" s="1"/>
  <c r="A93" i="40"/>
  <c r="K109" i="40"/>
  <c r="N107" i="40"/>
  <c r="I108" i="40"/>
  <c r="I53" i="40"/>
  <c r="M65" i="39"/>
  <c r="N107" i="39"/>
  <c r="M58" i="39"/>
  <c r="N106" i="39" s="1"/>
  <c r="M57" i="39"/>
  <c r="C32" i="39"/>
  <c r="C77" i="39" s="1"/>
  <c r="C116" i="39" s="1"/>
  <c r="J35" i="39"/>
  <c r="D137" i="39"/>
  <c r="D53" i="39"/>
  <c r="D108" i="39"/>
  <c r="D126" i="39"/>
  <c r="D111" i="39"/>
  <c r="D99" i="39"/>
  <c r="D119" i="39"/>
  <c r="D109" i="39"/>
  <c r="D110" i="39"/>
  <c r="D47" i="39"/>
  <c r="D35" i="39"/>
  <c r="D28" i="39"/>
  <c r="E27" i="39"/>
  <c r="D107" i="39"/>
  <c r="C44" i="39"/>
  <c r="C52" i="39" s="1"/>
  <c r="A91" i="39"/>
  <c r="A92" i="39"/>
  <c r="J119" i="39"/>
  <c r="J107" i="39"/>
  <c r="J118" i="39"/>
  <c r="J110" i="39"/>
  <c r="J137" i="39"/>
  <c r="J53" i="39"/>
  <c r="J126" i="39"/>
  <c r="J111" i="39"/>
  <c r="J99" i="39"/>
  <c r="J106" i="39"/>
  <c r="J108" i="39"/>
  <c r="J45" i="39"/>
  <c r="J47" i="39"/>
  <c r="K27" i="39"/>
  <c r="C115" i="39"/>
  <c r="C138"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109" i="39"/>
  <c r="I110" i="39"/>
  <c r="I118" i="39"/>
  <c r="L126" i="37"/>
  <c r="L47" i="37"/>
  <c r="L118" i="37"/>
  <c r="L110" i="37"/>
  <c r="L111" i="37"/>
  <c r="L137" i="37"/>
  <c r="L107" i="37"/>
  <c r="L28" i="37"/>
  <c r="K118" i="37"/>
  <c r="K108" i="37"/>
  <c r="K53" i="37"/>
  <c r="K47" i="37"/>
  <c r="K109" i="37"/>
  <c r="K126" i="37"/>
  <c r="K110" i="37"/>
  <c r="J137" i="37"/>
  <c r="J119" i="37"/>
  <c r="J28" i="37"/>
  <c r="C39" i="37"/>
  <c r="C42" i="37" s="1"/>
  <c r="C115" i="37"/>
  <c r="C138"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C116" i="37" s="1"/>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D118" i="37"/>
  <c r="J35" i="37"/>
  <c r="L108" i="37"/>
  <c r="I108" i="37"/>
  <c r="H108" i="37"/>
  <c r="I109" i="37"/>
  <c r="D137" i="37"/>
  <c r="D108" i="37"/>
  <c r="D126" i="37"/>
  <c r="D119" i="37"/>
  <c r="D109" i="37"/>
  <c r="D53" i="37"/>
  <c r="H53" i="37"/>
  <c r="L53" i="37"/>
  <c r="J108" i="37"/>
  <c r="J109" i="37"/>
  <c r="N107" i="37"/>
  <c r="J111" i="37"/>
  <c r="L119" i="37"/>
  <c r="J110" i="37"/>
  <c r="J118" i="37"/>
  <c r="C110" i="37"/>
  <c r="C118" i="37"/>
  <c r="H119" i="37"/>
  <c r="A1" i="35"/>
  <c r="A1" i="33"/>
  <c r="C130" i="42" l="1"/>
  <c r="C132" i="42" s="1"/>
  <c r="C129" i="42"/>
  <c r="D37" i="42" s="1"/>
  <c r="D44" i="44"/>
  <c r="D42" i="44"/>
  <c r="D40" i="44"/>
  <c r="D43" i="44"/>
  <c r="D41" i="44"/>
  <c r="C42" i="39"/>
  <c r="C112" i="40"/>
  <c r="C91" i="40" s="1"/>
  <c r="L112" i="40"/>
  <c r="L75" i="40" s="1"/>
  <c r="D112" i="40"/>
  <c r="D91" i="40" s="1"/>
  <c r="J112" i="40"/>
  <c r="J91" i="40" s="1"/>
  <c r="K112" i="40"/>
  <c r="K91" i="40" s="1"/>
  <c r="C51" i="40"/>
  <c r="C50" i="40" s="1"/>
  <c r="C76" i="40" s="1"/>
  <c r="C92" i="40"/>
  <c r="A77" i="40"/>
  <c r="E118" i="40"/>
  <c r="E110" i="40"/>
  <c r="E137"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7" i="39"/>
  <c r="E108" i="39"/>
  <c r="E126" i="39"/>
  <c r="E111" i="39"/>
  <c r="E99" i="39"/>
  <c r="E106" i="39"/>
  <c r="E47" i="39"/>
  <c r="E100" i="39"/>
  <c r="E110" i="39"/>
  <c r="E35" i="39"/>
  <c r="E28" i="39"/>
  <c r="F27" i="39"/>
  <c r="E53" i="39"/>
  <c r="E45" i="39"/>
  <c r="E119" i="39"/>
  <c r="E109" i="39"/>
  <c r="E107" i="39"/>
  <c r="A59" i="39"/>
  <c r="N58" i="39"/>
  <c r="N66" i="39" s="1"/>
  <c r="N74" i="39" s="1"/>
  <c r="N82" i="39" s="1"/>
  <c r="N90" i="39" s="1"/>
  <c r="A60" i="39"/>
  <c r="K118" i="39"/>
  <c r="K110" i="39"/>
  <c r="K45" i="39"/>
  <c r="K137" i="39"/>
  <c r="K53" i="39"/>
  <c r="K108" i="39"/>
  <c r="K106" i="39"/>
  <c r="K107" i="39"/>
  <c r="K109" i="39"/>
  <c r="K35" i="39"/>
  <c r="K126" i="39"/>
  <c r="K111" i="39"/>
  <c r="K100" i="39"/>
  <c r="K28" i="39"/>
  <c r="K99" i="39"/>
  <c r="L27" i="39"/>
  <c r="K119" i="39"/>
  <c r="A75" i="39"/>
  <c r="A76" i="39"/>
  <c r="M91" i="39"/>
  <c r="I112" i="39"/>
  <c r="I91" i="39" s="1"/>
  <c r="A83" i="39"/>
  <c r="A84" i="39"/>
  <c r="I100" i="39"/>
  <c r="N100" i="39"/>
  <c r="C100" i="39"/>
  <c r="A101" i="39"/>
  <c r="C51" i="39"/>
  <c r="C50" i="39" s="1"/>
  <c r="J100" i="39"/>
  <c r="A69" i="39"/>
  <c r="C30" i="39"/>
  <c r="C40" i="39" s="1"/>
  <c r="L112" i="37"/>
  <c r="L91" i="37" s="1"/>
  <c r="K112" i="37"/>
  <c r="K75" i="37" s="1"/>
  <c r="J112" i="37"/>
  <c r="J91" i="37" s="1"/>
  <c r="I112" i="37"/>
  <c r="I75" i="37" s="1"/>
  <c r="J47" i="37"/>
  <c r="H112" i="37"/>
  <c r="H91" i="37" s="1"/>
  <c r="E137" i="37"/>
  <c r="E45" i="37"/>
  <c r="E110" i="37"/>
  <c r="C41" i="37"/>
  <c r="E47" i="37"/>
  <c r="E111" i="37"/>
  <c r="C40" i="37"/>
  <c r="C43" i="37"/>
  <c r="E119" i="37"/>
  <c r="C44" i="37"/>
  <c r="C52" i="37" s="1"/>
  <c r="C92" i="37" s="1"/>
  <c r="D112" i="37"/>
  <c r="D91" i="37" s="1"/>
  <c r="A67" i="37"/>
  <c r="A68" i="37"/>
  <c r="A84" i="37"/>
  <c r="A83" i="37"/>
  <c r="A99" i="37"/>
  <c r="F99" i="37" s="1"/>
  <c r="A100" i="37"/>
  <c r="N98" i="37"/>
  <c r="A77" i="37"/>
  <c r="C112" i="37"/>
  <c r="C91" i="37" s="1"/>
  <c r="M91" i="37"/>
  <c r="A93" i="37"/>
  <c r="A59" i="37"/>
  <c r="A60" i="37"/>
  <c r="N58" i="37"/>
  <c r="N66" i="37" s="1"/>
  <c r="N74" i="37" s="1"/>
  <c r="N82" i="37" s="1"/>
  <c r="N90" i="37" s="1"/>
  <c r="M75" i="37"/>
  <c r="F137" i="37"/>
  <c r="F126" i="37"/>
  <c r="F111" i="37"/>
  <c r="F106" i="37"/>
  <c r="F119" i="37"/>
  <c r="F107" i="37"/>
  <c r="F110" i="37"/>
  <c r="F28" i="37"/>
  <c r="F47" i="37" s="1"/>
  <c r="G27" i="37"/>
  <c r="F35" i="37"/>
  <c r="F118" i="37"/>
  <c r="F109" i="37"/>
  <c r="F108" i="37"/>
  <c r="F45" i="37"/>
  <c r="F100" i="37"/>
  <c r="F53" i="37"/>
  <c r="C77" i="35"/>
  <c r="L138" i="35"/>
  <c r="K138" i="35"/>
  <c r="J138" i="35"/>
  <c r="I138" i="35"/>
  <c r="H138" i="35"/>
  <c r="L137" i="35"/>
  <c r="K137" i="35"/>
  <c r="J137" i="35"/>
  <c r="I137" i="35"/>
  <c r="H137" i="35"/>
  <c r="C137" i="35"/>
  <c r="L133" i="35"/>
  <c r="K133" i="35"/>
  <c r="J133" i="35"/>
  <c r="I133" i="35"/>
  <c r="H133" i="35"/>
  <c r="L129" i="35"/>
  <c r="K129" i="35"/>
  <c r="J129" i="35"/>
  <c r="I129" i="35"/>
  <c r="H129" i="35"/>
  <c r="L127" i="35"/>
  <c r="K127" i="35"/>
  <c r="J127" i="35"/>
  <c r="I127" i="35"/>
  <c r="H127" i="35"/>
  <c r="A126" i="35"/>
  <c r="K126" i="35" s="1"/>
  <c r="A125" i="35"/>
  <c r="A124" i="35"/>
  <c r="L124" i="35" s="1"/>
  <c r="A123" i="35"/>
  <c r="H122" i="35"/>
  <c r="A122" i="35"/>
  <c r="J122" i="35" s="1"/>
  <c r="K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A111" i="35"/>
  <c r="M111" i="35" s="1"/>
  <c r="A110" i="35"/>
  <c r="J110" i="35" s="1"/>
  <c r="A109" i="35"/>
  <c r="J109" i="35" s="1"/>
  <c r="A108" i="35"/>
  <c r="K108" i="35" s="1"/>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A53" i="35"/>
  <c r="J53" i="35" s="1"/>
  <c r="A52" i="35"/>
  <c r="K52" i="35" s="1"/>
  <c r="A51" i="35"/>
  <c r="L51" i="35" s="1"/>
  <c r="A50" i="35"/>
  <c r="I50" i="35" s="1"/>
  <c r="I49" i="35"/>
  <c r="B49" i="35"/>
  <c r="A49" i="35"/>
  <c r="J49" i="35" s="1"/>
  <c r="K48" i="35"/>
  <c r="H48" i="35"/>
  <c r="A48" i="35"/>
  <c r="L48" i="35" s="1"/>
  <c r="L47" i="35"/>
  <c r="K47" i="35"/>
  <c r="J47" i="35"/>
  <c r="I47" i="35"/>
  <c r="H47" i="35"/>
  <c r="L45" i="35"/>
  <c r="A45" i="35"/>
  <c r="J45" i="35" s="1"/>
  <c r="I44" i="35"/>
  <c r="A44" i="35"/>
  <c r="J44" i="35" s="1"/>
  <c r="A43" i="35"/>
  <c r="I43" i="35" s="1"/>
  <c r="A42" i="35"/>
  <c r="L42" i="35" s="1"/>
  <c r="A41" i="35"/>
  <c r="L41" i="35" s="1"/>
  <c r="A40" i="35"/>
  <c r="J40" i="35" s="1"/>
  <c r="L39" i="35"/>
  <c r="K39" i="35"/>
  <c r="J39" i="35"/>
  <c r="I39" i="35"/>
  <c r="H39" i="35"/>
  <c r="J38" i="35"/>
  <c r="H38" i="35"/>
  <c r="C38" i="35"/>
  <c r="L37" i="35"/>
  <c r="K37" i="35"/>
  <c r="J37" i="35"/>
  <c r="I37" i="35"/>
  <c r="H37" i="35"/>
  <c r="C37" i="35"/>
  <c r="C39" i="35" s="1"/>
  <c r="A35" i="35"/>
  <c r="H35" i="35" s="1"/>
  <c r="A34" i="35"/>
  <c r="K34" i="35" s="1"/>
  <c r="A33" i="35"/>
  <c r="J33" i="35" s="1"/>
  <c r="A32" i="35"/>
  <c r="L32" i="35" s="1"/>
  <c r="A31" i="35"/>
  <c r="I31" i="35" s="1"/>
  <c r="J30" i="35"/>
  <c r="A30" i="35"/>
  <c r="K30" i="35" s="1"/>
  <c r="L29" i="35"/>
  <c r="K29" i="35"/>
  <c r="J29" i="35"/>
  <c r="I29" i="35"/>
  <c r="H29" i="35"/>
  <c r="C29" i="35"/>
  <c r="L28" i="35"/>
  <c r="K28" i="35"/>
  <c r="K38" i="35" s="1"/>
  <c r="J28" i="35"/>
  <c r="J130" i="35" s="1"/>
  <c r="I28" i="35"/>
  <c r="I38" i="35" s="1"/>
  <c r="H28" i="35"/>
  <c r="H130" i="35" s="1"/>
  <c r="D28" i="35"/>
  <c r="C28" i="35"/>
  <c r="C47" i="35" s="1"/>
  <c r="C24" i="35"/>
  <c r="B31" i="35" s="1"/>
  <c r="B24" i="35"/>
  <c r="B30" i="35" s="1"/>
  <c r="H129" i="33"/>
  <c r="I129" i="33"/>
  <c r="J129" i="33"/>
  <c r="K129" i="33"/>
  <c r="L129" i="33"/>
  <c r="C131" i="42" l="1"/>
  <c r="C135" i="42" s="1"/>
  <c r="C134" i="42"/>
  <c r="D38" i="42"/>
  <c r="D46" i="42" s="1"/>
  <c r="D92" i="44"/>
  <c r="D94" i="44" s="1"/>
  <c r="D125" i="44" s="1"/>
  <c r="E34" i="44" s="1"/>
  <c r="C49" i="39"/>
  <c r="L33" i="35"/>
  <c r="K110" i="35"/>
  <c r="H34" i="35"/>
  <c r="H51" i="35"/>
  <c r="H107" i="35"/>
  <c r="C111" i="35"/>
  <c r="L122" i="35"/>
  <c r="J34" i="35"/>
  <c r="K51" i="35"/>
  <c r="K107" i="35"/>
  <c r="I111" i="35"/>
  <c r="L107" i="35"/>
  <c r="L111" i="35"/>
  <c r="N111" i="35"/>
  <c r="K32" i="35"/>
  <c r="K42" i="35"/>
  <c r="H49" i="35"/>
  <c r="C53" i="35"/>
  <c r="H40" i="35"/>
  <c r="C109" i="35"/>
  <c r="L30" i="35"/>
  <c r="I35" i="35"/>
  <c r="L110" i="35"/>
  <c r="C33" i="35"/>
  <c r="C43" i="35" s="1"/>
  <c r="I40" i="35"/>
  <c r="H43" i="35"/>
  <c r="I109" i="35"/>
  <c r="N110" i="35"/>
  <c r="K33" i="35"/>
  <c r="K40" i="35"/>
  <c r="K109" i="35"/>
  <c r="H121" i="35"/>
  <c r="C32" i="35"/>
  <c r="H50" i="35"/>
  <c r="H53" i="35"/>
  <c r="N109" i="35"/>
  <c r="C108" i="35"/>
  <c r="C110" i="35"/>
  <c r="H111" i="35"/>
  <c r="H126" i="35"/>
  <c r="L40" i="35"/>
  <c r="H32" i="35"/>
  <c r="K50" i="35"/>
  <c r="H108" i="35"/>
  <c r="H110" i="35"/>
  <c r="I126" i="35"/>
  <c r="H30" i="35"/>
  <c r="I32" i="35"/>
  <c r="H42" i="35"/>
  <c r="I110" i="35"/>
  <c r="K111" i="35"/>
  <c r="K122" i="35"/>
  <c r="L126" i="35"/>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7" i="40"/>
  <c r="F53" i="40"/>
  <c r="F108" i="40"/>
  <c r="F111" i="40"/>
  <c r="F106" i="40"/>
  <c r="F119" i="40"/>
  <c r="F109" i="40"/>
  <c r="F107" i="40"/>
  <c r="F118" i="40"/>
  <c r="F28" i="40"/>
  <c r="F47" i="40" s="1"/>
  <c r="G27" i="40"/>
  <c r="F110"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N99"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7" i="39"/>
  <c r="F126" i="39"/>
  <c r="F111" i="39"/>
  <c r="F99" i="39"/>
  <c r="F106" i="39"/>
  <c r="F119" i="39"/>
  <c r="F109" i="39"/>
  <c r="F107" i="39"/>
  <c r="F100" i="39"/>
  <c r="F47" i="39"/>
  <c r="F35" i="39"/>
  <c r="F28" i="39"/>
  <c r="G27" i="39"/>
  <c r="F102" i="39"/>
  <c r="F53" i="39"/>
  <c r="F118" i="39"/>
  <c r="F108" i="39"/>
  <c r="F110" i="39"/>
  <c r="F45" i="39"/>
  <c r="L137"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7" i="37"/>
  <c r="G126" i="37"/>
  <c r="N60" i="37"/>
  <c r="A61" i="37"/>
  <c r="A78" i="37"/>
  <c r="I92" i="35"/>
  <c r="A93" i="35"/>
  <c r="L92" i="35"/>
  <c r="K92" i="35"/>
  <c r="J92" i="35"/>
  <c r="H92" i="35"/>
  <c r="C42" i="35"/>
  <c r="H99" i="35"/>
  <c r="N99" i="35"/>
  <c r="M99" i="35"/>
  <c r="K99" i="35"/>
  <c r="C99" i="35"/>
  <c r="J99" i="35"/>
  <c r="C31" i="35"/>
  <c r="C41" i="35" s="1"/>
  <c r="K31" i="35"/>
  <c r="I34" i="35"/>
  <c r="H44" i="35"/>
  <c r="J50" i="35"/>
  <c r="D53" i="35"/>
  <c r="I106" i="35"/>
  <c r="L106" i="35"/>
  <c r="K106" i="35"/>
  <c r="C106" i="35"/>
  <c r="D110" i="35"/>
  <c r="D118" i="35"/>
  <c r="K125" i="35"/>
  <c r="I125" i="35"/>
  <c r="H125" i="35"/>
  <c r="I130" i="35"/>
  <c r="L31" i="35"/>
  <c r="B34" i="35"/>
  <c r="B29" i="35" s="1"/>
  <c r="A74" i="35"/>
  <c r="N73" i="35"/>
  <c r="N98" i="35"/>
  <c r="K130" i="35"/>
  <c r="J31" i="35"/>
  <c r="D107" i="35"/>
  <c r="D137" i="35"/>
  <c r="D108" i="35"/>
  <c r="D126" i="35"/>
  <c r="D111" i="35"/>
  <c r="D106" i="35"/>
  <c r="D119" i="35"/>
  <c r="D109" i="35"/>
  <c r="D47" i="35"/>
  <c r="I30" i="35"/>
  <c r="J32"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8" i="35" s="1"/>
  <c r="K115" i="35"/>
  <c r="J118" i="35"/>
  <c r="I122" i="35"/>
  <c r="K124" i="35"/>
  <c r="H109" i="35"/>
  <c r="H119" i="35"/>
  <c r="C66" i="33"/>
  <c r="D66" i="33"/>
  <c r="D65" i="33"/>
  <c r="C65" i="33"/>
  <c r="D39" i="42" l="1"/>
  <c r="D84" i="44"/>
  <c r="C112" i="35"/>
  <c r="C59" i="35" s="1"/>
  <c r="C34" i="35"/>
  <c r="E59" i="40"/>
  <c r="E99" i="40"/>
  <c r="C68" i="40"/>
  <c r="F112" i="40"/>
  <c r="F83" i="40" s="1"/>
  <c r="E83" i="40"/>
  <c r="E91" i="40"/>
  <c r="E75" i="40"/>
  <c r="A62" i="40"/>
  <c r="N61" i="40"/>
  <c r="C78" i="40"/>
  <c r="C123" i="40" s="1"/>
  <c r="D32" i="40" s="1"/>
  <c r="G108" i="40"/>
  <c r="G111" i="40"/>
  <c r="G106" i="40"/>
  <c r="G119" i="40"/>
  <c r="G109" i="40"/>
  <c r="G107" i="40"/>
  <c r="G118" i="40"/>
  <c r="G110" i="40"/>
  <c r="G137"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N77" i="39" s="1"/>
  <c r="N85" i="39" s="1"/>
  <c r="N93" i="39" s="1"/>
  <c r="A62" i="39"/>
  <c r="L112" i="39"/>
  <c r="F112" i="39"/>
  <c r="A86" i="39"/>
  <c r="A78" i="39"/>
  <c r="G126" i="39"/>
  <c r="G106" i="39"/>
  <c r="G47" i="39"/>
  <c r="G119" i="39"/>
  <c r="G109" i="39"/>
  <c r="G100" i="39"/>
  <c r="G118" i="39"/>
  <c r="G110" i="39"/>
  <c r="G102" i="39"/>
  <c r="G45" i="39"/>
  <c r="G99" i="39"/>
  <c r="G35" i="39"/>
  <c r="G28" i="39"/>
  <c r="H27" i="39"/>
  <c r="G111" i="39"/>
  <c r="G53" i="39"/>
  <c r="G137"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5"/>
  <c r="D83" i="35" s="1"/>
  <c r="A94" i="35"/>
  <c r="A68" i="35"/>
  <c r="N66" i="35"/>
  <c r="N74" i="35" s="1"/>
  <c r="N82" i="35" s="1"/>
  <c r="N90" i="35" s="1"/>
  <c r="A67" i="35"/>
  <c r="K100" i="35"/>
  <c r="C100" i="35"/>
  <c r="I100" i="35"/>
  <c r="H100" i="35"/>
  <c r="A101" i="35"/>
  <c r="N100" i="35"/>
  <c r="L100" i="35"/>
  <c r="J100" i="35"/>
  <c r="D100" i="35"/>
  <c r="E118" i="35"/>
  <c r="E110" i="35"/>
  <c r="E108" i="35"/>
  <c r="E126" i="35"/>
  <c r="E111" i="35"/>
  <c r="E99" i="35"/>
  <c r="E119" i="35"/>
  <c r="E109" i="35"/>
  <c r="E100" i="35"/>
  <c r="E35" i="35"/>
  <c r="E45" i="35"/>
  <c r="E47" i="35"/>
  <c r="E106" i="35"/>
  <c r="E53" i="35"/>
  <c r="E137" i="35"/>
  <c r="E107" i="35"/>
  <c r="A86" i="35"/>
  <c r="N60" i="35"/>
  <c r="L60" i="35"/>
  <c r="J60" i="35"/>
  <c r="I60" i="35"/>
  <c r="K60" i="35"/>
  <c r="H60" i="35"/>
  <c r="A61" i="35"/>
  <c r="C44" i="35"/>
  <c r="C52" i="35" s="1"/>
  <c r="C92" i="35" s="1"/>
  <c r="A75" i="35"/>
  <c r="A76" i="35"/>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8" i="33"/>
  <c r="K138" i="33"/>
  <c r="J138" i="33"/>
  <c r="I138" i="33"/>
  <c r="H138" i="33"/>
  <c r="L137" i="33"/>
  <c r="K137" i="33"/>
  <c r="J137" i="33"/>
  <c r="I137" i="33"/>
  <c r="H137" i="33"/>
  <c r="C137"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L37" i="33"/>
  <c r="K37" i="33"/>
  <c r="J37" i="33"/>
  <c r="I37" i="33"/>
  <c r="H37" i="33"/>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K49" i="33" l="1"/>
  <c r="J49" i="33"/>
  <c r="L49" i="33"/>
  <c r="H49" i="33"/>
  <c r="I49" i="33"/>
  <c r="L48" i="33"/>
  <c r="I48" i="33"/>
  <c r="K48" i="33"/>
  <c r="H48" i="33"/>
  <c r="J48" i="33"/>
  <c r="H51" i="33"/>
  <c r="L51" i="33"/>
  <c r="I51" i="33"/>
  <c r="J51" i="33"/>
  <c r="K51" i="33"/>
  <c r="K50" i="33"/>
  <c r="L50" i="33"/>
  <c r="H50" i="33"/>
  <c r="I50" i="33"/>
  <c r="J50" i="33"/>
  <c r="D42" i="42"/>
  <c r="D43" i="42"/>
  <c r="D40" i="42"/>
  <c r="D41" i="42"/>
  <c r="D44" i="42"/>
  <c r="D52" i="42" s="1"/>
  <c r="D85" i="44"/>
  <c r="D117" i="44" s="1"/>
  <c r="D86" i="44"/>
  <c r="D124" i="44" s="1"/>
  <c r="E33" i="44" s="1"/>
  <c r="D76" i="44"/>
  <c r="D78" i="44" s="1"/>
  <c r="D123" i="44" s="1"/>
  <c r="E32" i="44" s="1"/>
  <c r="C83" i="35"/>
  <c r="C91" i="35"/>
  <c r="F67" i="40"/>
  <c r="F99" i="40"/>
  <c r="F59" i="40"/>
  <c r="F91" i="40"/>
  <c r="F75" i="40"/>
  <c r="G112" i="40"/>
  <c r="G83" i="40" s="1"/>
  <c r="H111" i="40"/>
  <c r="M111" i="40" s="1"/>
  <c r="H106" i="40"/>
  <c r="M106" i="40" s="1"/>
  <c r="H109" i="40"/>
  <c r="M109" i="40" s="1"/>
  <c r="H107" i="40"/>
  <c r="M107" i="40" s="1"/>
  <c r="H118" i="40"/>
  <c r="H110" i="40"/>
  <c r="M110" i="40" s="1"/>
  <c r="H137"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7"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7" i="35"/>
  <c r="F126" i="35"/>
  <c r="F111" i="35"/>
  <c r="F99" i="35"/>
  <c r="F106" i="35"/>
  <c r="F119" i="35"/>
  <c r="F109" i="35"/>
  <c r="F100" i="35"/>
  <c r="F107" i="35"/>
  <c r="F108" i="35"/>
  <c r="F45" i="35"/>
  <c r="F102"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8"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7" i="33"/>
  <c r="D138" i="33" s="1"/>
  <c r="E35" i="33"/>
  <c r="D51" i="42" l="1"/>
  <c r="D92" i="42"/>
  <c r="D94" i="42" s="1"/>
  <c r="D125" i="42" s="1"/>
  <c r="E34" i="42" s="1"/>
  <c r="D60" i="44"/>
  <c r="D62" i="44" s="1"/>
  <c r="D121" i="44" s="1"/>
  <c r="D68" i="44"/>
  <c r="D70" i="44" s="1"/>
  <c r="D122" i="44" s="1"/>
  <c r="E31" i="44" s="1"/>
  <c r="C62" i="37"/>
  <c r="C121" i="37" s="1"/>
  <c r="C127" i="37" s="1"/>
  <c r="G91" i="40"/>
  <c r="G99" i="40"/>
  <c r="G59" i="40"/>
  <c r="G67" i="40"/>
  <c r="G75" i="40"/>
  <c r="C127" i="40"/>
  <c r="D30" i="40"/>
  <c r="H47" i="40"/>
  <c r="H112" i="40"/>
  <c r="H99" i="40" s="1"/>
  <c r="G91" i="39"/>
  <c r="G75" i="39"/>
  <c r="G59" i="39"/>
  <c r="G67" i="39"/>
  <c r="H112" i="39"/>
  <c r="C127" i="39"/>
  <c r="D30" i="39"/>
  <c r="E59" i="35"/>
  <c r="E91" i="35"/>
  <c r="E83" i="35"/>
  <c r="E75" i="35"/>
  <c r="F112" i="35"/>
  <c r="F91" i="35" s="1"/>
  <c r="A70" i="35"/>
  <c r="N69" i="35"/>
  <c r="N77" i="35" s="1"/>
  <c r="N85" i="35" s="1"/>
  <c r="N93" i="35" s="1"/>
  <c r="G108" i="35"/>
  <c r="M108" i="35" s="1"/>
  <c r="G106" i="35"/>
  <c r="M106" i="35" s="1"/>
  <c r="G119" i="35"/>
  <c r="G109" i="35"/>
  <c r="M109" i="35" s="1"/>
  <c r="G107" i="35"/>
  <c r="G118" i="35"/>
  <c r="G110" i="35"/>
  <c r="M110" i="35" s="1"/>
  <c r="G102" i="35"/>
  <c r="G53" i="35"/>
  <c r="G126" i="35"/>
  <c r="G45" i="35"/>
  <c r="G99" i="35"/>
  <c r="G28" i="35"/>
  <c r="G137" i="35"/>
  <c r="G111" i="35"/>
  <c r="G100" i="35"/>
  <c r="G35" i="35"/>
  <c r="N102" i="35"/>
  <c r="K102" i="35"/>
  <c r="C102" i="35"/>
  <c r="J102" i="35"/>
  <c r="H102" i="35"/>
  <c r="I102" i="35"/>
  <c r="L102" i="35"/>
  <c r="D102" i="35"/>
  <c r="E102" i="35"/>
  <c r="A78" i="35"/>
  <c r="L62" i="35"/>
  <c r="K62" i="35"/>
  <c r="N62" i="35"/>
  <c r="J62" i="35"/>
  <c r="I62" i="35"/>
  <c r="H62" i="35"/>
  <c r="C50" i="35"/>
  <c r="C84" i="35"/>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7" i="33"/>
  <c r="E45" i="33"/>
  <c r="E27" i="33"/>
  <c r="E47" i="33" s="1"/>
  <c r="F35" i="33"/>
  <c r="C41" i="33"/>
  <c r="C30" i="33"/>
  <c r="C84" i="33" l="1"/>
  <c r="C50" i="33"/>
  <c r="C48" i="33" s="1"/>
  <c r="D50" i="42"/>
  <c r="D84" i="42"/>
  <c r="D127" i="44"/>
  <c r="E30" i="44"/>
  <c r="E138" i="33"/>
  <c r="D30" i="37"/>
  <c r="H83" i="40"/>
  <c r="H75" i="40"/>
  <c r="H67" i="40"/>
  <c r="H59" i="40"/>
  <c r="H91" i="40"/>
  <c r="C129" i="40"/>
  <c r="C130" i="40"/>
  <c r="D29" i="40"/>
  <c r="C129" i="39"/>
  <c r="C130" i="39"/>
  <c r="D29" i="39"/>
  <c r="H91" i="39"/>
  <c r="H67" i="39"/>
  <c r="H83" i="39"/>
  <c r="H59" i="39"/>
  <c r="H75" i="39"/>
  <c r="C129" i="37"/>
  <c r="C130" i="37"/>
  <c r="D29" i="37"/>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7" i="33"/>
  <c r="C40" i="33"/>
  <c r="C49" i="33" l="1"/>
  <c r="C68" i="33" s="1"/>
  <c r="C60" i="33"/>
  <c r="D85" i="42"/>
  <c r="D117" i="42" s="1"/>
  <c r="D76" i="42"/>
  <c r="D78" i="42" s="1"/>
  <c r="D123" i="42" s="1"/>
  <c r="E32" i="42" s="1"/>
  <c r="D49" i="42"/>
  <c r="D129" i="44"/>
  <c r="E29" i="44"/>
  <c r="D130" i="44"/>
  <c r="C131" i="40"/>
  <c r="C135" i="40" s="1"/>
  <c r="C134" i="40"/>
  <c r="D38" i="40"/>
  <c r="D69" i="40" s="1"/>
  <c r="D115" i="40" s="1"/>
  <c r="D138" i="40" s="1"/>
  <c r="C132" i="40"/>
  <c r="C134" i="39"/>
  <c r="C131" i="39"/>
  <c r="C135" i="39" s="1"/>
  <c r="D38" i="39"/>
  <c r="D69" i="39" s="1"/>
  <c r="D115" i="39" s="1"/>
  <c r="D138" i="39" s="1"/>
  <c r="C132" i="39"/>
  <c r="D38" i="37"/>
  <c r="D69" i="37" s="1"/>
  <c r="D115" i="37" s="1"/>
  <c r="D138" i="37" s="1"/>
  <c r="C132" i="37"/>
  <c r="C131" i="37"/>
  <c r="C135" i="37" s="1"/>
  <c r="C134" i="37"/>
  <c r="D37" i="40"/>
  <c r="D37" i="39"/>
  <c r="D37" i="37"/>
  <c r="G59" i="35"/>
  <c r="G67" i="35"/>
  <c r="G91" i="35"/>
  <c r="G75" i="35"/>
  <c r="C48" i="35"/>
  <c r="C60" i="35" s="1"/>
  <c r="C61" i="35" s="1"/>
  <c r="C68" i="35"/>
  <c r="C86" i="35"/>
  <c r="C124" i="35" s="1"/>
  <c r="D33" i="35" s="1"/>
  <c r="G100" i="33"/>
  <c r="G35" i="33"/>
  <c r="G99" i="33"/>
  <c r="F138"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7" i="33"/>
  <c r="D86" i="42" l="1"/>
  <c r="D124" i="42" s="1"/>
  <c r="E33" i="42" s="1"/>
  <c r="D48" i="42"/>
  <c r="D60" i="42" s="1"/>
  <c r="D62" i="42" s="1"/>
  <c r="D121" i="42" s="1"/>
  <c r="D68" i="42"/>
  <c r="D70" i="42" s="1"/>
  <c r="D122" i="42" s="1"/>
  <c r="E31" i="42" s="1"/>
  <c r="D39" i="39"/>
  <c r="D44" i="39" s="1"/>
  <c r="D52" i="39" s="1"/>
  <c r="D46" i="39"/>
  <c r="D77" i="39" s="1"/>
  <c r="D116" i="39" s="1"/>
  <c r="D46" i="40"/>
  <c r="D77" i="40" s="1"/>
  <c r="D116" i="40" s="1"/>
  <c r="D39" i="40"/>
  <c r="D45" i="40" s="1"/>
  <c r="D100" i="40" s="1"/>
  <c r="D102" i="40" s="1"/>
  <c r="D126" i="40" s="1"/>
  <c r="E35" i="40" s="1"/>
  <c r="D132" i="44"/>
  <c r="E38" i="44"/>
  <c r="E46" i="44" s="1"/>
  <c r="D131" i="44"/>
  <c r="D135" i="44" s="1"/>
  <c r="D134" i="44"/>
  <c r="E37" i="44"/>
  <c r="E39" i="44" s="1"/>
  <c r="D46" i="37"/>
  <c r="D77" i="37" s="1"/>
  <c r="D116" i="37" s="1"/>
  <c r="D39" i="37"/>
  <c r="D40" i="37" s="1"/>
  <c r="C70" i="35"/>
  <c r="C122" i="35" s="1"/>
  <c r="D31" i="35" s="1"/>
  <c r="C114" i="35"/>
  <c r="C70" i="33"/>
  <c r="C122" i="33" s="1"/>
  <c r="D31" i="33" s="1"/>
  <c r="F67" i="33"/>
  <c r="F83" i="33"/>
  <c r="F91" i="33"/>
  <c r="F75" i="33"/>
  <c r="G112" i="33"/>
  <c r="G59" i="33" s="1"/>
  <c r="M106" i="33"/>
  <c r="G138"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30" i="42" l="1"/>
  <c r="D127" i="42"/>
  <c r="D42" i="39"/>
  <c r="D40" i="39"/>
  <c r="D43" i="39"/>
  <c r="D41" i="39"/>
  <c r="D42" i="40"/>
  <c r="D40" i="40"/>
  <c r="D41" i="40"/>
  <c r="D44" i="40"/>
  <c r="D52" i="40" s="1"/>
  <c r="D92" i="40" s="1"/>
  <c r="D94" i="40" s="1"/>
  <c r="D125" i="40" s="1"/>
  <c r="E34" i="40" s="1"/>
  <c r="D43" i="40"/>
  <c r="E40" i="44"/>
  <c r="E44" i="44"/>
  <c r="E42" i="44"/>
  <c r="E43" i="44"/>
  <c r="E41" i="44"/>
  <c r="D42" i="37"/>
  <c r="D41" i="37"/>
  <c r="D44" i="37"/>
  <c r="D52" i="37" s="1"/>
  <c r="D51" i="37" s="1"/>
  <c r="D43" i="37"/>
  <c r="C62" i="35"/>
  <c r="C121" i="35" s="1"/>
  <c r="D51" i="39"/>
  <c r="D92" i="39"/>
  <c r="D94" i="39" s="1"/>
  <c r="D125" i="39" s="1"/>
  <c r="E34" i="39" s="1"/>
  <c r="G67" i="33"/>
  <c r="G75" i="33"/>
  <c r="G83" i="33"/>
  <c r="G91" i="33"/>
  <c r="C62" i="33"/>
  <c r="C121" i="33" s="1"/>
  <c r="D30" i="33" s="1"/>
  <c r="E29" i="42" l="1"/>
  <c r="D130" i="42"/>
  <c r="D129" i="42"/>
  <c r="D51" i="40"/>
  <c r="D84" i="40" s="1"/>
  <c r="E92" i="44"/>
  <c r="E94" i="44" s="1"/>
  <c r="E125" i="44" s="1"/>
  <c r="F34" i="44" s="1"/>
  <c r="D92" i="37"/>
  <c r="D94" i="37" s="1"/>
  <c r="D125" i="37" s="1"/>
  <c r="E34" i="37" s="1"/>
  <c r="C127" i="35"/>
  <c r="D30" i="35"/>
  <c r="D50" i="39"/>
  <c r="D76" i="39" s="1"/>
  <c r="D78" i="39" s="1"/>
  <c r="D123" i="39" s="1"/>
  <c r="E32" i="39" s="1"/>
  <c r="D84" i="39"/>
  <c r="D50" i="37"/>
  <c r="D76" i="37" s="1"/>
  <c r="D78" i="37" s="1"/>
  <c r="D123" i="37" s="1"/>
  <c r="E32" i="37" s="1"/>
  <c r="D84" i="37"/>
  <c r="E37" i="42" l="1"/>
  <c r="D131" i="42"/>
  <c r="D135" i="42" s="1"/>
  <c r="D134" i="42"/>
  <c r="D132" i="42"/>
  <c r="E38" i="42"/>
  <c r="E46" i="42" s="1"/>
  <c r="D50" i="40"/>
  <c r="D76" i="40" s="1"/>
  <c r="D78" i="40" s="1"/>
  <c r="D123" i="40" s="1"/>
  <c r="E32" i="40" s="1"/>
  <c r="E84" i="44"/>
  <c r="C129" i="35"/>
  <c r="C131" i="35" s="1"/>
  <c r="C135" i="35" s="1"/>
  <c r="C130" i="35"/>
  <c r="D29" i="35"/>
  <c r="D85" i="40"/>
  <c r="D117" i="40" s="1"/>
  <c r="D85" i="39"/>
  <c r="D117" i="39" s="1"/>
  <c r="D49" i="39"/>
  <c r="D49" i="37"/>
  <c r="D48" i="37" s="1"/>
  <c r="D60" i="37" s="1"/>
  <c r="D85" i="37"/>
  <c r="D117" i="37" s="1"/>
  <c r="E39" i="42" l="1"/>
  <c r="D49" i="40"/>
  <c r="D68" i="40" s="1"/>
  <c r="D70" i="40" s="1"/>
  <c r="D122" i="40" s="1"/>
  <c r="E31" i="40" s="1"/>
  <c r="E85" i="44"/>
  <c r="E117" i="44" s="1"/>
  <c r="E86" i="44"/>
  <c r="E124" i="44" s="1"/>
  <c r="F33" i="44" s="1"/>
  <c r="E76" i="44"/>
  <c r="E78" i="44" s="1"/>
  <c r="E123" i="44" s="1"/>
  <c r="F32" i="44" s="1"/>
  <c r="D38" i="35"/>
  <c r="D69" i="35" s="1"/>
  <c r="D115" i="35" s="1"/>
  <c r="D138" i="35" s="1"/>
  <c r="C132" i="35"/>
  <c r="D37" i="35"/>
  <c r="C134" i="35"/>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E42" i="42" l="1"/>
  <c r="E44" i="42"/>
  <c r="E52" i="42" s="1"/>
  <c r="E43" i="42"/>
  <c r="E40" i="42"/>
  <c r="E41" i="42"/>
  <c r="D48" i="40"/>
  <c r="D60" i="40" s="1"/>
  <c r="D61" i="40" s="1"/>
  <c r="D114" i="40" s="1"/>
  <c r="E60" i="44"/>
  <c r="E62" i="44" s="1"/>
  <c r="E121" i="44" s="1"/>
  <c r="E68" i="44"/>
  <c r="E70" i="44" s="1"/>
  <c r="E122" i="44" s="1"/>
  <c r="F31" i="44" s="1"/>
  <c r="D39" i="35"/>
  <c r="D43" i="35" s="1"/>
  <c r="D46" i="35"/>
  <c r="D77" i="35" s="1"/>
  <c r="D116" i="35" s="1"/>
  <c r="D61" i="39"/>
  <c r="D114" i="39" s="1"/>
  <c r="D62" i="37"/>
  <c r="D121" i="37" s="1"/>
  <c r="E30" i="37" s="1"/>
  <c r="E51" i="42" l="1"/>
  <c r="E92" i="42"/>
  <c r="E94" i="42" s="1"/>
  <c r="E125" i="42" s="1"/>
  <c r="D62" i="40"/>
  <c r="D121" i="40" s="1"/>
  <c r="E30" i="40" s="1"/>
  <c r="E127" i="44"/>
  <c r="F30" i="44"/>
  <c r="D44" i="35"/>
  <c r="D52" i="35" s="1"/>
  <c r="D51" i="35" s="1"/>
  <c r="D41" i="35"/>
  <c r="D42" i="35"/>
  <c r="D40" i="35"/>
  <c r="D62" i="39"/>
  <c r="D121" i="39" s="1"/>
  <c r="D127" i="39" s="1"/>
  <c r="D127" i="37"/>
  <c r="E29" i="37" s="1"/>
  <c r="E50" i="42" l="1"/>
  <c r="E84" i="42"/>
  <c r="D127" i="40"/>
  <c r="D129" i="40" s="1"/>
  <c r="E129" i="44"/>
  <c r="F29" i="44"/>
  <c r="E130" i="44"/>
  <c r="D92" i="35"/>
  <c r="D94" i="35" s="1"/>
  <c r="D125" i="35" s="1"/>
  <c r="E34" i="35" s="1"/>
  <c r="D84" i="35"/>
  <c r="D85" i="35" s="1"/>
  <c r="D117" i="35" s="1"/>
  <c r="D50" i="35"/>
  <c r="E30" i="39"/>
  <c r="D129" i="39"/>
  <c r="E29" i="39"/>
  <c r="D130" i="39"/>
  <c r="D129" i="37"/>
  <c r="D130" i="37"/>
  <c r="D130" i="40" l="1"/>
  <c r="D132" i="40" s="1"/>
  <c r="E29" i="40"/>
  <c r="E85" i="42"/>
  <c r="E117" i="42" s="1"/>
  <c r="E49" i="42"/>
  <c r="E76" i="42"/>
  <c r="E78" i="42" s="1"/>
  <c r="E123" i="42" s="1"/>
  <c r="E132" i="44"/>
  <c r="F38" i="44"/>
  <c r="F46" i="44" s="1"/>
  <c r="E131" i="44"/>
  <c r="E135" i="44" s="1"/>
  <c r="E134" i="44"/>
  <c r="F37" i="44"/>
  <c r="F39" i="44" s="1"/>
  <c r="D134" i="40"/>
  <c r="D131" i="40"/>
  <c r="D135" i="40" s="1"/>
  <c r="D131" i="39"/>
  <c r="D135" i="39" s="1"/>
  <c r="D134" i="39"/>
  <c r="E38" i="39"/>
  <c r="E69" i="39" s="1"/>
  <c r="E115" i="39" s="1"/>
  <c r="E138" i="39" s="1"/>
  <c r="D132" i="39"/>
  <c r="D131" i="37"/>
  <c r="D135" i="37" s="1"/>
  <c r="D134" i="37"/>
  <c r="E38" i="37"/>
  <c r="E69" i="37" s="1"/>
  <c r="E115" i="37" s="1"/>
  <c r="E138" i="37" s="1"/>
  <c r="D132" i="37"/>
  <c r="D86" i="35"/>
  <c r="D124" i="35" s="1"/>
  <c r="E33" i="35" s="1"/>
  <c r="D76" i="35"/>
  <c r="D78" i="35" s="1"/>
  <c r="D123" i="35" s="1"/>
  <c r="E32" i="35" s="1"/>
  <c r="D49" i="35"/>
  <c r="E37" i="40"/>
  <c r="E37" i="39"/>
  <c r="E37" i="37"/>
  <c r="E38" i="40" l="1"/>
  <c r="E69" i="40" s="1"/>
  <c r="E115" i="40" s="1"/>
  <c r="E138" i="40" s="1"/>
  <c r="E86" i="42"/>
  <c r="E124" i="42" s="1"/>
  <c r="E48" i="42"/>
  <c r="E60" i="42" s="1"/>
  <c r="E62" i="42" s="1"/>
  <c r="E121" i="42" s="1"/>
  <c r="E68" i="42"/>
  <c r="E70" i="42" s="1"/>
  <c r="E122" i="42" s="1"/>
  <c r="E39" i="37"/>
  <c r="E40" i="37" s="1"/>
  <c r="F40" i="44"/>
  <c r="F41" i="44"/>
  <c r="F43" i="44"/>
  <c r="F42" i="44"/>
  <c r="F44" i="44"/>
  <c r="E46" i="39"/>
  <c r="E77" i="39" s="1"/>
  <c r="E116" i="39" s="1"/>
  <c r="E39" i="39"/>
  <c r="E43" i="39" s="1"/>
  <c r="E46" i="37"/>
  <c r="E77" i="37" s="1"/>
  <c r="E116" i="37" s="1"/>
  <c r="D48" i="35"/>
  <c r="D60" i="35" s="1"/>
  <c r="D68" i="35"/>
  <c r="D70" i="35" s="1"/>
  <c r="D122" i="35" s="1"/>
  <c r="E31" i="35" s="1"/>
  <c r="E39" i="40" l="1"/>
  <c r="E45" i="40" s="1"/>
  <c r="E100" i="40" s="1"/>
  <c r="E101" i="40" s="1"/>
  <c r="E119" i="40" s="1"/>
  <c r="E46" i="40"/>
  <c r="E77" i="40" s="1"/>
  <c r="E116" i="40" s="1"/>
  <c r="E127" i="42"/>
  <c r="E44" i="37"/>
  <c r="E52" i="37" s="1"/>
  <c r="E51" i="37" s="1"/>
  <c r="E50" i="37" s="1"/>
  <c r="E41" i="37"/>
  <c r="E42" i="37"/>
  <c r="E43" i="37"/>
  <c r="F92" i="44"/>
  <c r="F94" i="44" s="1"/>
  <c r="F125" i="44" s="1"/>
  <c r="G34" i="44" s="1"/>
  <c r="E42" i="39"/>
  <c r="E44" i="39"/>
  <c r="E52" i="39" s="1"/>
  <c r="E51" i="39" s="1"/>
  <c r="E41" i="39"/>
  <c r="E40" i="39"/>
  <c r="D61" i="35"/>
  <c r="D114" i="35"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44" i="40" l="1"/>
  <c r="E52" i="40" s="1"/>
  <c r="E51" i="40" s="1"/>
  <c r="E50" i="40" s="1"/>
  <c r="E40" i="40"/>
  <c r="E41" i="40"/>
  <c r="E102" i="40"/>
  <c r="E126" i="40" s="1"/>
  <c r="F35" i="40" s="1"/>
  <c r="E42" i="40"/>
  <c r="E43" i="40"/>
  <c r="E130" i="42"/>
  <c r="E132" i="42" s="1"/>
  <c r="E129" i="42"/>
  <c r="E76" i="37"/>
  <c r="E78" i="37" s="1"/>
  <c r="E123" i="37" s="1"/>
  <c r="F32" i="37" s="1"/>
  <c r="E84" i="37"/>
  <c r="E85" i="37" s="1"/>
  <c r="E117" i="37" s="1"/>
  <c r="E92" i="37"/>
  <c r="E94" i="37" s="1"/>
  <c r="E125" i="37" s="1"/>
  <c r="F34" i="37" s="1"/>
  <c r="F76" i="44"/>
  <c r="F78" i="44" s="1"/>
  <c r="F123" i="44" s="1"/>
  <c r="G32" i="44" s="1"/>
  <c r="F84" i="44"/>
  <c r="E92" i="39"/>
  <c r="E94" i="39" s="1"/>
  <c r="E125" i="39" s="1"/>
  <c r="F34" i="39" s="1"/>
  <c r="D62" i="35"/>
  <c r="D121" i="35" s="1"/>
  <c r="E30" i="35" s="1"/>
  <c r="E50" i="39"/>
  <c r="E84" i="39"/>
  <c r="E49" i="37"/>
  <c r="E48" i="37" s="1"/>
  <c r="E60" i="37" s="1"/>
  <c r="D38" i="16"/>
  <c r="D37" i="16" s="1"/>
  <c r="C37" i="16"/>
  <c r="C32" i="16"/>
  <c r="C33" i="16"/>
  <c r="C55" i="16" s="1"/>
  <c r="D26" i="16" s="1"/>
  <c r="C34" i="16"/>
  <c r="C47" i="16" s="1"/>
  <c r="C56" i="16" s="1"/>
  <c r="D51" i="16"/>
  <c r="E22" i="16"/>
  <c r="E92" i="40" l="1"/>
  <c r="E94" i="40" s="1"/>
  <c r="E125" i="40" s="1"/>
  <c r="F34" i="40" s="1"/>
  <c r="E84" i="40"/>
  <c r="E85" i="40" s="1"/>
  <c r="E117" i="40" s="1"/>
  <c r="E134" i="42"/>
  <c r="E131" i="42"/>
  <c r="E135" i="42" s="1"/>
  <c r="F85" i="44"/>
  <c r="F117" i="44" s="1"/>
  <c r="F86" i="44"/>
  <c r="F124" i="44" s="1"/>
  <c r="G33" i="44" s="1"/>
  <c r="D127" i="35"/>
  <c r="D130" i="35"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D50" i="16"/>
  <c r="D60" i="16" s="1"/>
  <c r="E59" i="16"/>
  <c r="E23" i="16"/>
  <c r="E35" i="16"/>
  <c r="E36" i="16" s="1"/>
  <c r="F22" i="16"/>
  <c r="E51" i="16"/>
  <c r="F60" i="44" l="1"/>
  <c r="F62" i="44" s="1"/>
  <c r="F121" i="44" s="1"/>
  <c r="F68" i="44"/>
  <c r="F70" i="44" s="1"/>
  <c r="F122" i="44" s="1"/>
  <c r="G31" i="44" s="1"/>
  <c r="E38" i="35"/>
  <c r="E69" i="35" s="1"/>
  <c r="E115" i="35" s="1"/>
  <c r="E138" i="35" s="1"/>
  <c r="D132" i="35"/>
  <c r="D129" i="35"/>
  <c r="E29" i="35"/>
  <c r="E86" i="40"/>
  <c r="E124" i="40" s="1"/>
  <c r="F33" i="40" s="1"/>
  <c r="E48" i="40"/>
  <c r="E60" i="40" s="1"/>
  <c r="E68" i="40"/>
  <c r="E70" i="40" s="1"/>
  <c r="E122" i="40" s="1"/>
  <c r="F31" i="40" s="1"/>
  <c r="E48" i="39"/>
  <c r="E60" i="39" s="1"/>
  <c r="E68" i="39"/>
  <c r="E70" i="39" s="1"/>
  <c r="E122" i="39" s="1"/>
  <c r="F31" i="39" s="1"/>
  <c r="E86" i="39"/>
  <c r="E124" i="39" s="1"/>
  <c r="F33" i="39" s="1"/>
  <c r="E62" i="37"/>
  <c r="E121" i="37" s="1"/>
  <c r="C49" i="16"/>
  <c r="C54" i="16" s="1"/>
  <c r="E38" i="16"/>
  <c r="E37" i="16" s="1"/>
  <c r="F35" i="16"/>
  <c r="G22" i="16"/>
  <c r="F51" i="16"/>
  <c r="F23" i="16"/>
  <c r="F36" i="16"/>
  <c r="F38" i="16" s="1"/>
  <c r="F59" i="16"/>
  <c r="F127" i="44" l="1"/>
  <c r="G30" i="44"/>
  <c r="E37" i="35"/>
  <c r="E39" i="35" s="1"/>
  <c r="E44" i="35" s="1"/>
  <c r="E52" i="35" s="1"/>
  <c r="E51" i="35" s="1"/>
  <c r="D131" i="35"/>
  <c r="D135" i="35" s="1"/>
  <c r="E46" i="35"/>
  <c r="E77" i="35" s="1"/>
  <c r="E116" i="35" s="1"/>
  <c r="D134" i="35"/>
  <c r="E61" i="40"/>
  <c r="E114" i="40" s="1"/>
  <c r="E61" i="39"/>
  <c r="E114" i="39" s="1"/>
  <c r="E127" i="37"/>
  <c r="F30" i="37"/>
  <c r="D25" i="16"/>
  <c r="C57" i="16"/>
  <c r="D24" i="16" s="1"/>
  <c r="D29" i="16" s="1"/>
  <c r="F37" i="16"/>
  <c r="G51" i="16"/>
  <c r="H22" i="16"/>
  <c r="G35" i="16"/>
  <c r="G23" i="16"/>
  <c r="G36" i="16"/>
  <c r="G59" i="16"/>
  <c r="F129" i="44" l="1"/>
  <c r="G29" i="44"/>
  <c r="F130" i="44"/>
  <c r="E40" i="35"/>
  <c r="E43" i="35"/>
  <c r="E84" i="35" s="1"/>
  <c r="E41" i="35"/>
  <c r="E42" i="35"/>
  <c r="E92" i="35"/>
  <c r="E94" i="35" s="1"/>
  <c r="E125" i="35" s="1"/>
  <c r="F34" i="35" s="1"/>
  <c r="E62" i="40"/>
  <c r="E121" i="40" s="1"/>
  <c r="E62" i="39"/>
  <c r="E121" i="39" s="1"/>
  <c r="E127" i="39" s="1"/>
  <c r="E129" i="37"/>
  <c r="E134" i="37" s="1"/>
  <c r="E130" i="37"/>
  <c r="F29" i="37"/>
  <c r="E50"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38" i="44" l="1"/>
  <c r="G46" i="44" s="1"/>
  <c r="F132" i="44"/>
  <c r="F131" i="44"/>
  <c r="F135" i="44" s="1"/>
  <c r="F134" i="44"/>
  <c r="G37" i="44"/>
  <c r="G39" i="44" s="1"/>
  <c r="E131" i="37"/>
  <c r="E135" i="37" s="1"/>
  <c r="F38" i="37"/>
  <c r="F46" i="37" s="1"/>
  <c r="F77" i="37" s="1"/>
  <c r="F116" i="37" s="1"/>
  <c r="E132" i="37"/>
  <c r="E127" i="40"/>
  <c r="F30" i="40"/>
  <c r="F30" i="39"/>
  <c r="E129" i="39"/>
  <c r="F29" i="39"/>
  <c r="E130" i="39"/>
  <c r="F37" i="37"/>
  <c r="F39" i="37"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G42" i="44" l="1"/>
  <c r="G44" i="44"/>
  <c r="G43" i="44"/>
  <c r="G41" i="44"/>
  <c r="G40" i="44"/>
  <c r="E131" i="39"/>
  <c r="E135" i="39" s="1"/>
  <c r="E134" i="39"/>
  <c r="F38" i="39"/>
  <c r="F46" i="39" s="1"/>
  <c r="F77" i="39" s="1"/>
  <c r="F116" i="39" s="1"/>
  <c r="E132" i="39"/>
  <c r="F69" i="37"/>
  <c r="F115" i="37" s="1"/>
  <c r="F138" i="37" s="1"/>
  <c r="E129" i="40"/>
  <c r="F29" i="40"/>
  <c r="E130" i="40"/>
  <c r="F37" i="39"/>
  <c r="F40" i="37"/>
  <c r="F44" i="37"/>
  <c r="F52" i="37" s="1"/>
  <c r="F41" i="37"/>
  <c r="F43" i="37"/>
  <c r="F42" i="37"/>
  <c r="E48" i="35"/>
  <c r="E60" i="35" s="1"/>
  <c r="E61" i="35" s="1"/>
  <c r="E68" i="35"/>
  <c r="E70" i="35" s="1"/>
  <c r="E122" i="35" s="1"/>
  <c r="F31" i="35" s="1"/>
  <c r="E86" i="35"/>
  <c r="E124" i="35" s="1"/>
  <c r="F33" i="35" s="1"/>
  <c r="I38" i="16"/>
  <c r="I37" i="16" s="1"/>
  <c r="D57" i="16"/>
  <c r="E24" i="16" s="1"/>
  <c r="E25" i="16"/>
  <c r="J36" i="16"/>
  <c r="J38" i="16" s="1"/>
  <c r="J23" i="16"/>
  <c r="J35" i="16"/>
  <c r="J59" i="16"/>
  <c r="K22" i="16"/>
  <c r="J51" i="16"/>
  <c r="G92" i="44" l="1"/>
  <c r="G94" i="44" s="1"/>
  <c r="G125" i="44" s="1"/>
  <c r="F38" i="40"/>
  <c r="F46" i="40" s="1"/>
  <c r="F77" i="40" s="1"/>
  <c r="F116" i="40" s="1"/>
  <c r="E132" i="40"/>
  <c r="E131" i="40"/>
  <c r="E135" i="40" s="1"/>
  <c r="E134" i="40"/>
  <c r="F39" i="39"/>
  <c r="F41" i="39" s="1"/>
  <c r="F69" i="39"/>
  <c r="F115" i="39" s="1"/>
  <c r="F138" i="39" s="1"/>
  <c r="F37" i="40"/>
  <c r="F51" i="37"/>
  <c r="F92" i="37"/>
  <c r="F94" i="37" s="1"/>
  <c r="F125" i="37" s="1"/>
  <c r="G34" i="37" s="1"/>
  <c r="E114" i="35"/>
  <c r="J37" i="16"/>
  <c r="K36" i="16"/>
  <c r="K59" i="16"/>
  <c r="K23" i="16"/>
  <c r="K35" i="16"/>
  <c r="L22" i="16"/>
  <c r="K51" i="16"/>
  <c r="E27" i="16"/>
  <c r="E29" i="16"/>
  <c r="E31" i="16" s="1"/>
  <c r="E30" i="16"/>
  <c r="F39" i="40" l="1"/>
  <c r="F45" i="40" s="1"/>
  <c r="F100" i="40" s="1"/>
  <c r="F102" i="40" s="1"/>
  <c r="F126" i="40" s="1"/>
  <c r="G35" i="40" s="1"/>
  <c r="F69" i="40"/>
  <c r="F115" i="40" s="1"/>
  <c r="F138" i="40" s="1"/>
  <c r="G76" i="44"/>
  <c r="G78" i="44" s="1"/>
  <c r="G123" i="44" s="1"/>
  <c r="G84" i="44"/>
  <c r="F43" i="39"/>
  <c r="F44" i="39"/>
  <c r="F52" i="39" s="1"/>
  <c r="F92" i="39" s="1"/>
  <c r="F94" i="39" s="1"/>
  <c r="F125" i="39" s="1"/>
  <c r="G34" i="39" s="1"/>
  <c r="F42" i="39"/>
  <c r="F40" i="39"/>
  <c r="F50" i="37"/>
  <c r="F84" i="37"/>
  <c r="E62" i="35"/>
  <c r="E121" i="35" s="1"/>
  <c r="L36" i="16"/>
  <c r="L59" i="16"/>
  <c r="L23" i="16"/>
  <c r="L35" i="16"/>
  <c r="L38" i="16"/>
  <c r="L51" i="16"/>
  <c r="L37" i="16"/>
  <c r="K38" i="16"/>
  <c r="K37" i="16" s="1"/>
  <c r="E33" i="16"/>
  <c r="E46" i="16" s="1"/>
  <c r="E55" i="16" s="1"/>
  <c r="F26" i="16" s="1"/>
  <c r="E32" i="16"/>
  <c r="E45" i="16" s="1"/>
  <c r="E34" i="16"/>
  <c r="E47" i="16" s="1"/>
  <c r="E56" i="16" s="1"/>
  <c r="F44" i="40" l="1"/>
  <c r="F52" i="40" s="1"/>
  <c r="F51" i="40" s="1"/>
  <c r="F40" i="40"/>
  <c r="F43" i="40"/>
  <c r="F42" i="40"/>
  <c r="F41" i="40"/>
  <c r="F51" i="39"/>
  <c r="F50" i="39" s="1"/>
  <c r="F76" i="39" s="1"/>
  <c r="F78" i="39" s="1"/>
  <c r="F123" i="39" s="1"/>
  <c r="G32" i="39" s="1"/>
  <c r="G60" i="44"/>
  <c r="G62" i="44" s="1"/>
  <c r="G121" i="44" s="1"/>
  <c r="G68" i="44"/>
  <c r="G70" i="44" s="1"/>
  <c r="G122" i="44" s="1"/>
  <c r="G85" i="44"/>
  <c r="G117" i="44" s="1"/>
  <c r="F85" i="37"/>
  <c r="F117" i="37" s="1"/>
  <c r="F76" i="37"/>
  <c r="F78" i="37" s="1"/>
  <c r="F123" i="37" s="1"/>
  <c r="G32" i="37" s="1"/>
  <c r="F49" i="37"/>
  <c r="F30" i="35"/>
  <c r="E127" i="35"/>
  <c r="E49" i="16"/>
  <c r="E54" i="16" s="1"/>
  <c r="F50" i="16"/>
  <c r="F60" i="16" s="1"/>
  <c r="F92" i="40" l="1"/>
  <c r="F94" i="40" s="1"/>
  <c r="F125" i="40" s="1"/>
  <c r="G34" i="40" s="1"/>
  <c r="F84" i="39"/>
  <c r="F85" i="39" s="1"/>
  <c r="F117" i="39" s="1"/>
  <c r="G86" i="44"/>
  <c r="G124" i="44" s="1"/>
  <c r="G127" i="44" s="1"/>
  <c r="F50" i="40"/>
  <c r="F76" i="40" s="1"/>
  <c r="F78" i="40" s="1"/>
  <c r="F123" i="40" s="1"/>
  <c r="G32" i="40" s="1"/>
  <c r="F84" i="40"/>
  <c r="F49" i="39"/>
  <c r="F48" i="39" s="1"/>
  <c r="F60" i="39" s="1"/>
  <c r="F86" i="37"/>
  <c r="F124" i="37" s="1"/>
  <c r="G33" i="37" s="1"/>
  <c r="F48" i="37"/>
  <c r="F60" i="37" s="1"/>
  <c r="F68" i="37"/>
  <c r="F70" i="37" s="1"/>
  <c r="F122" i="37" s="1"/>
  <c r="G31" i="37" s="1"/>
  <c r="E129" i="35"/>
  <c r="E131" i="35" s="1"/>
  <c r="E135" i="35" s="1"/>
  <c r="E130" i="35"/>
  <c r="F29" i="35"/>
  <c r="E57" i="16"/>
  <c r="F24" i="16" s="1"/>
  <c r="F25" i="16"/>
  <c r="G129" i="44" l="1"/>
  <c r="G130" i="44"/>
  <c r="G132" i="44" s="1"/>
  <c r="F38" i="35"/>
  <c r="F69" i="35" s="1"/>
  <c r="F115" i="35" s="1"/>
  <c r="F138" i="35" s="1"/>
  <c r="E132" i="35"/>
  <c r="F85" i="40"/>
  <c r="F117" i="40" s="1"/>
  <c r="F49" i="40"/>
  <c r="F86" i="39"/>
  <c r="F124" i="39" s="1"/>
  <c r="G33" i="39" s="1"/>
  <c r="F68" i="39"/>
  <c r="F70" i="39" s="1"/>
  <c r="F122" i="39" s="1"/>
  <c r="G31" i="39" s="1"/>
  <c r="F61" i="39"/>
  <c r="F114" i="39" s="1"/>
  <c r="F61" i="37"/>
  <c r="F114" i="37" s="1"/>
  <c r="F37" i="35"/>
  <c r="E134" i="35"/>
  <c r="F27" i="16"/>
  <c r="F29" i="16"/>
  <c r="F31" i="16" s="1"/>
  <c r="F30" i="16"/>
  <c r="G134" i="44" l="1"/>
  <c r="G131" i="44"/>
  <c r="G135" i="44" s="1"/>
  <c r="F39" i="35"/>
  <c r="F41" i="35" s="1"/>
  <c r="F46" i="35"/>
  <c r="F77" i="35" s="1"/>
  <c r="F116" i="35" s="1"/>
  <c r="F86" i="40"/>
  <c r="F124" i="40" s="1"/>
  <c r="G33" i="40" s="1"/>
  <c r="F48" i="40"/>
  <c r="F60" i="40" s="1"/>
  <c r="F68" i="40"/>
  <c r="F70" i="40" s="1"/>
  <c r="F122" i="40" s="1"/>
  <c r="G31" i="40" s="1"/>
  <c r="F62" i="39"/>
  <c r="F121" i="39" s="1"/>
  <c r="F127" i="39" s="1"/>
  <c r="F62" i="37"/>
  <c r="F121" i="37" s="1"/>
  <c r="F32" i="16"/>
  <c r="F45" i="16" s="1"/>
  <c r="F34" i="16"/>
  <c r="F47" i="16" s="1"/>
  <c r="F56" i="16" s="1"/>
  <c r="F33" i="16"/>
  <c r="F46" i="16" s="1"/>
  <c r="F55" i="16" s="1"/>
  <c r="G26" i="16" s="1"/>
  <c r="F43" i="35" l="1"/>
  <c r="F42" i="35"/>
  <c r="F44" i="35"/>
  <c r="F52" i="35" s="1"/>
  <c r="F92" i="35" s="1"/>
  <c r="F94" i="35" s="1"/>
  <c r="F125" i="35" s="1"/>
  <c r="G34" i="35" s="1"/>
  <c r="F40" i="35"/>
  <c r="F61" i="40"/>
  <c r="F114" i="40" s="1"/>
  <c r="G30" i="39"/>
  <c r="F129" i="39"/>
  <c r="G29" i="39"/>
  <c r="F130" i="39"/>
  <c r="F127" i="37"/>
  <c r="G30" i="37"/>
  <c r="G50" i="16"/>
  <c r="F49" i="16"/>
  <c r="F54" i="16" s="1"/>
  <c r="F131" i="39" l="1"/>
  <c r="F135" i="39" s="1"/>
  <c r="F134" i="39"/>
  <c r="G38" i="39"/>
  <c r="G46" i="39" s="1"/>
  <c r="G77" i="39" s="1"/>
  <c r="G116" i="39" s="1"/>
  <c r="F132" i="39"/>
  <c r="F51" i="35"/>
  <c r="F50" i="35" s="1"/>
  <c r="F62" i="40"/>
  <c r="F121" i="40" s="1"/>
  <c r="F127" i="40" s="1"/>
  <c r="G37" i="39"/>
  <c r="F129" i="37"/>
  <c r="F134" i="37" s="1"/>
  <c r="G29" i="37"/>
  <c r="F130" i="37"/>
  <c r="F57" i="16"/>
  <c r="G24" i="16" s="1"/>
  <c r="G25" i="16"/>
  <c r="H50" i="16"/>
  <c r="G60" i="16"/>
  <c r="G39" i="39" l="1"/>
  <c r="G40" i="39" s="1"/>
  <c r="G69" i="39"/>
  <c r="G115" i="39" s="1"/>
  <c r="G138" i="39" s="1"/>
  <c r="F131" i="37"/>
  <c r="F135" i="37" s="1"/>
  <c r="G38" i="37"/>
  <c r="G69" i="37" s="1"/>
  <c r="G115" i="37" s="1"/>
  <c r="G138" i="37" s="1"/>
  <c r="F132" i="37"/>
  <c r="F84" i="35"/>
  <c r="F85" i="35" s="1"/>
  <c r="F117" i="35" s="1"/>
  <c r="G30" i="40"/>
  <c r="F129" i="40"/>
  <c r="G29" i="40"/>
  <c r="F130" i="40"/>
  <c r="G37" i="37"/>
  <c r="F76" i="35"/>
  <c r="F78" i="35" s="1"/>
  <c r="F123" i="35" s="1"/>
  <c r="G32" i="35" s="1"/>
  <c r="F49" i="35"/>
  <c r="I50" i="16"/>
  <c r="H60" i="16"/>
  <c r="G27" i="16"/>
  <c r="G29" i="16"/>
  <c r="G31" i="16" s="1"/>
  <c r="G30" i="16"/>
  <c r="G42" i="39" l="1"/>
  <c r="G44" i="39"/>
  <c r="G52" i="39" s="1"/>
  <c r="G92" i="39" s="1"/>
  <c r="G94" i="39" s="1"/>
  <c r="G125" i="39" s="1"/>
  <c r="H34" i="39" s="1"/>
  <c r="G43" i="39"/>
  <c r="G41" i="39"/>
  <c r="G39" i="37"/>
  <c r="G44" i="37" s="1"/>
  <c r="G52" i="37" s="1"/>
  <c r="F131" i="40"/>
  <c r="F135" i="40" s="1"/>
  <c r="F134" i="40"/>
  <c r="G38" i="40"/>
  <c r="G46" i="40" s="1"/>
  <c r="G77" i="40" s="1"/>
  <c r="G116" i="40" s="1"/>
  <c r="F132" i="40"/>
  <c r="G46" i="37"/>
  <c r="G77" i="37" s="1"/>
  <c r="G116" i="37" s="1"/>
  <c r="G37" i="40"/>
  <c r="F86" i="35"/>
  <c r="F124" i="35" s="1"/>
  <c r="G33" i="35" s="1"/>
  <c r="F48" i="35"/>
  <c r="F60" i="35" s="1"/>
  <c r="F61" i="35" s="1"/>
  <c r="F68" i="35"/>
  <c r="F70" i="35" s="1"/>
  <c r="F122" i="35" s="1"/>
  <c r="G31" i="35" s="1"/>
  <c r="G33" i="16"/>
  <c r="G46" i="16" s="1"/>
  <c r="G55" i="16" s="1"/>
  <c r="H26" i="16" s="1"/>
  <c r="G32" i="16"/>
  <c r="G45" i="16" s="1"/>
  <c r="G34" i="16"/>
  <c r="G47" i="16" s="1"/>
  <c r="G56" i="16" s="1"/>
  <c r="J50" i="16"/>
  <c r="I60" i="16"/>
  <c r="G51" i="39" l="1"/>
  <c r="G50" i="39" s="1"/>
  <c r="G39" i="40"/>
  <c r="G45" i="40" s="1"/>
  <c r="G100" i="40" s="1"/>
  <c r="G102" i="40" s="1"/>
  <c r="G126" i="40" s="1"/>
  <c r="H35" i="40" s="1"/>
  <c r="G41" i="37"/>
  <c r="G40" i="37"/>
  <c r="G43" i="37"/>
  <c r="G42" i="37"/>
  <c r="G69" i="40"/>
  <c r="G115" i="40" s="1"/>
  <c r="G138" i="40" s="1"/>
  <c r="G51" i="37"/>
  <c r="G92" i="37"/>
  <c r="G94" i="37" s="1"/>
  <c r="G125" i="37" s="1"/>
  <c r="H34" i="37" s="1"/>
  <c r="F114" i="35"/>
  <c r="K50" i="16"/>
  <c r="J60" i="16"/>
  <c r="G49" i="16"/>
  <c r="G54" i="16" s="1"/>
  <c r="G84" i="39" l="1"/>
  <c r="G85" i="39" s="1"/>
  <c r="G117" i="39" s="1"/>
  <c r="G43" i="40"/>
  <c r="G44" i="40"/>
  <c r="G52" i="40" s="1"/>
  <c r="G92" i="40" s="1"/>
  <c r="G94" i="40" s="1"/>
  <c r="G125" i="40" s="1"/>
  <c r="H34" i="40" s="1"/>
  <c r="G40" i="40"/>
  <c r="G42" i="40"/>
  <c r="G41" i="40"/>
  <c r="G76" i="39"/>
  <c r="G78" i="39" s="1"/>
  <c r="G123" i="39" s="1"/>
  <c r="H32" i="39" s="1"/>
  <c r="G49" i="39"/>
  <c r="G50" i="37"/>
  <c r="G76" i="37" s="1"/>
  <c r="G78" i="37" s="1"/>
  <c r="G123" i="37" s="1"/>
  <c r="H32" i="37" s="1"/>
  <c r="G84" i="37"/>
  <c r="F62" i="35"/>
  <c r="F121" i="35" s="1"/>
  <c r="G57" i="16"/>
  <c r="H24" i="16" s="1"/>
  <c r="H25" i="16"/>
  <c r="L50" i="16"/>
  <c r="L60" i="16" s="1"/>
  <c r="K60" i="16"/>
  <c r="G51" i="40" l="1"/>
  <c r="G50" i="40" s="1"/>
  <c r="G48" i="39"/>
  <c r="G60" i="39" s="1"/>
  <c r="G68" i="39"/>
  <c r="G70" i="39" s="1"/>
  <c r="G122" i="39" s="1"/>
  <c r="H31" i="39" s="1"/>
  <c r="G86" i="39"/>
  <c r="G124" i="39" s="1"/>
  <c r="H33" i="39" s="1"/>
  <c r="G49" i="37"/>
  <c r="G48" i="37" s="1"/>
  <c r="G60" i="37" s="1"/>
  <c r="G85" i="37"/>
  <c r="G117" i="37" s="1"/>
  <c r="F127" i="35"/>
  <c r="G30" i="35"/>
  <c r="H27" i="16"/>
  <c r="H29" i="16"/>
  <c r="H30" i="16"/>
  <c r="G84" i="40" l="1"/>
  <c r="G85" i="40" s="1"/>
  <c r="G117" i="40" s="1"/>
  <c r="G76" i="40"/>
  <c r="G78" i="40" s="1"/>
  <c r="G123" i="40" s="1"/>
  <c r="H32" i="40" s="1"/>
  <c r="G49" i="40"/>
  <c r="G61" i="39"/>
  <c r="G114" i="39" s="1"/>
  <c r="G86" i="37"/>
  <c r="G124" i="37" s="1"/>
  <c r="H33" i="37" s="1"/>
  <c r="G68" i="37"/>
  <c r="G70" i="37" s="1"/>
  <c r="G122" i="37" s="1"/>
  <c r="H31" i="37" s="1"/>
  <c r="G61" i="37"/>
  <c r="G114" i="37" s="1"/>
  <c r="F130" i="35"/>
  <c r="F129" i="35"/>
  <c r="F131" i="35" s="1"/>
  <c r="F135" i="35" s="1"/>
  <c r="G29" i="35"/>
  <c r="H31" i="16"/>
  <c r="H34" i="16" s="1"/>
  <c r="H47" i="16" s="1"/>
  <c r="H56" i="16" s="1"/>
  <c r="G38" i="35" l="1"/>
  <c r="G69" i="35" s="1"/>
  <c r="G115" i="35" s="1"/>
  <c r="G138" i="35" s="1"/>
  <c r="F132" i="35"/>
  <c r="G86" i="40"/>
  <c r="G124" i="40" s="1"/>
  <c r="H33" i="40" s="1"/>
  <c r="G48" i="40"/>
  <c r="G60" i="40" s="1"/>
  <c r="G68" i="40"/>
  <c r="G70" i="40" s="1"/>
  <c r="G122" i="40" s="1"/>
  <c r="H31" i="40" s="1"/>
  <c r="G62" i="39"/>
  <c r="G121" i="39" s="1"/>
  <c r="G127" i="39" s="1"/>
  <c r="G62" i="37"/>
  <c r="G121" i="37" s="1"/>
  <c r="G127" i="37" s="1"/>
  <c r="F134" i="35"/>
  <c r="G37" i="35"/>
  <c r="H33" i="16"/>
  <c r="H46" i="16" s="1"/>
  <c r="H55" i="16" s="1"/>
  <c r="I26" i="16" s="1"/>
  <c r="H32" i="16"/>
  <c r="H45" i="16" s="1"/>
  <c r="H54" i="16" s="1"/>
  <c r="G39" i="35" l="1"/>
  <c r="G41" i="35" s="1"/>
  <c r="G46" i="35"/>
  <c r="G77" i="35" s="1"/>
  <c r="G116" i="35" s="1"/>
  <c r="G61" i="40"/>
  <c r="G114" i="40" s="1"/>
  <c r="H30" i="39"/>
  <c r="G129" i="39"/>
  <c r="G130" i="39"/>
  <c r="H29" i="39"/>
  <c r="H29" i="37"/>
  <c r="G129" i="37"/>
  <c r="G134" i="37" s="1"/>
  <c r="H30" i="37"/>
  <c r="G130" i="37"/>
  <c r="H57" i="16"/>
  <c r="I24" i="16" s="1"/>
  <c r="I27" i="16" s="1"/>
  <c r="I25" i="16"/>
  <c r="G131" i="39" l="1"/>
  <c r="G135" i="39" s="1"/>
  <c r="G134" i="39"/>
  <c r="H38" i="39"/>
  <c r="H69" i="39" s="1"/>
  <c r="H115" i="39" s="1"/>
  <c r="H138" i="39" s="1"/>
  <c r="G132" i="39"/>
  <c r="H37" i="37"/>
  <c r="G131" i="37"/>
  <c r="G135" i="37" s="1"/>
  <c r="H38" i="37"/>
  <c r="H69" i="37" s="1"/>
  <c r="H115" i="37" s="1"/>
  <c r="H138" i="37" s="1"/>
  <c r="G132" i="37"/>
  <c r="G42" i="35"/>
  <c r="G43" i="35"/>
  <c r="G44" i="35"/>
  <c r="G52" i="35" s="1"/>
  <c r="G51" i="35" s="1"/>
  <c r="G40" i="35"/>
  <c r="G62" i="40"/>
  <c r="G121" i="40" s="1"/>
  <c r="G127" i="40" s="1"/>
  <c r="H37" i="39"/>
  <c r="I30" i="16"/>
  <c r="I29" i="16"/>
  <c r="I31" i="16" s="1"/>
  <c r="I34" i="16" s="1"/>
  <c r="I47" i="16" s="1"/>
  <c r="I56" i="16" s="1"/>
  <c r="H39" i="39" l="1"/>
  <c r="H40" i="39" s="1"/>
  <c r="H46" i="39"/>
  <c r="H77" i="39" s="1"/>
  <c r="H116" i="39" s="1"/>
  <c r="H39" i="37"/>
  <c r="H41" i="37" s="1"/>
  <c r="H46" i="37"/>
  <c r="H77" i="37" s="1"/>
  <c r="H116" i="37" s="1"/>
  <c r="G92" i="35"/>
  <c r="G94" i="35" s="1"/>
  <c r="G125" i="35" s="1"/>
  <c r="H30" i="40"/>
  <c r="G129" i="40"/>
  <c r="G130" i="40"/>
  <c r="H29" i="40"/>
  <c r="G84" i="35"/>
  <c r="G50" i="35"/>
  <c r="I32" i="16"/>
  <c r="I45" i="16" s="1"/>
  <c r="I54" i="16" s="1"/>
  <c r="J25" i="16" s="1"/>
  <c r="I33" i="16"/>
  <c r="I46" i="16" s="1"/>
  <c r="I55" i="16" s="1"/>
  <c r="J26" i="16" s="1"/>
  <c r="H43" i="39" l="1"/>
  <c r="H41" i="39"/>
  <c r="H42" i="39"/>
  <c r="H44" i="39"/>
  <c r="H52" i="39" s="1"/>
  <c r="H51" i="39" s="1"/>
  <c r="H38" i="40"/>
  <c r="H69" i="40" s="1"/>
  <c r="H115" i="40" s="1"/>
  <c r="H138" i="40" s="1"/>
  <c r="G132" i="40"/>
  <c r="G131" i="40"/>
  <c r="G135" i="40" s="1"/>
  <c r="G134" i="40"/>
  <c r="H43" i="37"/>
  <c r="H42" i="37"/>
  <c r="H44" i="37"/>
  <c r="H52" i="37" s="1"/>
  <c r="H51" i="37" s="1"/>
  <c r="H50" i="37" s="1"/>
  <c r="H40" i="37"/>
  <c r="H37" i="40"/>
  <c r="G76" i="35"/>
  <c r="G78" i="35" s="1"/>
  <c r="G123" i="35" s="1"/>
  <c r="G49" i="35"/>
  <c r="G85" i="35"/>
  <c r="G117" i="35" s="1"/>
  <c r="I57" i="16"/>
  <c r="J24" i="16" s="1"/>
  <c r="J27" i="16" s="1"/>
  <c r="H46" i="40" l="1"/>
  <c r="H77" i="40" s="1"/>
  <c r="H116" i="40" s="1"/>
  <c r="H92" i="39"/>
  <c r="H94" i="39" s="1"/>
  <c r="H125" i="39" s="1"/>
  <c r="I34" i="39" s="1"/>
  <c r="H39" i="40"/>
  <c r="H45" i="40" s="1"/>
  <c r="H100" i="40" s="1"/>
  <c r="H101" i="40" s="1"/>
  <c r="H119" i="40" s="1"/>
  <c r="H84" i="37"/>
  <c r="H85" i="37" s="1"/>
  <c r="H117" i="37" s="1"/>
  <c r="H92" i="37"/>
  <c r="H94" i="37" s="1"/>
  <c r="H125" i="37" s="1"/>
  <c r="I34" i="37" s="1"/>
  <c r="H50" i="39"/>
  <c r="H76" i="39" s="1"/>
  <c r="H78" i="39" s="1"/>
  <c r="H123" i="39" s="1"/>
  <c r="I32" i="39" s="1"/>
  <c r="H84" i="39"/>
  <c r="H76" i="37"/>
  <c r="H78" i="37" s="1"/>
  <c r="H123" i="37" s="1"/>
  <c r="I32" i="37" s="1"/>
  <c r="H49" i="37"/>
  <c r="G86" i="35"/>
  <c r="G124" i="35" s="1"/>
  <c r="G48" i="35"/>
  <c r="G60" i="35" s="1"/>
  <c r="G61" i="35" s="1"/>
  <c r="G68" i="35"/>
  <c r="G70" i="35" s="1"/>
  <c r="G122" i="35" s="1"/>
  <c r="J30" i="16"/>
  <c r="J29" i="16"/>
  <c r="J31" i="16" s="1"/>
  <c r="J34" i="16" s="1"/>
  <c r="J47" i="16" s="1"/>
  <c r="J56" i="16" s="1"/>
  <c r="H44" i="40" l="1"/>
  <c r="H52" i="40" s="1"/>
  <c r="H51" i="40" s="1"/>
  <c r="H41" i="40"/>
  <c r="H42" i="40"/>
  <c r="H43" i="40"/>
  <c r="H40" i="40"/>
  <c r="H102" i="40"/>
  <c r="H126" i="40" s="1"/>
  <c r="I35" i="40" s="1"/>
  <c r="H49" i="39"/>
  <c r="H48" i="39" s="1"/>
  <c r="H60" i="39" s="1"/>
  <c r="H85" i="39"/>
  <c r="H117" i="39" s="1"/>
  <c r="H86" i="37"/>
  <c r="H124" i="37" s="1"/>
  <c r="I33" i="37" s="1"/>
  <c r="H48" i="37"/>
  <c r="H60" i="37" s="1"/>
  <c r="H68" i="37"/>
  <c r="H70" i="37" s="1"/>
  <c r="H122" i="37" s="1"/>
  <c r="I31" i="37" s="1"/>
  <c r="G114" i="35"/>
  <c r="J32" i="16"/>
  <c r="J45" i="16" s="1"/>
  <c r="J54" i="16" s="1"/>
  <c r="K25" i="16" s="1"/>
  <c r="J33" i="16"/>
  <c r="J46" i="16" s="1"/>
  <c r="J55" i="16" s="1"/>
  <c r="K26" i="16" s="1"/>
  <c r="H92" i="40" l="1"/>
  <c r="H94" i="40" s="1"/>
  <c r="H125" i="40" s="1"/>
  <c r="I34" i="40" s="1"/>
  <c r="H86" i="39"/>
  <c r="H124" i="39" s="1"/>
  <c r="I33" i="39" s="1"/>
  <c r="H50" i="40"/>
  <c r="H76" i="40" s="1"/>
  <c r="H78" i="40" s="1"/>
  <c r="H123" i="40" s="1"/>
  <c r="I32" i="40" s="1"/>
  <c r="H84" i="40"/>
  <c r="H68" i="39"/>
  <c r="H70" i="39" s="1"/>
  <c r="H122" i="39" s="1"/>
  <c r="I31" i="39" s="1"/>
  <c r="H61" i="39"/>
  <c r="H114" i="39" s="1"/>
  <c r="H61" i="37"/>
  <c r="H114" i="37" s="1"/>
  <c r="G62" i="35"/>
  <c r="G121" i="35" s="1"/>
  <c r="G127" i="35" s="1"/>
  <c r="G129" i="35" s="1"/>
  <c r="J57" i="16"/>
  <c r="K24" i="16" s="1"/>
  <c r="K27" i="16" s="1"/>
  <c r="G134" i="35" l="1"/>
  <c r="G131" i="35"/>
  <c r="G135" i="35" s="1"/>
  <c r="H49" i="40"/>
  <c r="H48" i="40" s="1"/>
  <c r="H60" i="40" s="1"/>
  <c r="H85" i="40"/>
  <c r="H117" i="40" s="1"/>
  <c r="H62" i="39"/>
  <c r="H121" i="39" s="1"/>
  <c r="I30" i="39" s="1"/>
  <c r="H62" i="37"/>
  <c r="H121" i="37" s="1"/>
  <c r="H127" i="37" s="1"/>
  <c r="I29" i="37" s="1"/>
  <c r="G130" i="35"/>
  <c r="G132" i="35" s="1"/>
  <c r="K29" i="16"/>
  <c r="K30" i="16"/>
  <c r="H86" i="40" l="1"/>
  <c r="H124" i="40" s="1"/>
  <c r="I33" i="40" s="1"/>
  <c r="H68" i="40"/>
  <c r="H70" i="40" s="1"/>
  <c r="H122" i="40" s="1"/>
  <c r="I31" i="40" s="1"/>
  <c r="H61" i="40"/>
  <c r="H114" i="40" s="1"/>
  <c r="H127" i="39"/>
  <c r="I29" i="39" s="1"/>
  <c r="I30" i="37"/>
  <c r="H129" i="37"/>
  <c r="H130" i="37"/>
  <c r="K31" i="16"/>
  <c r="K32" i="16" s="1"/>
  <c r="K45" i="16" s="1"/>
  <c r="K54" i="16" s="1"/>
  <c r="L25" i="16" s="1"/>
  <c r="H131" i="37" l="1"/>
  <c r="H135" i="37" s="1"/>
  <c r="H134" i="37"/>
  <c r="I38" i="37"/>
  <c r="I69" i="37" s="1"/>
  <c r="I115" i="37" s="1"/>
  <c r="I138" i="37" s="1"/>
  <c r="H132" i="37"/>
  <c r="H62" i="40"/>
  <c r="H121" i="40" s="1"/>
  <c r="H130" i="39"/>
  <c r="H129" i="39"/>
  <c r="H134" i="39" s="1"/>
  <c r="I37" i="37"/>
  <c r="K33" i="16"/>
  <c r="K46" i="16" s="1"/>
  <c r="K55" i="16" s="1"/>
  <c r="L26" i="16" s="1"/>
  <c r="K34" i="16"/>
  <c r="K47" i="16" s="1"/>
  <c r="K56" i="16" s="1"/>
  <c r="H131" i="39" l="1"/>
  <c r="H135" i="39" s="1"/>
  <c r="I38" i="39"/>
  <c r="I46" i="39" s="1"/>
  <c r="I77" i="39" s="1"/>
  <c r="I116" i="39" s="1"/>
  <c r="H132" i="39"/>
  <c r="I39" i="37"/>
  <c r="I42" i="37" s="1"/>
  <c r="I46" i="37"/>
  <c r="I77" i="37" s="1"/>
  <c r="I116" i="37" s="1"/>
  <c r="I37" i="39"/>
  <c r="I30" i="40"/>
  <c r="H127" i="40"/>
  <c r="K57" i="16"/>
  <c r="L24" i="16" s="1"/>
  <c r="L30" i="16" s="1"/>
  <c r="I39" i="39" l="1"/>
  <c r="I44" i="39" s="1"/>
  <c r="I52" i="39" s="1"/>
  <c r="I51" i="39" s="1"/>
  <c r="I69" i="39"/>
  <c r="I115" i="39" s="1"/>
  <c r="I138" i="39" s="1"/>
  <c r="I43" i="37"/>
  <c r="I40" i="37"/>
  <c r="I44" i="37"/>
  <c r="I52" i="37" s="1"/>
  <c r="I51" i="37" s="1"/>
  <c r="I50" i="37" s="1"/>
  <c r="I76" i="37" s="1"/>
  <c r="I78" i="37" s="1"/>
  <c r="I123" i="37" s="1"/>
  <c r="J32" i="37" s="1"/>
  <c r="I41" i="37"/>
  <c r="I29" i="40"/>
  <c r="H129" i="40"/>
  <c r="H130" i="40"/>
  <c r="L27" i="16"/>
  <c r="L29" i="16"/>
  <c r="L31" i="16" s="1"/>
  <c r="L32" i="16" s="1"/>
  <c r="L45" i="16" s="1"/>
  <c r="L54" i="16" s="1"/>
  <c r="I41" i="39" l="1"/>
  <c r="I92" i="39"/>
  <c r="I94" i="39" s="1"/>
  <c r="I125" i="39" s="1"/>
  <c r="J34" i="39" s="1"/>
  <c r="I43" i="39"/>
  <c r="I84" i="39" s="1"/>
  <c r="I42" i="39"/>
  <c r="I40" i="39"/>
  <c r="H131" i="40"/>
  <c r="H135" i="40" s="1"/>
  <c r="H134" i="40"/>
  <c r="I38" i="40"/>
  <c r="I69" i="40" s="1"/>
  <c r="I115" i="40" s="1"/>
  <c r="I138" i="40" s="1"/>
  <c r="H132" i="40"/>
  <c r="I49" i="37"/>
  <c r="I68" i="37" s="1"/>
  <c r="I70" i="37" s="1"/>
  <c r="I122" i="37" s="1"/>
  <c r="J31" i="37" s="1"/>
  <c r="I84" i="37"/>
  <c r="I85" i="37" s="1"/>
  <c r="I117" i="37" s="1"/>
  <c r="I92" i="37"/>
  <c r="I94" i="37" s="1"/>
  <c r="I125" i="37" s="1"/>
  <c r="J34" i="37" s="1"/>
  <c r="I37" i="40"/>
  <c r="I50" i="39"/>
  <c r="L33" i="16"/>
  <c r="L46" i="16" s="1"/>
  <c r="L55" i="16" s="1"/>
  <c r="L34" i="16"/>
  <c r="L47" i="16" s="1"/>
  <c r="L56" i="16" s="1"/>
  <c r="I76" i="39" l="1"/>
  <c r="I78" i="39" s="1"/>
  <c r="I123" i="39" s="1"/>
  <c r="J32" i="39" s="1"/>
  <c r="I46" i="40"/>
  <c r="I77" i="40" s="1"/>
  <c r="I116" i="40" s="1"/>
  <c r="I39" i="40"/>
  <c r="I45" i="40" s="1"/>
  <c r="I100" i="40" s="1"/>
  <c r="I102" i="40" s="1"/>
  <c r="I126" i="40" s="1"/>
  <c r="J35" i="40" s="1"/>
  <c r="I48" i="37"/>
  <c r="I60" i="37" s="1"/>
  <c r="I61" i="37" s="1"/>
  <c r="I114" i="37" s="1"/>
  <c r="I86" i="37"/>
  <c r="I124" i="37" s="1"/>
  <c r="J33" i="37" s="1"/>
  <c r="I49" i="39"/>
  <c r="I85" i="39"/>
  <c r="I117" i="39" s="1"/>
  <c r="L57" i="16"/>
  <c r="I42" i="40" l="1"/>
  <c r="I41" i="40"/>
  <c r="I44" i="40"/>
  <c r="I52" i="40" s="1"/>
  <c r="I92" i="40" s="1"/>
  <c r="I94" i="40" s="1"/>
  <c r="I125" i="40" s="1"/>
  <c r="J34" i="40" s="1"/>
  <c r="I43" i="40"/>
  <c r="I40" i="40"/>
  <c r="I86" i="39"/>
  <c r="I124" i="39" s="1"/>
  <c r="J33" i="39"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1" i="40" l="1"/>
  <c r="I50" i="40" s="1"/>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4" i="40" l="1"/>
  <c r="I85" i="40" s="1"/>
  <c r="I117" i="40" s="1"/>
  <c r="I76" i="40"/>
  <c r="I78" i="40" s="1"/>
  <c r="I123" i="40" s="1"/>
  <c r="J32" i="40" s="1"/>
  <c r="I49" i="40"/>
  <c r="I62" i="39"/>
  <c r="I121" i="39" s="1"/>
  <c r="J30" i="39" s="1"/>
  <c r="J29" i="37"/>
  <c r="I129" i="37"/>
  <c r="I130" i="37"/>
  <c r="V11" i="7"/>
  <c r="W11" i="7"/>
  <c r="V6" i="7"/>
  <c r="W6" i="7"/>
  <c r="I131" i="37" l="1"/>
  <c r="I135" i="37" s="1"/>
  <c r="I134" i="37"/>
  <c r="J38" i="37"/>
  <c r="J69" i="37" s="1"/>
  <c r="J115" i="37" s="1"/>
  <c r="J138" i="37" s="1"/>
  <c r="I132" i="37"/>
  <c r="I86" i="40"/>
  <c r="I124" i="40" s="1"/>
  <c r="J33" i="40" s="1"/>
  <c r="I48" i="40"/>
  <c r="I60" i="40" s="1"/>
  <c r="I68" i="40"/>
  <c r="I70" i="40" s="1"/>
  <c r="I122" i="40" s="1"/>
  <c r="J31" i="40" s="1"/>
  <c r="I127" i="39"/>
  <c r="I129" i="39" s="1"/>
  <c r="J37" i="37"/>
  <c r="V8" i="7"/>
  <c r="W8" i="7"/>
  <c r="I131" i="39" l="1"/>
  <c r="I135" i="39" s="1"/>
  <c r="I134" i="39"/>
  <c r="J46" i="37"/>
  <c r="J77" i="37" s="1"/>
  <c r="J116" i="37" s="1"/>
  <c r="I61" i="40"/>
  <c r="I114" i="40" s="1"/>
  <c r="J29" i="39"/>
  <c r="I130"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38" i="39" l="1"/>
  <c r="J46" i="39" s="1"/>
  <c r="J77" i="39" s="1"/>
  <c r="J116" i="39" s="1"/>
  <c r="I132" i="39"/>
  <c r="I62" i="40"/>
  <c r="I121" i="40" s="1"/>
  <c r="I127" i="40" s="1"/>
  <c r="J44" i="37"/>
  <c r="J52" i="37" s="1"/>
  <c r="J51" i="37" s="1"/>
  <c r="J42" i="37"/>
  <c r="J40" i="37"/>
  <c r="J43" i="37"/>
  <c r="V10" i="7"/>
  <c r="W10" i="7"/>
  <c r="K13" i="2"/>
  <c r="L13" i="2" s="1"/>
  <c r="K8" i="2"/>
  <c r="J39" i="39" l="1"/>
  <c r="J44" i="39" s="1"/>
  <c r="J52" i="39" s="1"/>
  <c r="J51" i="39" s="1"/>
  <c r="J69" i="39"/>
  <c r="J115" i="39" s="1"/>
  <c r="J138" i="39" s="1"/>
  <c r="J30" i="40"/>
  <c r="I129" i="40"/>
  <c r="J29" i="40"/>
  <c r="I130" i="40"/>
  <c r="J92" i="37"/>
  <c r="J94" i="37" s="1"/>
  <c r="J125" i="37" s="1"/>
  <c r="K34" i="37" s="1"/>
  <c r="J50" i="37"/>
  <c r="J84" i="37"/>
  <c r="N13" i="2"/>
  <c r="O13" i="2"/>
  <c r="M13" i="2"/>
  <c r="J38" i="40" l="1"/>
  <c r="J46" i="40" s="1"/>
  <c r="J77" i="40" s="1"/>
  <c r="J116" i="40" s="1"/>
  <c r="I132" i="40"/>
  <c r="I134" i="40"/>
  <c r="I131" i="40"/>
  <c r="I135" i="40" s="1"/>
  <c r="J43" i="39"/>
  <c r="J84" i="39" s="1"/>
  <c r="J41" i="39"/>
  <c r="J40" i="39"/>
  <c r="J92" i="39"/>
  <c r="J94" i="39" s="1"/>
  <c r="J125" i="39" s="1"/>
  <c r="K34" i="39" s="1"/>
  <c r="J42" i="39"/>
  <c r="J37" i="40"/>
  <c r="J50" i="39"/>
  <c r="J85" i="37"/>
  <c r="J117" i="37" s="1"/>
  <c r="J76" i="37"/>
  <c r="J78" i="37" s="1"/>
  <c r="J123" i="37" s="1"/>
  <c r="K32" i="37" s="1"/>
  <c r="J49" i="37"/>
  <c r="P13" i="2"/>
  <c r="J39" i="40" l="1"/>
  <c r="J45" i="40" s="1"/>
  <c r="J100" i="40" s="1"/>
  <c r="J102" i="40" s="1"/>
  <c r="J126" i="40" s="1"/>
  <c r="K35" i="40" s="1"/>
  <c r="J69" i="40"/>
  <c r="J115" i="40" s="1"/>
  <c r="J138" i="40" s="1"/>
  <c r="J85" i="39"/>
  <c r="J117" i="39" s="1"/>
  <c r="J76" i="39"/>
  <c r="J78" i="39" s="1"/>
  <c r="J123" i="39" s="1"/>
  <c r="K32" i="39" s="1"/>
  <c r="J49" i="39"/>
  <c r="J86" i="37"/>
  <c r="J124" i="37" s="1"/>
  <c r="K33" i="37" s="1"/>
  <c r="J48" i="37"/>
  <c r="J60" i="37" s="1"/>
  <c r="J68" i="37"/>
  <c r="J70" i="37" s="1"/>
  <c r="J122" i="37" s="1"/>
  <c r="K31" i="37" s="1"/>
  <c r="J42" i="40" l="1"/>
  <c r="J44" i="40"/>
  <c r="J52" i="40" s="1"/>
  <c r="J92" i="40" s="1"/>
  <c r="J94" i="40" s="1"/>
  <c r="J125" i="40" s="1"/>
  <c r="K34" i="40" s="1"/>
  <c r="J40" i="40"/>
  <c r="J41" i="40"/>
  <c r="J43" i="40"/>
  <c r="J86" i="39"/>
  <c r="J124" i="39" s="1"/>
  <c r="K33" i="39" s="1"/>
  <c r="J48" i="39"/>
  <c r="J60" i="39" s="1"/>
  <c r="J68" i="39"/>
  <c r="J70" i="39" s="1"/>
  <c r="J122" i="39" s="1"/>
  <c r="K31" i="39" s="1"/>
  <c r="J61" i="37"/>
  <c r="J114" i="37" s="1"/>
  <c r="J51" i="40" l="1"/>
  <c r="J50" i="40" s="1"/>
  <c r="J76" i="40" s="1"/>
  <c r="J78" i="40" s="1"/>
  <c r="J123" i="40" s="1"/>
  <c r="K32" i="40" s="1"/>
  <c r="J61" i="39"/>
  <c r="J114" i="39" s="1"/>
  <c r="J62" i="37"/>
  <c r="J121" i="37" s="1"/>
  <c r="J84" i="40" l="1"/>
  <c r="J85" i="40" s="1"/>
  <c r="J117" i="40" s="1"/>
  <c r="J49" i="40"/>
  <c r="J48" i="40" s="1"/>
  <c r="J60" i="40" s="1"/>
  <c r="J62" i="39"/>
  <c r="J121" i="39" s="1"/>
  <c r="J127" i="39" s="1"/>
  <c r="K30" i="37"/>
  <c r="J127" i="37"/>
  <c r="J86" i="40" l="1"/>
  <c r="J124" i="40" s="1"/>
  <c r="K33" i="40" s="1"/>
  <c r="J68" i="40"/>
  <c r="J70" i="40" s="1"/>
  <c r="J122" i="40" s="1"/>
  <c r="K31" i="40" s="1"/>
  <c r="K30" i="39"/>
  <c r="J61" i="40"/>
  <c r="J114" i="40" s="1"/>
  <c r="J130" i="39"/>
  <c r="J129" i="39"/>
  <c r="K29" i="39"/>
  <c r="K29" i="37"/>
  <c r="J130" i="37"/>
  <c r="J129" i="37"/>
  <c r="J131" i="39" l="1"/>
  <c r="J135" i="39" s="1"/>
  <c r="J134" i="39"/>
  <c r="K38" i="39"/>
  <c r="K46" i="39" s="1"/>
  <c r="K77" i="39" s="1"/>
  <c r="K116" i="39" s="1"/>
  <c r="J132" i="39"/>
  <c r="J131" i="37"/>
  <c r="J135" i="37" s="1"/>
  <c r="J134" i="37"/>
  <c r="K38" i="37"/>
  <c r="K69" i="37" s="1"/>
  <c r="K115" i="37" s="1"/>
  <c r="K138" i="37" s="1"/>
  <c r="J132" i="37"/>
  <c r="J62" i="40"/>
  <c r="J121" i="40" s="1"/>
  <c r="K30" i="40" s="1"/>
  <c r="K37" i="39"/>
  <c r="K37" i="37"/>
  <c r="K39" i="39" l="1"/>
  <c r="K42" i="39" s="1"/>
  <c r="K39" i="37"/>
  <c r="K41" i="37" s="1"/>
  <c r="K69" i="39"/>
  <c r="K115" i="39" s="1"/>
  <c r="K138" i="39" s="1"/>
  <c r="K46" i="37"/>
  <c r="K77" i="37" s="1"/>
  <c r="K116" i="37" s="1"/>
  <c r="J127" i="40"/>
  <c r="J129" i="40" s="1"/>
  <c r="K42" i="37" l="1"/>
  <c r="K43" i="37"/>
  <c r="K40" i="37"/>
  <c r="K44" i="37"/>
  <c r="K52" i="37" s="1"/>
  <c r="K51" i="37" s="1"/>
  <c r="K43" i="39"/>
  <c r="K40" i="39"/>
  <c r="K41" i="39"/>
  <c r="K44" i="39"/>
  <c r="K52" i="39" s="1"/>
  <c r="K51" i="39" s="1"/>
  <c r="J134" i="40"/>
  <c r="J131" i="40"/>
  <c r="J135" i="40" s="1"/>
  <c r="J130" i="40"/>
  <c r="K29" i="40"/>
  <c r="K37" i="40"/>
  <c r="K92" i="37" l="1"/>
  <c r="K94" i="37" s="1"/>
  <c r="K125" i="37" s="1"/>
  <c r="L34" i="37" s="1"/>
  <c r="K92" i="39"/>
  <c r="K94" i="39" s="1"/>
  <c r="K125" i="39" s="1"/>
  <c r="L34" i="39" s="1"/>
  <c r="K38" i="40"/>
  <c r="K46" i="40" s="1"/>
  <c r="K77" i="40" s="1"/>
  <c r="K116" i="40" s="1"/>
  <c r="J132" i="40"/>
  <c r="K50" i="39"/>
  <c r="K76" i="39" s="1"/>
  <c r="K78" i="39" s="1"/>
  <c r="K123" i="39" s="1"/>
  <c r="L32" i="39" s="1"/>
  <c r="K84" i="39"/>
  <c r="K84" i="37"/>
  <c r="K50" i="37"/>
  <c r="K39" i="40" l="1"/>
  <c r="K45" i="40" s="1"/>
  <c r="K100" i="40" s="1"/>
  <c r="K102" i="40" s="1"/>
  <c r="K126" i="40" s="1"/>
  <c r="L35" i="40" s="1"/>
  <c r="K69" i="40"/>
  <c r="K115" i="40" s="1"/>
  <c r="K138" i="40" s="1"/>
  <c r="K49" i="39"/>
  <c r="K48" i="39" s="1"/>
  <c r="K60" i="39" s="1"/>
  <c r="K85" i="39"/>
  <c r="K117" i="39" s="1"/>
  <c r="K85" i="37"/>
  <c r="K117" i="37" s="1"/>
  <c r="K76" i="37"/>
  <c r="K78" i="37" s="1"/>
  <c r="K123" i="37" s="1"/>
  <c r="L32" i="37" s="1"/>
  <c r="K49" i="37"/>
  <c r="K40" i="40" l="1"/>
  <c r="K41" i="40"/>
  <c r="K43" i="40"/>
  <c r="K44" i="40"/>
  <c r="K52" i="40" s="1"/>
  <c r="K51" i="40" s="1"/>
  <c r="K50" i="40" s="1"/>
  <c r="K42" i="40"/>
  <c r="K68" i="39"/>
  <c r="K70" i="39" s="1"/>
  <c r="K122" i="39" s="1"/>
  <c r="L31" i="39" s="1"/>
  <c r="K86" i="39"/>
  <c r="K124" i="39" s="1"/>
  <c r="L33" i="39" s="1"/>
  <c r="K61" i="39"/>
  <c r="K114" i="39" s="1"/>
  <c r="K86" i="37"/>
  <c r="K124" i="37" s="1"/>
  <c r="L33" i="37" s="1"/>
  <c r="K48" i="37"/>
  <c r="K60" i="37" s="1"/>
  <c r="K68" i="37"/>
  <c r="K70" i="37" s="1"/>
  <c r="K122" i="37" s="1"/>
  <c r="L31" i="37" s="1"/>
  <c r="K76" i="40" l="1"/>
  <c r="K78" i="40" s="1"/>
  <c r="K123" i="40" s="1"/>
  <c r="L32" i="40" s="1"/>
  <c r="K84" i="40"/>
  <c r="K85" i="40" s="1"/>
  <c r="K117" i="40" s="1"/>
  <c r="K92" i="40"/>
  <c r="K94" i="40" s="1"/>
  <c r="K125" i="40" s="1"/>
  <c r="L34" i="40" s="1"/>
  <c r="K49" i="40"/>
  <c r="K62" i="39"/>
  <c r="K121" i="39" s="1"/>
  <c r="K127" i="39" s="1"/>
  <c r="K61" i="37"/>
  <c r="K114" i="37" s="1"/>
  <c r="K86" i="40" l="1"/>
  <c r="K124" i="40" s="1"/>
  <c r="L33" i="40" s="1"/>
  <c r="L30" i="39"/>
  <c r="K48" i="40"/>
  <c r="K60" i="40" s="1"/>
  <c r="K68" i="40"/>
  <c r="K70" i="40" s="1"/>
  <c r="K122" i="40" s="1"/>
  <c r="L31" i="40" s="1"/>
  <c r="K129" i="39"/>
  <c r="L29" i="39"/>
  <c r="K130" i="39"/>
  <c r="K62" i="37"/>
  <c r="K121" i="37" s="1"/>
  <c r="L30" i="37" s="1"/>
  <c r="C91" i="33"/>
  <c r="K131" i="39" l="1"/>
  <c r="K135" i="39" s="1"/>
  <c r="K134" i="39"/>
  <c r="L38" i="39"/>
  <c r="L46" i="39" s="1"/>
  <c r="L77" i="39" s="1"/>
  <c r="L116" i="39" s="1"/>
  <c r="K132" i="39"/>
  <c r="K61" i="40"/>
  <c r="K114" i="40" s="1"/>
  <c r="L37" i="39"/>
  <c r="K127" i="37"/>
  <c r="K129" i="37" s="1"/>
  <c r="C59" i="33"/>
  <c r="C75" i="33"/>
  <c r="C67" i="33"/>
  <c r="C127" i="33"/>
  <c r="D29" i="33" s="1"/>
  <c r="C83" i="33"/>
  <c r="L39" i="39" l="1"/>
  <c r="L43" i="39" s="1"/>
  <c r="L69" i="39"/>
  <c r="L115" i="39" s="1"/>
  <c r="L138" i="39" s="1"/>
  <c r="K131" i="37"/>
  <c r="K135" i="37" s="1"/>
  <c r="K134" i="37"/>
  <c r="K62" i="40"/>
  <c r="K121" i="40" s="1"/>
  <c r="L30" i="40" s="1"/>
  <c r="K130" i="37"/>
  <c r="L29" i="37"/>
  <c r="L37" i="37"/>
  <c r="C130" i="33"/>
  <c r="C129" i="33"/>
  <c r="C131" i="33" s="1"/>
  <c r="C135" i="33" s="1"/>
  <c r="L44" i="39" l="1"/>
  <c r="L52" i="39" s="1"/>
  <c r="L51" i="39" s="1"/>
  <c r="L40" i="39"/>
  <c r="L42" i="39"/>
  <c r="L41" i="39"/>
  <c r="L38" i="37"/>
  <c r="L39" i="37" s="1"/>
  <c r="L43" i="37" s="1"/>
  <c r="K132" i="37"/>
  <c r="C132" i="33"/>
  <c r="D38" i="33"/>
  <c r="D46" i="33" s="1"/>
  <c r="K127" i="40"/>
  <c r="L29" i="40" s="1"/>
  <c r="C134" i="33"/>
  <c r="D37" i="33"/>
  <c r="L92" i="39" l="1"/>
  <c r="L94" i="39" s="1"/>
  <c r="L125" i="39" s="1"/>
  <c r="L46" i="37"/>
  <c r="L77" i="37" s="1"/>
  <c r="L116" i="37" s="1"/>
  <c r="L69" i="37"/>
  <c r="L115" i="37" s="1"/>
  <c r="L138" i="37" s="1"/>
  <c r="K129" i="40"/>
  <c r="K130" i="40"/>
  <c r="L42" i="37"/>
  <c r="L41" i="37"/>
  <c r="L40" i="37"/>
  <c r="L44" i="37"/>
  <c r="L52" i="37" s="1"/>
  <c r="L51" i="37" s="1"/>
  <c r="L50" i="39"/>
  <c r="L84" i="39"/>
  <c r="D39" i="33"/>
  <c r="L38" i="40" l="1"/>
  <c r="L46" i="40" s="1"/>
  <c r="L77" i="40" s="1"/>
  <c r="L116" i="40" s="1"/>
  <c r="K132" i="40"/>
  <c r="L37" i="40"/>
  <c r="K134" i="40"/>
  <c r="K131" i="40"/>
  <c r="K135" i="40" s="1"/>
  <c r="L85" i="39"/>
  <c r="L117" i="39" s="1"/>
  <c r="L76" i="39"/>
  <c r="L78" i="39" s="1"/>
  <c r="L123" i="39" s="1"/>
  <c r="L49" i="39"/>
  <c r="L92" i="37"/>
  <c r="L94" i="37" s="1"/>
  <c r="L125" i="37" s="1"/>
  <c r="L84" i="37"/>
  <c r="L50" i="37"/>
  <c r="D42" i="33"/>
  <c r="D43" i="33"/>
  <c r="D51" i="33" s="1"/>
  <c r="D44" i="33"/>
  <c r="D40" i="33"/>
  <c r="D41" i="33"/>
  <c r="D50" i="33" l="1"/>
  <c r="D49" i="33" s="1"/>
  <c r="L39" i="40"/>
  <c r="L45" i="40" s="1"/>
  <c r="L100" i="40" s="1"/>
  <c r="L102" i="40" s="1"/>
  <c r="L126" i="40" s="1"/>
  <c r="L69" i="40"/>
  <c r="L115" i="40" s="1"/>
  <c r="L138" i="40" s="1"/>
  <c r="L86" i="39"/>
  <c r="L124" i="39" s="1"/>
  <c r="L48" i="39"/>
  <c r="L60" i="39" s="1"/>
  <c r="L68" i="39"/>
  <c r="L70" i="39" s="1"/>
  <c r="L122" i="39" s="1"/>
  <c r="L85" i="37"/>
  <c r="L117" i="37" s="1"/>
  <c r="L76" i="37"/>
  <c r="L78" i="37" s="1"/>
  <c r="L123" i="37" s="1"/>
  <c r="L49" i="37"/>
  <c r="D92" i="33"/>
  <c r="D48" i="33" l="1"/>
  <c r="L43" i="40"/>
  <c r="L44" i="40"/>
  <c r="L52" i="40" s="1"/>
  <c r="L51" i="40" s="1"/>
  <c r="L41" i="40"/>
  <c r="L42" i="40"/>
  <c r="L40" i="40"/>
  <c r="L61" i="39"/>
  <c r="L114" i="39" s="1"/>
  <c r="L86" i="37"/>
  <c r="L124" i="37" s="1"/>
  <c r="L68" i="37"/>
  <c r="L70" i="37" s="1"/>
  <c r="L122" i="37" s="1"/>
  <c r="L48" i="37"/>
  <c r="L60" i="37" s="1"/>
  <c r="D94" i="33"/>
  <c r="D125" i="33" s="1"/>
  <c r="E34" i="33" s="1"/>
  <c r="L84" i="40" l="1"/>
  <c r="L85" i="40" s="1"/>
  <c r="L117" i="40" s="1"/>
  <c r="L50" i="40"/>
  <c r="L76" i="40" s="1"/>
  <c r="L78" i="40" s="1"/>
  <c r="L123" i="40" s="1"/>
  <c r="L92" i="40"/>
  <c r="L94" i="40" s="1"/>
  <c r="L125" i="40" s="1"/>
  <c r="L62" i="39"/>
  <c r="L121" i="39" s="1"/>
  <c r="L127" i="39" s="1"/>
  <c r="L129" i="39" s="1"/>
  <c r="L134" i="39" s="1"/>
  <c r="L61" i="37"/>
  <c r="L114" i="37" s="1"/>
  <c r="D84" i="33"/>
  <c r="L49" i="40" l="1"/>
  <c r="L48" i="40" s="1"/>
  <c r="L60" i="40" s="1"/>
  <c r="L61" i="40" s="1"/>
  <c r="L114" i="40" s="1"/>
  <c r="L131" i="39"/>
  <c r="L135" i="39" s="1"/>
  <c r="L86" i="40"/>
  <c r="L124" i="40" s="1"/>
  <c r="L130" i="39"/>
  <c r="L132" i="39" s="1"/>
  <c r="L62" i="37"/>
  <c r="L121" i="37" s="1"/>
  <c r="L127" i="37" s="1"/>
  <c r="D117" i="33"/>
  <c r="D76" i="33"/>
  <c r="L68" i="40" l="1"/>
  <c r="L70" i="40" s="1"/>
  <c r="L122" i="40" s="1"/>
  <c r="L62" i="40"/>
  <c r="L121" i="40" s="1"/>
  <c r="L129" i="37"/>
  <c r="L134" i="37" s="1"/>
  <c r="L130" i="37"/>
  <c r="L132" i="37" s="1"/>
  <c r="D86" i="33"/>
  <c r="D124" i="33" s="1"/>
  <c r="E33" i="33" s="1"/>
  <c r="D116" i="33"/>
  <c r="D68" i="33"/>
  <c r="D70" i="33" s="1"/>
  <c r="D122" i="33" s="1"/>
  <c r="L127" i="40" l="1"/>
  <c r="L129" i="40" s="1"/>
  <c r="L134" i="40" s="1"/>
  <c r="L131" i="37"/>
  <c r="L135" i="37" s="1"/>
  <c r="D78" i="33"/>
  <c r="D123" i="33" s="1"/>
  <c r="E32" i="33" s="1"/>
  <c r="E31" i="33"/>
  <c r="D60" i="33"/>
  <c r="L130" i="40" l="1"/>
  <c r="L132" i="40" s="1"/>
  <c r="L131" i="40"/>
  <c r="L135" i="40" s="1"/>
  <c r="D62" i="33"/>
  <c r="D121" i="33" s="1"/>
  <c r="E30" i="33" s="1"/>
  <c r="D127" i="33" l="1"/>
  <c r="E29" i="33" s="1"/>
  <c r="D129" i="33" l="1"/>
  <c r="D131" i="33" s="1"/>
  <c r="D135" i="33" s="1"/>
  <c r="D130" i="33"/>
  <c r="D132" i="33" s="1"/>
  <c r="E38" i="33" l="1"/>
  <c r="E46" i="33" s="1"/>
  <c r="D134" i="33"/>
  <c r="E37" i="33"/>
  <c r="E39" i="33" l="1"/>
  <c r="E40" i="33" s="1"/>
  <c r="E42" i="33" l="1"/>
  <c r="E44" i="33"/>
  <c r="E92" i="33" s="1"/>
  <c r="E94" i="33" s="1"/>
  <c r="E125" i="33" s="1"/>
  <c r="F34" i="33" s="1"/>
  <c r="E41" i="33"/>
  <c r="E43" i="33"/>
  <c r="E51" i="33" s="1"/>
  <c r="E50" i="33" l="1"/>
  <c r="E49" i="33" s="1"/>
  <c r="E48" i="33" l="1"/>
  <c r="E76" i="33"/>
  <c r="E84" i="33"/>
  <c r="E117" i="33" s="1"/>
  <c r="E116" i="33"/>
  <c r="E68" i="33" l="1"/>
  <c r="E70" i="33" s="1"/>
  <c r="E122" i="33" s="1"/>
  <c r="F31" i="33" s="1"/>
  <c r="E86" i="33"/>
  <c r="E124" i="33" s="1"/>
  <c r="F33" i="33" s="1"/>
  <c r="E78" i="33"/>
  <c r="E123" i="33" s="1"/>
  <c r="F32" i="33" s="1"/>
  <c r="E60" i="33"/>
  <c r="E62" i="33" s="1"/>
  <c r="E121" i="33" s="1"/>
  <c r="F30" i="33" s="1"/>
  <c r="E127" i="33" l="1"/>
  <c r="F29" i="33" s="1"/>
  <c r="E129" i="33" l="1"/>
  <c r="E131" i="33" s="1"/>
  <c r="E135" i="33" s="1"/>
  <c r="E130" i="33"/>
  <c r="E132" i="33" s="1"/>
  <c r="F38" i="33" l="1"/>
  <c r="F46" i="33" s="1"/>
  <c r="E134" i="33"/>
  <c r="F37" i="33"/>
  <c r="F39" i="33" s="1"/>
  <c r="F40" i="33" s="1"/>
  <c r="F41" i="33" l="1"/>
  <c r="F44" i="33"/>
  <c r="F92" i="33" s="1"/>
  <c r="F42" i="33"/>
  <c r="F43" i="33"/>
  <c r="F51" i="33" s="1"/>
  <c r="F50" i="33" l="1"/>
  <c r="F49" i="33" s="1"/>
  <c r="F94" i="33"/>
  <c r="F125" i="33" s="1"/>
  <c r="G34" i="33" s="1"/>
  <c r="F48" i="33" l="1"/>
  <c r="F76" i="33"/>
  <c r="F84" i="33"/>
  <c r="F117" i="33" l="1"/>
  <c r="F86" i="33" l="1"/>
  <c r="F124" i="33" s="1"/>
  <c r="G33" i="33" s="1"/>
  <c r="F116" i="33"/>
  <c r="F68" i="33"/>
  <c r="F70" i="33" s="1"/>
  <c r="F122" i="33" s="1"/>
  <c r="F78" i="33" l="1"/>
  <c r="F123" i="33" s="1"/>
  <c r="G32" i="33" s="1"/>
  <c r="G31" i="33"/>
  <c r="F60" i="33"/>
  <c r="F62" i="33" s="1"/>
  <c r="F121" i="33" s="1"/>
  <c r="G30" i="33" s="1"/>
  <c r="F127" i="33" l="1"/>
  <c r="G29" i="33" s="1"/>
  <c r="F129" i="33" l="1"/>
  <c r="F131" i="33" s="1"/>
  <c r="F135" i="33" s="1"/>
  <c r="F130" i="33"/>
  <c r="F132" i="33" s="1"/>
  <c r="G38" i="33" l="1"/>
  <c r="G46" i="33" s="1"/>
  <c r="F134" i="33"/>
  <c r="G37" i="33"/>
  <c r="G39" i="33" s="1"/>
  <c r="G42" i="33" s="1"/>
  <c r="G40" i="33" l="1"/>
  <c r="G44" i="33"/>
  <c r="G92" i="33" s="1"/>
  <c r="G43" i="33"/>
  <c r="G51" i="33" s="1"/>
  <c r="G41" i="33"/>
  <c r="G50" i="33" l="1"/>
  <c r="G49" i="33" s="1"/>
  <c r="G94" i="33"/>
  <c r="G125" i="33" s="1"/>
  <c r="G48" i="33" l="1"/>
  <c r="G84" i="33"/>
  <c r="G117" i="33" l="1"/>
  <c r="G76" i="33"/>
  <c r="G86" i="33" l="1"/>
  <c r="G124" i="33" s="1"/>
  <c r="G116" i="33"/>
  <c r="G68" i="33"/>
  <c r="G70" i="33" s="1"/>
  <c r="G122" i="33" s="1"/>
  <c r="G78" i="33" l="1"/>
  <c r="G123" i="33" s="1"/>
  <c r="G60" i="33"/>
  <c r="G62" i="33" s="1"/>
  <c r="G121" i="33" s="1"/>
  <c r="G127" i="33" l="1"/>
  <c r="G129" i="33" l="1"/>
  <c r="G131" i="33" s="1"/>
  <c r="G135" i="33" s="1"/>
  <c r="G130" i="33"/>
  <c r="G132" i="33" s="1"/>
  <c r="G134" i="33" l="1"/>
  <c r="D33" i="44" l="1"/>
  <c r="D32" i="44"/>
  <c r="D31" i="44"/>
  <c r="C78" i="44"/>
  <c r="C123" i="44" s="1"/>
  <c r="C76" i="44"/>
  <c r="C85" i="44"/>
  <c r="C117" i="44" s="1"/>
  <c r="C84" i="44"/>
  <c r="C86" i="44" s="1"/>
  <c r="C124" i="44" s="1"/>
  <c r="C68" i="44"/>
  <c r="C70" i="44" s="1"/>
  <c r="C122" i="44" s="1"/>
  <c r="C60" i="44"/>
  <c r="C62" i="44" s="1"/>
  <c r="C121" i="44" s="1"/>
  <c r="C127" i="44" s="1"/>
  <c r="C130" i="44" l="1"/>
  <c r="C132" i="44" s="1"/>
  <c r="C129" i="44"/>
  <c r="C134" i="44" l="1"/>
  <c r="C131" i="44"/>
  <c r="C135" i="44" s="1"/>
</calcChain>
</file>

<file path=xl/sharedStrings.xml><?xml version="1.0" encoding="utf-8"?>
<sst xmlns="http://schemas.openxmlformats.org/spreadsheetml/2006/main" count="1054" uniqueCount="336">
  <si>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</si>
  <si>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</si>
  <si>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</si>
  <si>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</si>
  <si>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</si>
  <si>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</si>
  <si>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</si>
  <si>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</si>
  <si>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</si>
  <si>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</si>
  <si>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</si>
  <si>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</si>
  <si>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</si>
  <si>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</si>
  <si>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</si>
  <si>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</si>
  <si>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</si>
  <si>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</si>
  <si>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</si>
  <si>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</si>
  <si>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</si>
  <si>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</si>
  <si>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</si>
  <si>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</si>
  <si>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</si>
  <si>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</si>
  <si>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</si>
  <si>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</si>
  <si>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</si>
  <si>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</si>
  <si>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</si>
  <si>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</si>
  <si>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</si>
  <si>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</si>
  <si>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</si>
  <si>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</si>
  <si>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</si>
  <si>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</si>
  <si>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</si>
  <si>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</si>
  <si>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</si>
  <si>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</si>
  <si>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</si>
  <si>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</si>
  <si>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</si>
  <si>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</si>
  <si>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</si>
  <si>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</si>
  <si>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</si>
  <si>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</si>
  <si>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</si>
  <si>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</si>
  <si>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</si>
  <si>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</si>
  <si>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</si>
  <si>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</si>
  <si>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</si>
  <si>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</si>
  <si>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</si>
  <si>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</si>
  <si>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</si>
  <si>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</si>
  <si>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</si>
  <si>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</si>
  <si>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</si>
  <si>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</si>
  <si>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</si>
  <si>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</si>
  <si>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</si>
  <si>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</si>
  <si>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</si>
  <si>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</si>
  <si>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</si>
  <si>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</si>
  <si>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</si>
  <si>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</si>
  <si>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</si>
  <si>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</si>
  <si>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</si>
  <si>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</si>
  <si>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</si>
  <si>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</si>
  <si>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</si>
  <si>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</si>
  <si>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</si>
  <si>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</si>
  <si>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</si>
  <si>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</si>
  <si>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</si>
  <si>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</si>
  <si>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</si>
  <si>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</si>
  <si>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</si>
  <si>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</si>
  <si>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</si>
  <si>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</si>
  <si>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</si>
  <si>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</si>
  <si>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</si>
  <si>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</si>
  <si>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</si>
  <si>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</si>
  <si>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</si>
  <si>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</si>
  <si>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</si>
  <si>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</si>
  <si>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</si>
  <si>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</si>
  <si>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</si>
  <si>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</si>
  <si>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</si>
  <si>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</si>
  <si>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</si>
  <si>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</si>
  <si>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</si>
  <si>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</si>
  <si>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</si>
  <si>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</si>
  <si>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</si>
  <si>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</si>
  <si>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</si>
  <si>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</si>
  <si>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</si>
  <si>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</si>
  <si>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</si>
  <si>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</si>
  <si>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</si>
  <si>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</si>
  <si>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</si>
  <si>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</si>
  <si>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</si>
  <si>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</si>
  <si>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</si>
  <si>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</si>
  <si>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</si>
  <si>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</si>
  <si>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</si>
  <si>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</si>
  <si>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</si>
  <si>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</si>
  <si>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</si>
  <si>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</si>
  <si>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</si>
  <si>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</si>
  <si>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</si>
  <si>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</si>
  <si>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</si>
  <si>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</si>
  <si>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</si>
  <si>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</si>
  <si>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</si>
  <si>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</si>
  <si>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</si>
  <si>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</si>
  <si>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</si>
  <si>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</si>
  <si>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</si>
  <si>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</si>
  <si>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</si>
  <si>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</si>
  <si>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</si>
  <si>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</si>
  <si>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</si>
  <si>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</si>
  <si>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</si>
  <si>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</si>
  <si>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</si>
  <si>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</si>
  <si>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</si>
  <si>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</si>
  <si>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</si>
  <si>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</si>
  <si>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</si>
  <si>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</si>
  <si>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</si>
  <si>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</si>
  <si>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</si>
  <si>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</si>
  <si>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</si>
  <si>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</si>
  <si>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</si>
  <si>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</si>
  <si>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</si>
  <si>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</si>
  <si>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</si>
  <si>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</si>
  <si>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</si>
  <si>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</si>
  <si>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</si>
  <si>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</si>
  <si>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</si>
  <si>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</si>
  <si>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</si>
  <si>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</si>
  <si>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</si>
  <si>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</si>
  <si>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</si>
  <si>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</si>
  <si>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</si>
  <si>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</si>
  <si>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</si>
  <si>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</si>
  <si>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</si>
  <si>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</si>
  <si>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</si>
  <si>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</si>
  <si>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</si>
  <si>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</si>
  <si>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</si>
  <si>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</si>
  <si>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</si>
  <si>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</si>
  <si>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</si>
  <si>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</si>
  <si>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Enter reservoir evaporation rates, storating storages, and protect elevations for Lake Powell and Lake Mead in Rows 21-23.</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</si>
  <si>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</si>
  <si>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</si>
  <si>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</si>
  <si>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</si>
  <si>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</si>
  <si>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</si>
  <si>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</si>
  <si>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</si>
  <si>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</si>
  <si>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</si>
  <si>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</si>
  <si>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</si>
  <si>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</si>
  <si>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</si>
  <si>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</si>
  <si>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</si>
  <si>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</si>
  <si>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</si>
  <si>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</si>
  <si>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</si>
  <si>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</si>
  <si>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</si>
  <si>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</si>
  <si>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</si>
  <si>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</si>
  <si>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</si>
  <si>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</si>
  <si>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</si>
  <si>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</si>
  <si>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</si>
  <si>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</si>
  <si>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</si>
  <si>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</si>
  <si>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</si>
  <si>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</si>
  <si>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</si>
  <si>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</si>
  <si>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</si>
  <si>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</si>
  <si>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</si>
  <si>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</si>
  <si>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</si>
  <si>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</si>
  <si>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</si>
  <si>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</si>
  <si>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</si>
  <si>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</si>
  <si>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</si>
  <si>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</si>
  <si>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</si>
  <si>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</si>
  <si>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</si>
  <si>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</si>
  <si>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</si>
  <si>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</si>
  <si>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</si>
  <si>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</si>
  <si>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</si>
  <si>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</si>
  <si>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</si>
  <si>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</si>
  <si>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Allow players to change protect volume over time</t>
  </si>
  <si>
    <t>Add column to explain each item/where number came from</t>
  </si>
  <si>
    <t>Add column to give context to each choice/decision</t>
  </si>
  <si>
    <t>Account for join power revenues from Mead and Powell</t>
  </si>
  <si>
    <t>Why Mohave/Havasu account? Can this change to physical data?</t>
  </si>
  <si>
    <t>Revisit low flow year. Are these results for real?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</si>
  <si>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</si>
  <si>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</si>
  <si>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</si>
  <si>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To use, f</t>
    </r>
    <r>
      <rPr>
        <sz val="11"/>
        <color theme="1"/>
        <rFont val="Calibri"/>
        <family val="2"/>
        <scheme val="minor"/>
      </rPr>
      <t>ollow the directions below. Use either solo (play all the parties) or with other people (each person playes one or more party).</t>
    </r>
  </si>
  <si>
    <t>On the new worksheet, name each role (party) and assign to a player (Rows 4-11). There can be up to 6 players.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</si>
  <si>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18. A facilitator may or may not reveal the hydrologic scenario to the players. See HydrologicScenarios worksheet for some potential hydrologies.</t>
    </r>
  </si>
  <si>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and </t>
    </r>
    <r>
      <rPr>
        <b/>
        <sz val="11"/>
        <color theme="1"/>
        <rFont val="Calibri"/>
        <family val="2"/>
        <scheme val="minor"/>
      </rPr>
      <t>Grand Canyon tributary inflow</t>
    </r>
    <r>
      <rPr>
        <sz val="11"/>
        <color theme="1"/>
        <rFont val="Calibri"/>
        <family val="2"/>
        <scheme val="minor"/>
      </rPr>
      <t xml:space="preserve"> in Cell C28.</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</si>
  <si>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</si>
  <si>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</si>
  <si>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</si>
  <si>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</si>
  <si>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</si>
  <si>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r>
      <t xml:space="preserve">The purpose of this numerical model is to promote thought, discussion, and collaboration about the renegotiations of the 2007 Colorado River Interim Guidelines </t>
    </r>
    <r>
      <rPr>
        <sz val="11"/>
        <color theme="1"/>
        <rFont val="Calibri"/>
        <family val="2"/>
        <scheme val="minor"/>
      </rPr>
      <t>for Lower Basin Shortages and the Coordinated Operations for Lake Powell and Lake Mead and the</t>
    </r>
    <r>
      <rPr>
        <b/>
        <sz val="11"/>
        <color theme="1"/>
        <rFont val="Calibri"/>
        <family val="2"/>
        <scheme val="minor"/>
      </rPr>
      <t xml:space="preserve"> 2019 Lower and Upper Basin Drought Contingency Plans. </t>
    </r>
    <r>
      <rPr>
        <sz val="11"/>
        <color theme="1"/>
        <rFont val="Calibri"/>
        <family val="2"/>
        <scheme val="minor"/>
      </rPr>
      <t xml:space="preserve">The Interim Guidelines are available at https://www.usbr.gov/lc/region/programs/strategies/RecordofDecision.pdf. The Drought Contingency Plans are available at https://www.usbr.gov/dcp/finaldocs.html. </t>
    </r>
    <r>
      <rPr>
        <b/>
        <sz val="11"/>
        <color theme="1"/>
        <rFont val="Calibri"/>
        <family val="2"/>
        <scheme val="minor"/>
      </rPr>
      <t>The operations expire in 2026</t>
    </r>
    <r>
      <rPr>
        <sz val="11"/>
        <color theme="1"/>
        <rFont val="Calibri"/>
        <family val="2"/>
        <scheme val="minor"/>
      </rPr>
      <t>.</t>
    </r>
  </si>
  <si>
    <t>This numerical model illustrates these key changes to the Interim Guidelines and Drought Contingency Plans:</t>
  </si>
  <si>
    <t>Plots of Lower and Upper Basin Consumptive Use and Account Balances that compare results for 7.5-Trade and 7.5-LawOfRiver operations. Also a plot of combined storage.</t>
  </si>
  <si>
    <t>8.5-Trade</t>
  </si>
  <si>
    <t>8.5-LawOfRiver</t>
  </si>
  <si>
    <t>8.5-Plots</t>
  </si>
  <si>
    <t>A completed role play with Lee Ferry natural flows of 11.0, 9.0, and 8.5 maf per year in first three years.  Allows trades between users. Upper Basin sells to Lower Basin in Year 1 to spark conservation efforts in advance of curtailment and Upper Basin buys from Lower Basin in years 2 and 3. 8.5 maf is the flow when Upper Basin is curtailed (8.23 maf + Powell evaporation).</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</si>
  <si>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</si>
  <si>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</si>
  <si>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</si>
  <si>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Reclamation modeler</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</si>
  <si>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</si>
  <si>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</si>
  <si>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</si>
  <si>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</si>
  <si>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</si>
  <si>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</si>
  <si>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</si>
  <si>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increased relative abundance of native fishes in  western Grand Canyon, but other factors also likely  contribute to these trends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</si>
  <si>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</si>
  <si>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</si>
  <si>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</si>
  <si>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</si>
  <si>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</si>
  <si>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</si>
  <si>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</si>
  <si>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</si>
  <si>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 xml:space="preserve">     Temperature (oC) &amp; suitability for native fish</t>
  </si>
  <si>
    <t>&lt; 12</t>
  </si>
  <si>
    <t>&lt; 15</t>
  </si>
  <si>
    <t>&lt; 18</t>
  </si>
  <si>
    <t>&gt; 18</t>
  </si>
  <si>
    <t>See PowellRelease worksheet. Wheeler et al (2021). p.48, Sidebar #1. https://qcnr.usu.edu/coloradoriver/files/WhitePaper6.pdf</t>
  </si>
  <si>
    <t xml:space="preserve">     Temperature (oC) &amp; suitability for native fish (color)</t>
  </si>
  <si>
    <t>3.3.10</t>
  </si>
  <si>
    <t>7/26/20201</t>
  </si>
  <si>
    <t>Estimate Lake Powell temperature release from elevation. At bottom.</t>
  </si>
  <si>
    <t>Havasu / Parker evaporation and ET</t>
  </si>
  <si>
    <t>Combined Natural Inflow minus Havasu/Parker Evap.</t>
  </si>
  <si>
    <t>3.4.0</t>
  </si>
  <si>
    <t>Add Havasu/Parker as physical data, remove from accounts. Recalculate Lower Basin share of inflow to better reflect Article III(d) of 1922 compact</t>
  </si>
  <si>
    <t xml:space="preserve">Carry over Havasu/Parker, Lower Basin inflow to Master, Master-Today, 8.1 Trade, 8.1-LawOfRiver, Millenium Recover, Delta.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</si>
</sst>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79">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1" fillId="10"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10" borderId="9" xfId="0" applyFont="1" applyFill="1" applyBorder="1" applyAlignment="1">
      <alignment horizontal="center" vertical="center" wrapText="1"/>
    </xf>
    <xf numFmtId="0" fontId="0" fillId="0" borderId="0" xfId="0" applyAlignment="1">
      <alignment vertical="top" wrapText="1"/>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0" fontId="5" fillId="5" borderId="9" xfId="6" applyBorder="1" applyAlignment="1">
      <alignment horizontal="center"/>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2" borderId="9" xfId="1" applyNumberFormat="1" applyFont="1" applyFill="1" applyBorder="1" applyAlignment="1">
      <alignment horizontal="center" vertical="top" wrapText="1"/>
    </xf>
    <xf numFmtId="0" fontId="0" fillId="12" borderId="9" xfId="0" applyFont="1" applyFill="1" applyBorder="1" applyAlignment="1">
      <alignment horizontal="center" vertical="top" wrapText="1"/>
    </xf>
    <xf numFmtId="0" fontId="0" fillId="12" borderId="9" xfId="0" applyFont="1" applyFill="1" applyBorder="1" applyAlignment="1">
      <alignment vertical="center" wrapText="1"/>
    </xf>
    <xf numFmtId="166" fontId="2" fillId="12" borderId="9" xfId="1" applyNumberFormat="1" applyFont="1" applyFill="1" applyBorder="1" applyAlignment="1">
      <alignment horizontal="center" vertical="top" wrapText="1"/>
    </xf>
    <xf numFmtId="0" fontId="2" fillId="12" borderId="9" xfId="0" applyFont="1" applyFill="1" applyBorder="1" applyAlignment="1">
      <alignment horizontal="center" vertical="top" wrapText="1"/>
    </xf>
    <xf numFmtId="0" fontId="2" fillId="12" borderId="9" xfId="0" applyFont="1" applyFill="1" applyBorder="1" applyAlignment="1">
      <alignment vertical="center" wrapText="1"/>
    </xf>
    <xf numFmtId="166" fontId="0" fillId="12" borderId="9" xfId="1" applyNumberFormat="1" applyFont="1" applyFill="1" applyBorder="1" applyAlignment="1">
      <alignment horizontal="center" vertical="top"/>
    </xf>
    <xf numFmtId="0" fontId="0" fillId="12" borderId="9" xfId="0" applyFill="1" applyBorder="1" applyAlignment="1">
      <alignment horizontal="center" vertical="top"/>
    </xf>
    <xf numFmtId="0" fontId="0" fillId="12"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13" borderId="9" xfId="1" applyNumberFormat="1" applyFont="1" applyFill="1" applyBorder="1" applyAlignment="1">
      <alignment horizontal="center" vertical="top"/>
    </xf>
    <xf numFmtId="0" fontId="0" fillId="13" borderId="9" xfId="0" applyFill="1" applyBorder="1" applyAlignment="1">
      <alignment horizontal="center" vertical="top"/>
    </xf>
    <xf numFmtId="0" fontId="0" fillId="13" borderId="9" xfId="0" applyFill="1" applyBorder="1" applyAlignment="1">
      <alignment vertical="top" wrapText="1"/>
    </xf>
    <xf numFmtId="0" fontId="0" fillId="13" borderId="9" xfId="0" applyFill="1" applyBorder="1" applyAlignment="1">
      <alignment horizontal="left" vertical="top" wrapText="1"/>
    </xf>
    <xf numFmtId="166" fontId="0" fillId="12" borderId="1" xfId="1" applyNumberFormat="1" applyFont="1" applyFill="1" applyBorder="1" applyAlignment="1">
      <alignment horizontal="center" vertical="top"/>
    </xf>
    <xf numFmtId="0" fontId="5" fillId="5" borderId="9" xfId="6" applyBorder="1" applyAlignment="1">
      <alignment horizontal="center"/>
    </xf>
    <xf numFmtId="164" fontId="4" fillId="3" borderId="17" xfId="3" applyNumberFormat="1" applyBorder="1" applyAlignment="1">
      <alignment horizontal="center"/>
    </xf>
    <xf numFmtId="2" fontId="4" fillId="3" borderId="17" xfId="3" applyNumberFormat="1" applyBorder="1" applyAlignment="1">
      <alignment horizontal="center"/>
    </xf>
    <xf numFmtId="164" fontId="4" fillId="3" borderId="18"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3" fillId="2" borderId="16" xfId="2" applyBorder="1" applyAlignment="1">
      <alignment horizontal="center"/>
    </xf>
    <xf numFmtId="0" fontId="3" fillId="2" borderId="0" xfId="2" applyBorder="1" applyAlignment="1">
      <alignment horizontal="center"/>
    </xf>
    <xf numFmtId="0" fontId="5" fillId="5" borderId="0" xfId="6" applyAlignment="1">
      <alignment horizontal="center"/>
    </xf>
    <xf numFmtId="0" fontId="4" fillId="3" borderId="16" xfId="3" applyBorder="1" applyAlignment="1">
      <alignment horizontal="center"/>
    </xf>
    <xf numFmtId="0" fontId="4" fillId="3" borderId="0" xfId="3"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5" fillId="5" borderId="9" xfId="6" applyBorder="1" applyAlignment="1">
      <alignment horizontal="left"/>
    </xf>
    <xf numFmtId="0" fontId="3" fillId="2" borderId="16" xfId="2" applyBorder="1" applyAlignment="1">
      <alignment horizontal="left"/>
    </xf>
    <xf numFmtId="0" fontId="3" fillId="2" borderId="0" xfId="2" applyBorder="1" applyAlignment="1">
      <alignment horizontal="left"/>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xf numFmtId="0" fontId="4" fillId="3" borderId="9" xfId="3" applyBorder="1" applyAlignment="1">
      <alignment horizontal="center"/>
    </xf>
    <xf numFmtId="1" fontId="4" fillId="3" borderId="1" xfId="3" applyNumberFormat="1" applyAlignment="1">
      <alignment horizontal="center"/>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3.4672910663844712</c:v>
                </c:pt>
                <c:pt idx="2">
                  <c:v>0</c:v>
                </c:pt>
                <c:pt idx="3">
                  <c:v>0</c:v>
                </c:pt>
                <c:pt idx="4">
                  <c:v>0</c:v>
                </c:pt>
              </c:numCache>
            </c:numRef>
          </c:val>
          <c:smooth val="0"/>
          <c:extLst>
            <c:ext xmlns:c16="http://schemas.microsoft.com/office/drawing/2014/chart" uri="{C3380CC4-5D6E-409C-BE32-E72D297353CC}">
              <c16:uniqueId val="{00000000-CC4C-4AEA-B975-7C4A7FB55AED}"/>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278-41EB-93C8-3B9552FEB94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3.5040452368981789</c:v>
                </c:pt>
                <c:pt idx="2">
                  <c:v>1.8046756171877996</c:v>
                </c:pt>
                <c:pt idx="3">
                  <c:v>1.5073083708761699</c:v>
                </c:pt>
                <c:pt idx="4">
                  <c:v>0.82025417022418101</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3.1233582945981313</c:v>
                </c:pt>
                <c:pt idx="2">
                  <c:v>0</c:v>
                </c:pt>
                <c:pt idx="3">
                  <c:v>0</c:v>
                </c:pt>
                <c:pt idx="4">
                  <c:v>0</c:v>
                </c:pt>
              </c:numCache>
            </c:numRef>
          </c:val>
          <c:smooth val="0"/>
          <c:extLst>
            <c:ext xmlns:c16="http://schemas.microsoft.com/office/drawing/2014/chart" uri="{C3380CC4-5D6E-409C-BE32-E72D297353CC}">
              <c16:uniqueId val="{00000001-A243-4D6A-9A25-2CBF47155BF4}"/>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8A7-48E0-8C53-8B0F590BE0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6.8870000000000005</c:v>
                </c:pt>
                <c:pt idx="3">
                  <c:v>6.4870000000000001</c:v>
                </c:pt>
                <c:pt idx="4">
                  <c:v>6.4870000000000001</c:v>
                </c:pt>
              </c:numCache>
            </c:numRef>
          </c:val>
          <c:smooth val="0"/>
          <c:extLst>
            <c:ext xmlns:c16="http://schemas.microsoft.com/office/drawing/2014/chart" uri="{C3380CC4-5D6E-409C-BE32-E72D297353CC}">
              <c16:uniqueId val="{00000001-B987-46E0-BA8D-5A8EF0E19845}"/>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564-4618-BB71-3D97C45459D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4.0083315344091641</c:v>
                </c:pt>
                <c:pt idx="2">
                  <c:v>3.6204249224669756</c:v>
                </c:pt>
                <c:pt idx="3">
                  <c:v>2.7877511675799429</c:v>
                </c:pt>
                <c:pt idx="4">
                  <c:v>2.4480244717223947</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0.63504403319325053</c:v>
                </c:pt>
              </c:numCache>
            </c:numRef>
          </c:val>
          <c:smooth val="0"/>
          <c:extLst>
            <c:ext xmlns:c16="http://schemas.microsoft.com/office/drawing/2014/chart" uri="{C3380CC4-5D6E-409C-BE32-E72D297353CC}">
              <c16:uniqueId val="{00000001-D877-4E0B-8DD9-991F585A264B}"/>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F28-4B7F-8C80-8CAA73CD13B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16.611442566000601</c:v>
                </c:pt>
                <c:pt idx="3">
                  <c:v>14.115209246000601</c:v>
                </c:pt>
                <c:pt idx="4">
                  <c:v>13.099989028500001</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18.888432055485019</c:v>
                </c:pt>
                <c:pt idx="2">
                  <c:v>15.368777979766044</c:v>
                </c:pt>
                <c:pt idx="3">
                  <c:v>14.527451853932682</c:v>
                </c:pt>
                <c:pt idx="4">
                  <c:v>14.179353953099321</c:v>
                </c:pt>
              </c:numCache>
            </c:numRef>
          </c:val>
          <c:smooth val="0"/>
          <c:extLst>
            <c:ext xmlns:c16="http://schemas.microsoft.com/office/drawing/2014/chart" uri="{C3380CC4-5D6E-409C-BE32-E72D297353CC}">
              <c16:uniqueId val="{00000001-146F-4E67-AE68-DB79AAE4A897}"/>
            </c:ext>
          </c:extLst>
        </c:ser>
        <c:ser>
          <c:idx val="3"/>
          <c:order val="2"/>
          <c:tx>
            <c:v>Today</c:v>
          </c:tx>
          <c:spPr>
            <a:ln w="19050" cap="rnd">
              <a:solidFill>
                <a:schemeClr val="accent4"/>
              </a:solidFill>
              <a:round/>
            </a:ln>
            <a:effectLst/>
          </c:spPr>
          <c:marker>
            <c:symbol val="circle"/>
            <c:size val="5"/>
            <c:spPr>
              <a:solidFill>
                <a:schemeClr val="accent4"/>
              </a:solidFill>
              <a:ln w="9525">
                <a:solidFill>
                  <a:schemeClr val="accent4"/>
                </a:solidFill>
              </a:ln>
              <a:effectLst/>
            </c:spPr>
          </c:marker>
          <c:val>
            <c:numRef>
              <c:f>'Master-Today'!$C$127:$G$127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A8C-4656-B9D7-9E98885C06EB}"/>
            </c:ext>
          </c:extLst>
        </c:ser>
        <c:ser>
          <c:idx val="2"/>
          <c:order val="3"/>
          <c:tx>
            <c:strRef>
              <c:f>'8.1-Trade'!$A$10</c:f>
              <c:strCache>
                <c:ptCount val="1"/>
              </c:strCache>
            </c:strRef>
          </c:tx>
          <c:spPr>
            <a:ln w="28575" cap="rnd">
              <a:solidFill>
                <a:schemeClr val="tx1"/>
              </a:solidFill>
              <a:prstDash val="lgDash"/>
              <a:round/>
            </a:ln>
            <a:effectLst/>
          </c:spPr>
          <c:marker>
            <c:symbol val="none"/>
          </c:marker>
          <c:val>
            <c:numRef>
              <c:f>'8.1-Trade'!$C$125:$G$125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606716</xdr:colOff>
      <xdr:row>3</xdr:row>
      <xdr:rowOff>41648</xdr:rowOff>
    </xdr:from>
    <xdr:to>
      <xdr:col>12</xdr:col>
      <xdr:colOff>473285</xdr:colOff>
      <xdr:row>9</xdr:row>
      <xdr:rowOff>92360</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6136819" y="579530"/>
          <a:ext cx="4752334" cy="4286536"/>
        </a:xfrm>
        <a:prstGeom prst="rect">
          <a:avLst/>
        </a:prstGeom>
        <a:ln w="12700">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9"/>
  <sheetViews>
    <sheetView topLeftCell="A28" zoomScale="150" zoomScaleNormal="150" workbookViewId="0">
      <selection activeCell="C39" sqref="C39"/>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218</v>
      </c>
      <c r="B1" s="1"/>
      <c r="C1" s="2"/>
      <c r="D1"/>
    </row>
    <row r="2" spans="1:12" x14ac:dyDescent="0.35">
      <c r="A2" s="1"/>
      <c r="B2" s="1"/>
      <c r="C2" s="2"/>
      <c r="D2"/>
    </row>
    <row r="3" spans="1:12" x14ac:dyDescent="0.35">
      <c r="A3" s="1" t="s">
        <v>251</v>
      </c>
      <c r="B3" s="1"/>
      <c r="C3" s="2"/>
      <c r="D3"/>
    </row>
    <row r="4" spans="1:12" s="109" customFormat="1" ht="79.5" customHeight="1" x14ac:dyDescent="0.35">
      <c r="A4" s="158" t="s">
        <v>294</v>
      </c>
      <c r="B4" s="158"/>
      <c r="C4" s="158"/>
      <c r="D4" s="158"/>
      <c r="E4" s="158"/>
      <c r="F4" s="158"/>
      <c r="G4" s="158"/>
      <c r="H4" s="158"/>
      <c r="I4" s="158"/>
      <c r="J4" s="158"/>
      <c r="K4" s="158"/>
      <c r="L4" s="158"/>
    </row>
    <row r="5" spans="1:12" s="32" customFormat="1" ht="16" customHeight="1" x14ac:dyDescent="0.35">
      <c r="A5" s="147" t="s">
        <v>295</v>
      </c>
      <c r="B5" s="147"/>
      <c r="C5" s="147"/>
      <c r="D5" s="147"/>
      <c r="E5" s="147"/>
      <c r="F5" s="147"/>
      <c r="G5" s="147"/>
      <c r="H5" s="147"/>
      <c r="I5" s="147"/>
      <c r="J5" s="147"/>
      <c r="K5" s="147"/>
      <c r="L5" s="147"/>
    </row>
    <row r="6" spans="1:12" s="32" customFormat="1" ht="32.5" customHeight="1" x14ac:dyDescent="0.35">
      <c r="A6" s="147" t="s">
        <v>244</v>
      </c>
      <c r="B6" s="147"/>
      <c r="C6" s="147"/>
      <c r="D6" s="147"/>
      <c r="E6" s="147"/>
      <c r="F6" s="147"/>
      <c r="G6" s="147"/>
      <c r="H6" s="147"/>
      <c r="I6" s="147"/>
      <c r="J6" s="147"/>
      <c r="K6" s="147"/>
      <c r="L6" s="147"/>
    </row>
    <row r="7" spans="1:12" s="32" customFormat="1" ht="32.5" customHeight="1" x14ac:dyDescent="0.35">
      <c r="A7" s="147" t="s">
        <v>246</v>
      </c>
      <c r="B7" s="147"/>
      <c r="C7" s="147"/>
      <c r="D7" s="147"/>
      <c r="E7" s="147"/>
      <c r="F7" s="147"/>
      <c r="G7" s="147"/>
      <c r="H7" s="147"/>
      <c r="I7" s="147"/>
      <c r="J7" s="147"/>
      <c r="K7" s="147"/>
      <c r="L7" s="147"/>
    </row>
    <row r="8" spans="1:12" s="32" customFormat="1" ht="16.5" customHeight="1" x14ac:dyDescent="0.35">
      <c r="A8" s="147" t="s">
        <v>247</v>
      </c>
      <c r="B8" s="147"/>
      <c r="C8" s="147"/>
      <c r="D8" s="147"/>
      <c r="E8" s="147"/>
      <c r="F8" s="147"/>
      <c r="G8" s="147"/>
      <c r="H8" s="147"/>
      <c r="I8" s="147"/>
      <c r="J8" s="147"/>
      <c r="K8" s="147"/>
      <c r="L8" s="147"/>
    </row>
    <row r="9" spans="1:12" s="32" customFormat="1" ht="15" customHeight="1" x14ac:dyDescent="0.35">
      <c r="A9" s="147" t="s">
        <v>252</v>
      </c>
      <c r="B9" s="147"/>
      <c r="C9" s="147"/>
      <c r="D9" s="147"/>
      <c r="E9" s="147"/>
      <c r="F9" s="147"/>
      <c r="G9" s="147"/>
      <c r="H9" s="147"/>
      <c r="I9" s="147"/>
      <c r="J9" s="147"/>
      <c r="K9" s="147"/>
      <c r="L9" s="147"/>
    </row>
    <row r="10" spans="1:12" s="32" customFormat="1" ht="30" customHeight="1" x14ac:dyDescent="0.35">
      <c r="A10" s="147" t="s">
        <v>248</v>
      </c>
      <c r="B10" s="147"/>
      <c r="C10" s="147"/>
      <c r="D10" s="147"/>
      <c r="E10" s="147"/>
      <c r="F10" s="147"/>
      <c r="G10" s="147"/>
      <c r="H10" s="147"/>
      <c r="I10" s="147"/>
      <c r="J10" s="147"/>
      <c r="K10" s="147"/>
      <c r="L10" s="147"/>
    </row>
    <row r="11" spans="1:12" ht="69" customHeight="1" x14ac:dyDescent="0.35">
      <c r="A11" s="147" t="s">
        <v>249</v>
      </c>
      <c r="B11" s="147"/>
      <c r="C11" s="147"/>
      <c r="D11" s="147"/>
      <c r="E11" s="147"/>
      <c r="F11" s="147"/>
      <c r="G11" s="147"/>
      <c r="H11" s="147"/>
      <c r="I11" s="147"/>
      <c r="J11" s="147"/>
      <c r="K11" s="147"/>
      <c r="L11" s="147"/>
    </row>
    <row r="12" spans="1:12" ht="50.5" customHeight="1" x14ac:dyDescent="0.35">
      <c r="A12" s="147" t="s">
        <v>210</v>
      </c>
      <c r="B12" s="147"/>
      <c r="C12" s="147"/>
      <c r="D12" s="147"/>
      <c r="E12" s="147"/>
      <c r="F12" s="147"/>
      <c r="G12" s="147"/>
      <c r="H12" s="147"/>
      <c r="I12" s="147"/>
      <c r="J12" s="147"/>
      <c r="K12" s="147"/>
      <c r="L12" s="147"/>
    </row>
    <row r="13" spans="1:12" ht="48.5" customHeight="1" x14ac:dyDescent="0.35">
      <c r="A13" s="147" t="s">
        <v>211</v>
      </c>
      <c r="B13" s="147"/>
      <c r="C13" s="147"/>
      <c r="D13" s="147"/>
      <c r="E13" s="147"/>
      <c r="F13" s="147"/>
      <c r="G13" s="147"/>
      <c r="H13" s="147"/>
      <c r="I13" s="147"/>
      <c r="J13" s="147"/>
      <c r="K13" s="147"/>
      <c r="L13" s="147"/>
    </row>
    <row r="14" spans="1:12" ht="15.5" customHeight="1" x14ac:dyDescent="0.35">
      <c r="A14" s="147" t="s">
        <v>285</v>
      </c>
      <c r="B14" s="147"/>
      <c r="C14" s="147"/>
      <c r="D14" s="147"/>
      <c r="E14" s="147"/>
      <c r="F14" s="147"/>
      <c r="G14" s="147"/>
      <c r="H14" s="147"/>
      <c r="I14" s="147"/>
      <c r="J14" s="147"/>
      <c r="K14" s="147"/>
      <c r="L14" s="147"/>
    </row>
    <row r="15" spans="1:12" x14ac:dyDescent="0.35">
      <c r="B15" s="15"/>
      <c r="C15" s="15"/>
      <c r="D15" s="15"/>
      <c r="E15" s="15"/>
      <c r="F15" s="15"/>
      <c r="G15" s="15"/>
      <c r="H15" s="15"/>
      <c r="I15" s="15"/>
      <c r="J15" s="15"/>
      <c r="K15" s="15"/>
      <c r="L15" s="15"/>
    </row>
    <row r="16" spans="1:12" ht="16.5" customHeight="1" x14ac:dyDescent="0.35">
      <c r="A16" s="149" t="s">
        <v>212</v>
      </c>
      <c r="B16" s="150"/>
      <c r="C16" s="150"/>
      <c r="D16" s="150"/>
      <c r="E16" s="150"/>
      <c r="F16" s="150"/>
      <c r="G16" s="150"/>
      <c r="H16" s="150"/>
      <c r="I16" s="150"/>
      <c r="J16" s="150"/>
      <c r="K16" s="150"/>
      <c r="L16" s="151"/>
    </row>
    <row r="17" spans="1:12" ht="16.5" customHeight="1" x14ac:dyDescent="0.35">
      <c r="A17" s="28">
        <v>1</v>
      </c>
      <c r="B17" s="152" t="s">
        <v>142</v>
      </c>
      <c r="C17" s="152"/>
      <c r="D17" s="152"/>
      <c r="E17" s="152"/>
      <c r="F17" s="152"/>
      <c r="G17" s="152"/>
      <c r="H17" s="152"/>
      <c r="I17" s="152"/>
      <c r="J17" s="152"/>
      <c r="K17" s="152"/>
      <c r="L17" s="153"/>
    </row>
    <row r="18" spans="1:12" ht="16.5" customHeight="1" x14ac:dyDescent="0.35">
      <c r="A18" s="28">
        <v>2</v>
      </c>
      <c r="B18" s="152" t="s">
        <v>213</v>
      </c>
      <c r="C18" s="152"/>
      <c r="D18" s="152"/>
      <c r="E18" s="152"/>
      <c r="F18" s="152"/>
      <c r="G18" s="152"/>
      <c r="H18" s="152"/>
      <c r="I18" s="152"/>
      <c r="J18" s="152"/>
      <c r="K18" s="152"/>
      <c r="L18" s="153"/>
    </row>
    <row r="19" spans="1:12" ht="16.5" customHeight="1" x14ac:dyDescent="0.35">
      <c r="A19" s="28">
        <v>3</v>
      </c>
      <c r="B19" s="152" t="s">
        <v>92</v>
      </c>
      <c r="C19" s="152"/>
      <c r="D19" s="152"/>
      <c r="E19" s="152"/>
      <c r="F19" s="152"/>
      <c r="G19" s="152"/>
      <c r="H19" s="152"/>
      <c r="I19" s="152"/>
      <c r="J19" s="152"/>
      <c r="K19" s="152"/>
      <c r="L19" s="153"/>
    </row>
    <row r="20" spans="1:12" ht="32.5" customHeight="1" x14ac:dyDescent="0.35">
      <c r="A20" s="28">
        <v>4</v>
      </c>
      <c r="B20" s="152" t="s">
        <v>286</v>
      </c>
      <c r="C20" s="152"/>
      <c r="D20" s="152"/>
      <c r="E20" s="152"/>
      <c r="F20" s="152"/>
      <c r="G20" s="152"/>
      <c r="H20" s="152"/>
      <c r="I20" s="152"/>
      <c r="J20" s="152"/>
      <c r="K20" s="152"/>
      <c r="L20" s="153"/>
    </row>
    <row r="21" spans="1:12" ht="29" customHeight="1" x14ac:dyDescent="0.35">
      <c r="A21" s="28">
        <v>5</v>
      </c>
      <c r="B21" s="152" t="s">
        <v>287</v>
      </c>
      <c r="C21" s="152"/>
      <c r="D21" s="152"/>
      <c r="E21" s="152"/>
      <c r="F21" s="152"/>
      <c r="G21" s="152"/>
      <c r="H21" s="152"/>
      <c r="I21" s="152"/>
      <c r="J21" s="152"/>
      <c r="K21" s="152"/>
      <c r="L21" s="153"/>
    </row>
    <row r="22" spans="1:12" ht="16.5" customHeight="1" x14ac:dyDescent="0.35">
      <c r="A22" s="28">
        <v>6</v>
      </c>
      <c r="B22" s="152" t="s">
        <v>214</v>
      </c>
      <c r="C22" s="152"/>
      <c r="D22" s="152"/>
      <c r="E22" s="152"/>
      <c r="F22" s="152"/>
      <c r="G22" s="152"/>
      <c r="H22" s="152"/>
      <c r="I22" s="152"/>
      <c r="J22" s="152"/>
      <c r="K22" s="152"/>
      <c r="L22" s="153"/>
    </row>
    <row r="23" spans="1:12" ht="17.5" customHeight="1" x14ac:dyDescent="0.35">
      <c r="A23" s="28">
        <v>7</v>
      </c>
      <c r="B23" s="152" t="s">
        <v>288</v>
      </c>
      <c r="C23" s="152"/>
      <c r="D23" s="152"/>
      <c r="E23" s="152"/>
      <c r="F23" s="152"/>
      <c r="G23" s="152"/>
      <c r="H23" s="152"/>
      <c r="I23" s="152"/>
      <c r="J23" s="152"/>
      <c r="K23" s="152"/>
      <c r="L23" s="153"/>
    </row>
    <row r="24" spans="1:12" ht="31.5" customHeight="1" x14ac:dyDescent="0.35">
      <c r="A24" s="28">
        <v>8</v>
      </c>
      <c r="B24" s="152" t="s">
        <v>289</v>
      </c>
      <c r="C24" s="152"/>
      <c r="D24" s="152"/>
      <c r="E24" s="152"/>
      <c r="F24" s="152"/>
      <c r="G24" s="152"/>
      <c r="H24" s="152"/>
      <c r="I24" s="152"/>
      <c r="J24" s="152"/>
      <c r="K24" s="152"/>
      <c r="L24" s="153"/>
    </row>
    <row r="25" spans="1:12" ht="60.5" customHeight="1" x14ac:dyDescent="0.35">
      <c r="A25" s="28">
        <v>10</v>
      </c>
      <c r="B25" s="152" t="s">
        <v>290</v>
      </c>
      <c r="C25" s="152"/>
      <c r="D25" s="152"/>
      <c r="E25" s="152"/>
      <c r="F25" s="152"/>
      <c r="G25" s="152"/>
      <c r="H25" s="152"/>
      <c r="I25" s="152"/>
      <c r="J25" s="152"/>
      <c r="K25" s="152"/>
      <c r="L25" s="153"/>
    </row>
    <row r="26" spans="1:12" ht="16.5" customHeight="1" x14ac:dyDescent="0.35">
      <c r="A26" s="28">
        <v>11</v>
      </c>
      <c r="B26" s="152" t="s">
        <v>215</v>
      </c>
      <c r="C26" s="152"/>
      <c r="D26" s="152"/>
      <c r="E26" s="152"/>
      <c r="F26" s="152"/>
      <c r="G26" s="152"/>
      <c r="H26" s="152"/>
      <c r="I26" s="152"/>
      <c r="J26" s="152"/>
      <c r="K26" s="152"/>
      <c r="L26" s="153"/>
    </row>
    <row r="27" spans="1:12" ht="16.5" customHeight="1" x14ac:dyDescent="0.35">
      <c r="A27" s="28">
        <v>12</v>
      </c>
      <c r="B27" s="152" t="s">
        <v>291</v>
      </c>
      <c r="C27" s="152"/>
      <c r="D27" s="152"/>
      <c r="E27" s="152"/>
      <c r="F27" s="152"/>
      <c r="G27" s="152"/>
      <c r="H27" s="152"/>
      <c r="I27" s="152"/>
      <c r="J27" s="152"/>
      <c r="K27" s="152"/>
      <c r="L27" s="153"/>
    </row>
    <row r="28" spans="1:12" ht="32" customHeight="1" x14ac:dyDescent="0.35">
      <c r="A28" s="28">
        <v>13</v>
      </c>
      <c r="B28" s="152" t="s">
        <v>292</v>
      </c>
      <c r="C28" s="152"/>
      <c r="D28" s="152"/>
      <c r="E28" s="152"/>
      <c r="F28" s="152"/>
      <c r="G28" s="152"/>
      <c r="H28" s="152"/>
      <c r="I28" s="152"/>
      <c r="J28" s="152"/>
      <c r="K28" s="152"/>
      <c r="L28" s="153"/>
    </row>
    <row r="29" spans="1:12" ht="16.5" customHeight="1" x14ac:dyDescent="0.35">
      <c r="A29" s="28">
        <v>14</v>
      </c>
      <c r="B29" s="152" t="s">
        <v>293</v>
      </c>
      <c r="C29" s="152"/>
      <c r="D29" s="152"/>
      <c r="E29" s="152"/>
      <c r="F29" s="152"/>
      <c r="G29" s="152"/>
      <c r="H29" s="152"/>
      <c r="I29" s="152"/>
      <c r="J29" s="152"/>
      <c r="K29" s="152"/>
      <c r="L29" s="153"/>
    </row>
    <row r="30" spans="1:12" ht="16.5" customHeight="1" x14ac:dyDescent="0.35">
      <c r="A30" s="28">
        <v>15</v>
      </c>
      <c r="B30" s="154" t="s">
        <v>216</v>
      </c>
      <c r="C30" s="154"/>
      <c r="D30" s="154"/>
      <c r="E30" s="154"/>
      <c r="F30" s="154"/>
      <c r="G30" s="154"/>
      <c r="H30" s="154"/>
      <c r="I30" s="154"/>
      <c r="J30" s="154"/>
      <c r="K30" s="154"/>
      <c r="L30" s="155"/>
    </row>
    <row r="31" spans="1:12" ht="32" customHeight="1" x14ac:dyDescent="0.35">
      <c r="A31" s="28">
        <v>16</v>
      </c>
      <c r="B31" s="152" t="s">
        <v>217</v>
      </c>
      <c r="C31" s="152"/>
      <c r="D31" s="152"/>
      <c r="E31" s="152"/>
      <c r="F31" s="152"/>
      <c r="G31" s="152"/>
      <c r="H31" s="152"/>
      <c r="I31" s="152"/>
      <c r="J31" s="152"/>
      <c r="K31" s="152"/>
      <c r="L31" s="153"/>
    </row>
    <row r="32" spans="1:12" ht="31" customHeight="1" x14ac:dyDescent="0.35">
      <c r="A32" s="88">
        <v>17</v>
      </c>
      <c r="B32" s="156" t="s">
        <v>220</v>
      </c>
      <c r="C32" s="156"/>
      <c r="D32" s="156"/>
      <c r="E32" s="156"/>
      <c r="F32" s="156"/>
      <c r="G32" s="156"/>
      <c r="H32" s="156"/>
      <c r="I32" s="156"/>
      <c r="J32" s="156"/>
      <c r="K32" s="156"/>
      <c r="L32" s="157"/>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158</v>
      </c>
    </row>
    <row r="36" spans="1:12" x14ac:dyDescent="0.35">
      <c r="B36" s="2" t="s">
        <v>161</v>
      </c>
      <c r="C36" t="s">
        <v>209</v>
      </c>
    </row>
    <row r="37" spans="1:12" x14ac:dyDescent="0.35">
      <c r="B37" s="2" t="s">
        <v>297</v>
      </c>
      <c r="C37" t="s">
        <v>300</v>
      </c>
    </row>
    <row r="38" spans="1:12" x14ac:dyDescent="0.35">
      <c r="B38" s="2" t="s">
        <v>298</v>
      </c>
      <c r="C38" t="s">
        <v>301</v>
      </c>
    </row>
    <row r="39" spans="1:12" x14ac:dyDescent="0.35">
      <c r="B39" s="2" t="s">
        <v>299</v>
      </c>
      <c r="C39" t="s">
        <v>296</v>
      </c>
    </row>
    <row r="40" spans="1:12" x14ac:dyDescent="0.35">
      <c r="B40" s="2" t="s">
        <v>232</v>
      </c>
      <c r="C40" t="s">
        <v>234</v>
      </c>
    </row>
    <row r="41" spans="1:12" x14ac:dyDescent="0.35">
      <c r="B41" s="2" t="s">
        <v>233</v>
      </c>
      <c r="C41" t="s">
        <v>143</v>
      </c>
    </row>
    <row r="42" spans="1:12" x14ac:dyDescent="0.35">
      <c r="B42" s="2" t="s">
        <v>159</v>
      </c>
      <c r="C42" t="s">
        <v>235</v>
      </c>
    </row>
    <row r="43" spans="1:12" x14ac:dyDescent="0.35">
      <c r="B43" s="2" t="s">
        <v>236</v>
      </c>
      <c r="C43" t="s">
        <v>237</v>
      </c>
    </row>
    <row r="44" spans="1:12" x14ac:dyDescent="0.35">
      <c r="B44" s="2" t="s">
        <v>270</v>
      </c>
      <c r="C44" t="s">
        <v>271</v>
      </c>
    </row>
    <row r="45" spans="1:12" x14ac:dyDescent="0.35">
      <c r="B45" s="2" t="s">
        <v>95</v>
      </c>
      <c r="C45" t="s">
        <v>96</v>
      </c>
    </row>
    <row r="46" spans="1:12" x14ac:dyDescent="0.35">
      <c r="B46" s="2" t="s">
        <v>97</v>
      </c>
      <c r="C46" t="s">
        <v>98</v>
      </c>
    </row>
    <row r="47" spans="1:12" x14ac:dyDescent="0.35">
      <c r="B47" s="2" t="s">
        <v>144</v>
      </c>
      <c r="C47" t="s">
        <v>145</v>
      </c>
    </row>
    <row r="49" spans="1:12" x14ac:dyDescent="0.35">
      <c r="A49" s="1" t="s">
        <v>222</v>
      </c>
    </row>
    <row r="50" spans="1:12" x14ac:dyDescent="0.35">
      <c r="A50" t="s">
        <v>223</v>
      </c>
    </row>
    <row r="51" spans="1:12" x14ac:dyDescent="0.35">
      <c r="A51" t="s">
        <v>224</v>
      </c>
    </row>
    <row r="52" spans="1:12" x14ac:dyDescent="0.35">
      <c r="A52" s="92" t="s">
        <v>225</v>
      </c>
    </row>
    <row r="53" spans="1:12" x14ac:dyDescent="0.35">
      <c r="A53" s="92" t="s">
        <v>227</v>
      </c>
    </row>
    <row r="54" spans="1:12" x14ac:dyDescent="0.35">
      <c r="A54" s="92"/>
    </row>
    <row r="55" spans="1:12" x14ac:dyDescent="0.35">
      <c r="A55" s="1" t="s">
        <v>226</v>
      </c>
    </row>
    <row r="56" spans="1:12" x14ac:dyDescent="0.35">
      <c r="A56" t="s">
        <v>250</v>
      </c>
    </row>
    <row r="58" spans="1:12" ht="16" customHeight="1" x14ac:dyDescent="0.35">
      <c r="A58" s="1" t="s">
        <v>49</v>
      </c>
    </row>
    <row r="59" spans="1:12" x14ac:dyDescent="0.35">
      <c r="A59" s="148" t="s">
        <v>245</v>
      </c>
      <c r="B59" s="148"/>
      <c r="C59" s="148"/>
      <c r="D59" s="148"/>
      <c r="E59" s="148"/>
      <c r="F59" s="148"/>
      <c r="G59" s="148"/>
      <c r="H59" s="148"/>
      <c r="I59" s="148"/>
      <c r="J59" s="148"/>
      <c r="K59" s="148"/>
      <c r="L59" s="148"/>
    </row>
  </sheetData>
  <mergeCells count="29">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 ref="A10:L10"/>
    <mergeCell ref="A9:L9"/>
    <mergeCell ref="A59:L59"/>
    <mergeCell ref="A16:L16"/>
    <mergeCell ref="B21:L21"/>
    <mergeCell ref="B17:L17"/>
    <mergeCell ref="B19:L19"/>
    <mergeCell ref="B25:L25"/>
    <mergeCell ref="B26:L26"/>
    <mergeCell ref="B29:L29"/>
    <mergeCell ref="B30:L30"/>
    <mergeCell ref="B32:L32"/>
    <mergeCell ref="B31:L31"/>
  </mergeCells>
  <hyperlinks>
    <hyperlink ref="A52" r:id="rId1" xr:uid="{6B934EC2-E381-41EE-938C-08FAF5E51BBE}"/>
    <hyperlink ref="A53"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73" t="s">
        <v>40</v>
      </c>
      <c r="Q1" s="173"/>
      <c r="R1" s="173"/>
      <c r="S1" s="173"/>
      <c r="T1" s="173"/>
      <c r="U1" s="173"/>
      <c r="V1" s="173"/>
      <c r="W1" s="173"/>
      <c r="X1" s="173"/>
      <c r="Y1" s="173"/>
      <c r="AA1" s="173" t="s">
        <v>221</v>
      </c>
      <c r="AB1" s="173"/>
      <c r="AC1" s="173"/>
      <c r="AD1" s="173"/>
      <c r="AE1" s="173"/>
      <c r="AF1" s="173"/>
      <c r="AG1" s="173"/>
      <c r="AH1" s="173"/>
      <c r="AI1" s="173"/>
      <c r="AJ1" s="173"/>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40"/>
  <sheetViews>
    <sheetView topLeftCell="A116" zoomScale="150" zoomScaleNormal="150" workbookViewId="0">
      <selection activeCell="A134" sqref="A134"/>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65" t="s">
        <v>152</v>
      </c>
      <c r="B3" s="165"/>
      <c r="C3" s="165"/>
      <c r="D3" s="165"/>
      <c r="E3" s="165"/>
      <c r="F3" s="165"/>
      <c r="G3" s="165"/>
      <c r="H3" s="90"/>
      <c r="I3" s="90"/>
      <c r="J3" s="90"/>
      <c r="K3" s="90"/>
    </row>
    <row r="4" spans="1:11" x14ac:dyDescent="0.35">
      <c r="A4" s="59" t="s">
        <v>38</v>
      </c>
      <c r="B4" s="59" t="s">
        <v>42</v>
      </c>
      <c r="C4" s="166" t="s">
        <v>43</v>
      </c>
      <c r="D4" s="167"/>
      <c r="E4" s="167"/>
      <c r="F4" s="167"/>
      <c r="G4" s="168"/>
    </row>
    <row r="5" spans="1:11" x14ac:dyDescent="0.35">
      <c r="A5" s="91" t="s">
        <v>51</v>
      </c>
      <c r="B5" s="91"/>
      <c r="C5" s="169"/>
      <c r="D5" s="169"/>
      <c r="E5" s="169"/>
      <c r="F5" s="169"/>
      <c r="G5" s="169"/>
    </row>
    <row r="6" spans="1:11" x14ac:dyDescent="0.35">
      <c r="A6" s="89" t="s">
        <v>39</v>
      </c>
      <c r="B6" s="89" t="s">
        <v>156</v>
      </c>
      <c r="C6" s="174" t="s">
        <v>155</v>
      </c>
      <c r="D6" s="174"/>
      <c r="E6" s="174"/>
      <c r="F6" s="174"/>
      <c r="G6" s="174"/>
    </row>
    <row r="7" spans="1:11" x14ac:dyDescent="0.35">
      <c r="A7" s="89" t="s">
        <v>40</v>
      </c>
      <c r="B7" s="89" t="s">
        <v>156</v>
      </c>
      <c r="C7" s="174" t="s">
        <v>153</v>
      </c>
      <c r="D7" s="174"/>
      <c r="E7" s="174"/>
      <c r="F7" s="174"/>
      <c r="G7" s="174"/>
    </row>
    <row r="8" spans="1:11" x14ac:dyDescent="0.35">
      <c r="A8" s="89" t="s">
        <v>41</v>
      </c>
      <c r="B8" s="89" t="s">
        <v>156</v>
      </c>
      <c r="C8" s="174" t="s">
        <v>155</v>
      </c>
      <c r="D8" s="174"/>
      <c r="E8" s="174"/>
      <c r="F8" s="174"/>
      <c r="G8" s="174"/>
    </row>
    <row r="9" spans="1:11" x14ac:dyDescent="0.35">
      <c r="A9" s="89" t="s">
        <v>148</v>
      </c>
      <c r="B9" s="89" t="s">
        <v>156</v>
      </c>
      <c r="C9" s="174" t="s">
        <v>154</v>
      </c>
      <c r="D9" s="174"/>
      <c r="E9" s="174"/>
      <c r="F9" s="174"/>
      <c r="G9" s="174"/>
    </row>
    <row r="10" spans="1:11" x14ac:dyDescent="0.35">
      <c r="A10" s="89" t="s">
        <v>160</v>
      </c>
      <c r="B10" s="89" t="s">
        <v>156</v>
      </c>
      <c r="C10" s="164" t="s">
        <v>187</v>
      </c>
      <c r="D10" s="164"/>
      <c r="E10" s="164"/>
      <c r="F10" s="164"/>
      <c r="G10" s="164"/>
    </row>
    <row r="11" spans="1:11" x14ac:dyDescent="0.35">
      <c r="A11" s="89" t="s">
        <v>149</v>
      </c>
      <c r="B11" s="89" t="s">
        <v>156</v>
      </c>
      <c r="C11" s="164" t="s">
        <v>231</v>
      </c>
      <c r="D11" s="164"/>
      <c r="E11" s="164"/>
      <c r="F11" s="164"/>
      <c r="G11" s="164"/>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171" t="s">
        <v>228</v>
      </c>
      <c r="E18" s="172"/>
      <c r="F18" s="172"/>
      <c r="G18" s="172"/>
      <c r="H18" s="172"/>
      <c r="I18" s="172"/>
      <c r="J18" s="172"/>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205</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147</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191</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190</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175</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146</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203</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32" t="s">
        <v>305</v>
      </c>
      <c r="B131" s="1"/>
      <c r="C131" s="117">
        <f ca="1">IF(C$27&lt;&gt;"",VLOOKUP(C129*1000000,'Powell-Elevation-Area'!$B$5:$H$689,7),"")</f>
        <v>3579</v>
      </c>
      <c r="D131" s="117">
        <f ca="1">IF(D$27&lt;&gt;"",VLOOKUP(D129*1000000,'Powell-Elevation-Area'!$B$5:$H$689,7),"")</f>
        <v>3571.5</v>
      </c>
      <c r="E131" s="117">
        <f ca="1">IF(E$27&lt;&gt;"",VLOOKUP(E129*1000000,'Powell-Elevation-Area'!$B$5:$H$689,7),"")</f>
        <v>3566</v>
      </c>
      <c r="F131" s="117">
        <f ca="1">IF(F$27&lt;&gt;"",VLOOKUP(F129*1000000,'Powell-Elevation-Area'!$B$5:$H$689,7),"")</f>
        <v>3560.5</v>
      </c>
      <c r="G131" s="117">
        <f ca="1">IF(G$27&lt;&gt;"",VLOOKUP(G129*1000000,'Powell-Elevation-Area'!$B$5:$H$689,7),"")</f>
        <v>3555.5</v>
      </c>
      <c r="H131" s="117">
        <f ca="1">IF(H$27&lt;&gt;"",VLOOKUP(H129*1000000,'Powell-Elevation-Area'!$B$5:$H$689,7),"")</f>
        <v>3549.5</v>
      </c>
      <c r="I131" s="117">
        <f ca="1">IF(I$27&lt;&gt;"",VLOOKUP(I129*1000000,'Powell-Elevation-Area'!$B$5:$H$689,7),"")</f>
        <v>3559</v>
      </c>
      <c r="J131" s="117">
        <f ca="1">IF(J$27&lt;&gt;"",VLOOKUP(J129*1000000,'Powell-Elevation-Area'!$B$5:$H$689,7),"")</f>
        <v>3567</v>
      </c>
      <c r="K131" s="117">
        <f ca="1">IF(K$27&lt;&gt;"",VLOOKUP(K129*1000000,'Powell-Elevation-Area'!$B$5:$H$689,7),"")</f>
        <v>3574</v>
      </c>
      <c r="L131" s="117">
        <f ca="1">IF(L$27&lt;&gt;"",VLOOKUP(L129*1000000,'Powell-Elevation-Area'!$B$5:$H$689,7),"")</f>
        <v>3580.5</v>
      </c>
    </row>
    <row r="132" spans="1:14" x14ac:dyDescent="0.35">
      <c r="A132" s="32" t="s">
        <v>306</v>
      </c>
      <c r="B132" s="1"/>
      <c r="C132" s="117">
        <f ca="1">IF(C$27&lt;&gt;"",VLOOKUP(C130*1000000,'Mead-Elevation-Area'!$B$5:$H$689,7),"")</f>
        <v>1078</v>
      </c>
      <c r="D132" s="117">
        <f ca="1">IF(D$27&lt;&gt;"",VLOOKUP(D130*1000000,'Mead-Elevation-Area'!$B$5:$H$689,7),"")</f>
        <v>1070.5</v>
      </c>
      <c r="E132" s="117">
        <f ca="1">IF(E$27&lt;&gt;"",VLOOKUP(E130*1000000,'Mead-Elevation-Area'!$B$5:$H$689,7),"")</f>
        <v>1064.5</v>
      </c>
      <c r="F132" s="117">
        <f ca="1">IF(F$27&lt;&gt;"",VLOOKUP(F130*1000000,'Mead-Elevation-Area'!$B$5:$H$689,7),"")</f>
        <v>1059.5</v>
      </c>
      <c r="G132" s="117">
        <f ca="1">IF(G$27&lt;&gt;"",VLOOKUP(G130*1000000,'Mead-Elevation-Area'!$B$5:$H$689,7),"")</f>
        <v>1054</v>
      </c>
      <c r="H132" s="117">
        <f ca="1">IF(H$27&lt;&gt;"",VLOOKUP(H130*1000000,'Mead-Elevation-Area'!$B$5:$H$689,7),"")</f>
        <v>1048.5</v>
      </c>
      <c r="I132" s="117">
        <f ca="1">IF(I$27&lt;&gt;"",VLOOKUP(I130*1000000,'Mead-Elevation-Area'!$B$5:$H$689,7),"")</f>
        <v>1058</v>
      </c>
      <c r="J132" s="117">
        <f ca="1">IF(J$27&lt;&gt;"",VLOOKUP(J130*1000000,'Mead-Elevation-Area'!$B$5:$H$689,7),"")</f>
        <v>1066</v>
      </c>
      <c r="K132" s="117">
        <f ca="1">IF(K$27&lt;&gt;"",VLOOKUP(K130*1000000,'Mead-Elevation-Area'!$B$5:$H$689,7),"")</f>
        <v>1073</v>
      </c>
      <c r="L132" s="117">
        <f ca="1">IF(L$27&lt;&gt;"",VLOOKUP(L130*1000000,'Mead-Elevation-Area'!$B$5:$H$689,7),"")</f>
        <v>1080</v>
      </c>
    </row>
    <row r="133" spans="1:14" x14ac:dyDescent="0.35">
      <c r="A133" s="1" t="s">
        <v>319</v>
      </c>
      <c r="B133" s="1"/>
      <c r="C133"/>
    </row>
    <row r="134" spans="1:14" x14ac:dyDescent="0.35">
      <c r="A134" s="32" t="s">
        <v>320</v>
      </c>
      <c r="B134" s="1"/>
      <c r="C134" s="14">
        <f ca="1">IF(C$27&lt;&gt;"",-C129+C37+C27-C61-VLOOKUP(C37*1000000,'Powell-Elevation-Area'!$B$5:$D$689,3)*$B$21/1000000,"")</f>
        <v>8.7912186266660832</v>
      </c>
      <c r="D134" s="14">
        <f ca="1">IF(D$27&lt;&gt;"",-D129+D37+D27-D61-VLOOKUP(D37*1000000,'Powell-Elevation-Area'!$B$5:$D$689,3)*$B$21/1000000,"")</f>
        <v>8.3556252311669539</v>
      </c>
      <c r="E134" s="14">
        <f ca="1">IF(E$27&lt;&gt;"",-E129+E37+E27-E61-VLOOKUP(E37*1000000,'Powell-Elevation-Area'!$B$5:$D$689,3)*$B$21/1000000,"")</f>
        <v>8.1830474876951129</v>
      </c>
      <c r="F134" s="14">
        <f ca="1">IF(F$27&lt;&gt;"",-F129+F37+F27-F61-VLOOKUP(F37*1000000,'Powell-Elevation-Area'!$B$5:$D$689,3)*$B$21/1000000,"")</f>
        <v>8.1540389846666788</v>
      </c>
      <c r="G134" s="14">
        <f ca="1">IF(G$27&lt;&gt;"",-G129+G37+G27-G61-VLOOKUP(G37*1000000,'Powell-Elevation-Area'!$B$5:$D$689,3)*$B$21/1000000,"")</f>
        <v>8.1562403419166678</v>
      </c>
      <c r="H134" s="14">
        <f ca="1">IF(H$27&lt;&gt;"",-H129+H37+H27-H61-VLOOKUP(H37*1000000,'Powell-Elevation-Area'!$B$5:$D$689,3)*$B$21/1000000,"")</f>
        <v>8.1867176426396036</v>
      </c>
      <c r="I134" s="14">
        <f ca="1">IF(I$27&lt;&gt;"",-I129+I37+I27-I61-VLOOKUP(I37*1000000,'Powell-Elevation-Area'!$B$5:$D$689,3)*$B$21/1000000,"")</f>
        <v>9.0922858128666686</v>
      </c>
      <c r="J134" s="14">
        <f ca="1">IF(J$27&lt;&gt;"",-J129+J37+J27-J61-VLOOKUP(J37*1000000,'Powell-Elevation-Area'!$B$5:$D$689,3)*$B$21/1000000,"")</f>
        <v>9.1565621204169645</v>
      </c>
      <c r="K134" s="14">
        <f ca="1">IF(K$27&lt;&gt;"",-K129+K37+K27-K61-VLOOKUP(K37*1000000,'Powell-Elevation-Area'!$B$5:$D$689,3)*$B$21/1000000,"")</f>
        <v>9.194280465166667</v>
      </c>
      <c r="L134" s="14">
        <f ca="1">IF(L$27&lt;&gt;"",-L129+L37+L27-L61-VLOOKUP(L37*1000000,'Powell-Elevation-Area'!$B$5:$D$689,3)*$B$21/1000000,"")</f>
        <v>9.1519598286666817</v>
      </c>
      <c r="N134" t="s">
        <v>204</v>
      </c>
    </row>
    <row r="135" spans="1:14" x14ac:dyDescent="0.35">
      <c r="A135" s="32" t="s">
        <v>321</v>
      </c>
      <c r="B135" s="1"/>
      <c r="C135" s="117" t="str">
        <f ca="1">IF(C$27&lt;&gt;"",VLOOKUP(C131,PowellReleaseTemperature!$A$5:$B$11,2),"")</f>
        <v>&lt; 18</v>
      </c>
      <c r="D135" s="117" t="str">
        <f ca="1">IF(D$27&lt;&gt;"",VLOOKUP(D131,PowellReleaseTemperature!$A$5:$B$11,2),"")</f>
        <v>&lt; 18</v>
      </c>
      <c r="E135" s="117" t="str">
        <f ca="1">IF(E$27&lt;&gt;"",VLOOKUP(E131,PowellReleaseTemperature!$A$5:$B$11,2),"")</f>
        <v>&lt; 18</v>
      </c>
      <c r="F135" s="117" t="str">
        <f ca="1">IF(F$27&lt;&gt;"",VLOOKUP(F131,PowellReleaseTemperature!$A$5:$B$11,2),"")</f>
        <v>&lt; 18</v>
      </c>
      <c r="G135" s="117" t="str">
        <f ca="1">IF(G$27&lt;&gt;"",VLOOKUP(G131,PowellReleaseTemperature!$A$5:$B$11,2),"")</f>
        <v>&lt; 18</v>
      </c>
      <c r="H135" s="117" t="str">
        <f ca="1">IF(H$27&lt;&gt;"",VLOOKUP(H131,PowellReleaseTemperature!$A$5:$B$11,2),"")</f>
        <v>&lt; 18</v>
      </c>
      <c r="I135" s="117" t="str">
        <f ca="1">IF(I$27&lt;&gt;"",VLOOKUP(I131,PowellReleaseTemperature!$A$5:$B$11,2),"")</f>
        <v>&lt; 18</v>
      </c>
      <c r="J135" s="117" t="str">
        <f ca="1">IF(J$27&lt;&gt;"",VLOOKUP(J131,PowellReleaseTemperature!$A$5:$B$11,2),"")</f>
        <v>&lt; 18</v>
      </c>
      <c r="K135" s="117" t="str">
        <f ca="1">IF(K$27&lt;&gt;"",VLOOKUP(K131,PowellReleaseTemperature!$A$5:$B$11,2),"")</f>
        <v>&lt; 18</v>
      </c>
      <c r="L135" s="117" t="str">
        <f ca="1">IF(L$27&lt;&gt;"",VLOOKUP(L131,PowellReleaseTemperature!$A$5:$B$11,2),"")</f>
        <v>&lt; 18</v>
      </c>
      <c r="N135" t="s">
        <v>326</v>
      </c>
    </row>
    <row r="136" spans="1:14" x14ac:dyDescent="0.35">
      <c r="C136" s="29"/>
    </row>
    <row r="137" spans="1:14" x14ac:dyDescent="0.35">
      <c r="A137" s="1" t="s">
        <v>125</v>
      </c>
      <c r="C137" s="12">
        <f>IF(C$27&lt;&gt;"",0.2,"")</f>
        <v>0.2</v>
      </c>
      <c r="D137" s="12">
        <f t="shared" ref="D137:L137" si="57">IF(D$27&lt;&gt;"",0.2,"")</f>
        <v>0.2</v>
      </c>
      <c r="E137" s="12">
        <f t="shared" si="57"/>
        <v>0.2</v>
      </c>
      <c r="F137" s="12">
        <f t="shared" si="57"/>
        <v>0.2</v>
      </c>
      <c r="G137" s="12">
        <f t="shared" si="57"/>
        <v>0.2</v>
      </c>
      <c r="H137" s="12">
        <f t="shared" si="57"/>
        <v>0.2</v>
      </c>
      <c r="I137" s="12">
        <f t="shared" si="57"/>
        <v>0.2</v>
      </c>
      <c r="J137" s="12">
        <f t="shared" si="57"/>
        <v>0.2</v>
      </c>
      <c r="K137" s="12">
        <f t="shared" si="57"/>
        <v>0.2</v>
      </c>
      <c r="L137" s="12">
        <f t="shared" si="57"/>
        <v>0.2</v>
      </c>
    </row>
    <row r="138" spans="1:14" x14ac:dyDescent="0.35">
      <c r="A138" t="s">
        <v>126</v>
      </c>
      <c r="C138" s="14">
        <f t="shared" ref="C138:L138" ca="1" si="58">IF(C$27&lt;&gt;"",C115+C137,"")</f>
        <v>7.4590000000000005</v>
      </c>
      <c r="D138" s="14">
        <f t="shared" ca="1" si="58"/>
        <v>7.4590000000000005</v>
      </c>
      <c r="E138" s="14">
        <f t="shared" ca="1" si="58"/>
        <v>7.0870000000000006</v>
      </c>
      <c r="F138" s="14">
        <f t="shared" ca="1" si="58"/>
        <v>7.0870000000000006</v>
      </c>
      <c r="G138" s="14">
        <f t="shared" ca="1" si="58"/>
        <v>7.0870000000000006</v>
      </c>
      <c r="H138" s="14">
        <f t="shared" ca="1" si="58"/>
        <v>7.0870000000000006</v>
      </c>
      <c r="I138" s="14">
        <f t="shared" ca="1" si="58"/>
        <v>6.9790000000000001</v>
      </c>
      <c r="J138" s="14">
        <f t="shared" ca="1" si="58"/>
        <v>7.0870000000000006</v>
      </c>
      <c r="K138" s="14">
        <f t="shared" ca="1" si="58"/>
        <v>7.0870000000000006</v>
      </c>
      <c r="L138" s="14">
        <f t="shared" ca="1" si="58"/>
        <v>7.0870000000000006</v>
      </c>
    </row>
    <row r="140" spans="1:14" x14ac:dyDescent="0.35">
      <c r="D140"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8" priority="33" operator="greaterThan">
      <formula>$C$60</formula>
    </cfRule>
  </conditionalFormatting>
  <conditionalFormatting sqref="C69:L69">
    <cfRule type="cellIs" dxfId="57" priority="31" operator="greaterThan">
      <formula>$C$68</formula>
    </cfRule>
  </conditionalFormatting>
  <conditionalFormatting sqref="C77:L77">
    <cfRule type="cellIs" dxfId="56" priority="30" operator="greaterThan">
      <formula>$C$76</formula>
    </cfRule>
  </conditionalFormatting>
  <conditionalFormatting sqref="C85">
    <cfRule type="cellIs" dxfId="55" priority="29" operator="greaterThan">
      <formula>$C$84</formula>
    </cfRule>
  </conditionalFormatting>
  <conditionalFormatting sqref="D85">
    <cfRule type="cellIs" dxfId="54" priority="28" operator="greaterThan">
      <formula>$D$84</formula>
    </cfRule>
  </conditionalFormatting>
  <conditionalFormatting sqref="E85">
    <cfRule type="cellIs" dxfId="53" priority="27" operator="greaterThan">
      <formula>$E$84</formula>
    </cfRule>
  </conditionalFormatting>
  <conditionalFormatting sqref="F85">
    <cfRule type="cellIs" dxfId="52" priority="26" operator="greaterThan">
      <formula>$F$84</formula>
    </cfRule>
  </conditionalFormatting>
  <conditionalFormatting sqref="G85:L85">
    <cfRule type="cellIs" dxfId="51" priority="25" operator="greaterThan">
      <formula>$G$84</formula>
    </cfRule>
  </conditionalFormatting>
  <conditionalFormatting sqref="C93">
    <cfRule type="cellIs" dxfId="50" priority="24" operator="greaterThan">
      <formula>$C$92</formula>
    </cfRule>
  </conditionalFormatting>
  <conditionalFormatting sqref="D93">
    <cfRule type="cellIs" dxfId="49" priority="23" operator="greaterThan">
      <formula>$D$92</formula>
    </cfRule>
  </conditionalFormatting>
  <conditionalFormatting sqref="E93">
    <cfRule type="cellIs" dxfId="48" priority="22" operator="greaterThan">
      <formula>$E$92</formula>
    </cfRule>
  </conditionalFormatting>
  <conditionalFormatting sqref="F93">
    <cfRule type="cellIs" dxfId="47" priority="21" operator="greaterThan">
      <formula>$F$92</formula>
    </cfRule>
  </conditionalFormatting>
  <conditionalFormatting sqref="G93">
    <cfRule type="cellIs" dxfId="46" priority="20" operator="greaterThan">
      <formula>$G$92</formula>
    </cfRule>
  </conditionalFormatting>
  <conditionalFormatting sqref="H93">
    <cfRule type="cellIs" dxfId="45" priority="19" operator="greaterThan">
      <formula>$H$92</formula>
    </cfRule>
  </conditionalFormatting>
  <conditionalFormatting sqref="I93">
    <cfRule type="cellIs" dxfId="44" priority="18" operator="greaterThan">
      <formula>$I$92</formula>
    </cfRule>
  </conditionalFormatting>
  <conditionalFormatting sqref="J93">
    <cfRule type="cellIs" dxfId="43" priority="17" operator="greaterThan">
      <formula>$J$92</formula>
    </cfRule>
  </conditionalFormatting>
  <conditionalFormatting sqref="K93">
    <cfRule type="cellIs" dxfId="42" priority="16" operator="greaterThan">
      <formula>$K$92</formula>
    </cfRule>
  </conditionalFormatting>
  <conditionalFormatting sqref="L93">
    <cfRule type="cellIs" dxfId="41" priority="15" operator="greaterThan">
      <formula>$L$92</formula>
    </cfRule>
  </conditionalFormatting>
  <conditionalFormatting sqref="C101">
    <cfRule type="cellIs" dxfId="40" priority="14" operator="greaterThan">
      <formula>$C$100</formula>
    </cfRule>
  </conditionalFormatting>
  <conditionalFormatting sqref="D101">
    <cfRule type="cellIs" dxfId="39" priority="13" operator="greaterThan">
      <formula>$D$100</formula>
    </cfRule>
  </conditionalFormatting>
  <conditionalFormatting sqref="E101">
    <cfRule type="cellIs" dxfId="38" priority="12" operator="greaterThan">
      <formula>$E$100</formula>
    </cfRule>
  </conditionalFormatting>
  <conditionalFormatting sqref="F101">
    <cfRule type="cellIs" dxfId="37" priority="11" operator="greaterThan">
      <formula>$F$100</formula>
    </cfRule>
  </conditionalFormatting>
  <conditionalFormatting sqref="G101">
    <cfRule type="cellIs" dxfId="36" priority="10" operator="greaterThan">
      <formula>$G$100</formula>
    </cfRule>
  </conditionalFormatting>
  <conditionalFormatting sqref="H101">
    <cfRule type="cellIs" dxfId="35" priority="9" operator="greaterThan">
      <formula>$H$100</formula>
    </cfRule>
  </conditionalFormatting>
  <conditionalFormatting sqref="I101">
    <cfRule type="cellIs" dxfId="34" priority="8" operator="greaterThan">
      <formula>$I$100</formula>
    </cfRule>
  </conditionalFormatting>
  <conditionalFormatting sqref="J101">
    <cfRule type="cellIs" dxfId="33" priority="7" operator="greaterThan">
      <formula>$J$100</formula>
    </cfRule>
  </conditionalFormatting>
  <conditionalFormatting sqref="K101">
    <cfRule type="cellIs" dxfId="32" priority="6" operator="greaterThan">
      <formula>$K$100</formula>
    </cfRule>
  </conditionalFormatting>
  <conditionalFormatting sqref="L101">
    <cfRule type="cellIs" dxfId="31" priority="5"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7AABE391-0658-4174-9484-792575A088EA}">
            <xm:f>PowellReleaseTemperature!$B$7</xm:f>
            <x14:dxf>
              <font>
                <color auto="1"/>
              </font>
              <fill>
                <patternFill>
                  <bgColor rgb="FFFF0000"/>
                </patternFill>
              </fill>
            </x14:dxf>
          </x14:cfRule>
          <x14:cfRule type="cellIs" priority="2" operator="equal" id="{B4DF28D4-1B15-4001-AE0B-AF5D149BDDF3}">
            <xm:f>PowellReleaseTemperature!$B$8</xm:f>
            <x14:dxf>
              <font>
                <color rgb="FF9C0006"/>
              </font>
              <fill>
                <patternFill>
                  <bgColor rgb="FFFFC7CE"/>
                </patternFill>
              </fill>
            </x14:dxf>
          </x14:cfRule>
          <x14:cfRule type="cellIs" priority="3" operator="equal" id="{31F03AE7-54C9-452F-B2F5-444D023BC371}">
            <xm:f>PowellReleaseTemperature!$B$9</xm:f>
            <x14:dxf>
              <font>
                <color auto="1"/>
              </font>
              <fill>
                <patternFill>
                  <bgColor theme="4" tint="0.39994506668294322"/>
                </patternFill>
              </fill>
            </x14:dxf>
          </x14:cfRule>
          <x14:cfRule type="cellIs" priority="4" operator="equal" id="{7E711D44-CEFE-4B3F-B16A-AA2CD6447FD0}">
            <xm:f>PowellReleaseTemperature!$B$10</xm:f>
            <x14:dxf>
              <font>
                <color auto="1"/>
              </font>
              <fill>
                <patternFill>
                  <bgColor theme="8" tint="-0.499984740745262"/>
                </patternFill>
              </fill>
            </x14:dxf>
          </x14:cfRule>
          <xm:sqref>C135:L135</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253</v>
      </c>
    </row>
    <row r="3" spans="1:16" s="1" customFormat="1" x14ac:dyDescent="0.35">
      <c r="D3" s="175" t="s">
        <v>254</v>
      </c>
      <c r="E3" s="175"/>
      <c r="F3" s="175" t="s">
        <v>255</v>
      </c>
      <c r="G3" s="175"/>
      <c r="H3" s="175"/>
      <c r="I3" s="175" t="s">
        <v>256</v>
      </c>
      <c r="J3" s="175"/>
      <c r="K3" s="175"/>
      <c r="M3" s="175" t="s">
        <v>41</v>
      </c>
      <c r="N3" s="175"/>
      <c r="O3" s="175"/>
    </row>
    <row r="4" spans="1:16" s="94" customFormat="1" ht="42.5" customHeight="1" x14ac:dyDescent="0.35">
      <c r="A4" s="93" t="s">
        <v>128</v>
      </c>
      <c r="B4" s="93" t="s">
        <v>129</v>
      </c>
      <c r="C4" s="93" t="s">
        <v>265</v>
      </c>
      <c r="D4" s="93" t="s">
        <v>257</v>
      </c>
      <c r="E4" s="93" t="s">
        <v>258</v>
      </c>
      <c r="F4" s="93" t="s">
        <v>257</v>
      </c>
      <c r="G4" s="93" t="s">
        <v>258</v>
      </c>
      <c r="H4" s="93" t="s">
        <v>259</v>
      </c>
      <c r="I4" s="93" t="s">
        <v>257</v>
      </c>
      <c r="J4" s="93" t="s">
        <v>258</v>
      </c>
      <c r="K4" s="93" t="s">
        <v>259</v>
      </c>
      <c r="L4" s="93" t="s">
        <v>263</v>
      </c>
      <c r="M4" s="93" t="s">
        <v>261</v>
      </c>
      <c r="N4" s="93" t="s">
        <v>262</v>
      </c>
      <c r="O4" s="93" t="s">
        <v>260</v>
      </c>
      <c r="P4" s="93"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6">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6">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6">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6">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6">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6">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6">
        <f t="shared" si="4"/>
        <v>0.08</v>
      </c>
      <c r="P11" s="96">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6">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1"/>
    </row>
    <row r="15" spans="1:16" x14ac:dyDescent="0.35">
      <c r="B15" s="99"/>
      <c r="C15" s="100"/>
    </row>
    <row r="16" spans="1:16" x14ac:dyDescent="0.35">
      <c r="A16" t="s">
        <v>264</v>
      </c>
    </row>
    <row r="17" spans="1:16" x14ac:dyDescent="0.35">
      <c r="A17" s="95">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6">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6">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6">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6">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6">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6">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6">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6">
        <f t="shared" si="12"/>
        <v>1.375</v>
      </c>
    </row>
    <row r="26" spans="1:16" x14ac:dyDescent="0.35">
      <c r="A26" s="38">
        <v>955</v>
      </c>
    </row>
    <row r="29" spans="1:16" x14ac:dyDescent="0.35">
      <c r="A29" s="39"/>
      <c r="I29" s="9"/>
      <c r="L29" s="30"/>
      <c r="O29" s="2"/>
      <c r="P29" s="96"/>
    </row>
    <row r="30" spans="1:16" x14ac:dyDescent="0.35">
      <c r="A30" s="39"/>
      <c r="I30" s="9"/>
      <c r="L30" s="30"/>
      <c r="O30" s="2"/>
      <c r="P30" s="96"/>
    </row>
    <row r="31" spans="1:16" x14ac:dyDescent="0.35">
      <c r="A31" s="39"/>
      <c r="I31" s="9"/>
      <c r="L31" s="30"/>
      <c r="O31" s="2"/>
      <c r="P31" s="96"/>
    </row>
    <row r="32" spans="1:16" x14ac:dyDescent="0.35">
      <c r="A32" s="39"/>
      <c r="I32" s="9"/>
      <c r="L32" s="30"/>
      <c r="O32" s="2"/>
      <c r="P32" s="96"/>
    </row>
    <row r="33" spans="1:16" x14ac:dyDescent="0.35">
      <c r="A33" s="39"/>
      <c r="I33" s="9"/>
      <c r="L33" s="30"/>
      <c r="O33" s="2"/>
      <c r="P33" s="96"/>
    </row>
    <row r="34" spans="1:16" x14ac:dyDescent="0.35">
      <c r="A34" s="39"/>
      <c r="I34" s="9"/>
      <c r="L34" s="30"/>
      <c r="O34" s="2"/>
      <c r="P34" s="96"/>
    </row>
    <row r="35" spans="1:16" x14ac:dyDescent="0.35">
      <c r="A35" s="39"/>
      <c r="I35" s="9"/>
      <c r="L35" s="30"/>
      <c r="O35" s="2"/>
      <c r="P35" s="96"/>
    </row>
    <row r="36" spans="1:16" x14ac:dyDescent="0.35">
      <c r="A36" s="39"/>
      <c r="I36" s="9"/>
      <c r="L36" s="30"/>
      <c r="O36" s="2"/>
      <c r="P36" s="96"/>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D15"/>
  <sheetViews>
    <sheetView zoomScale="170" zoomScaleNormal="170" workbookViewId="0">
      <selection activeCell="G3" sqref="G3"/>
    </sheetView>
  </sheetViews>
  <sheetFormatPr defaultRowHeight="14.5" x14ac:dyDescent="0.35"/>
  <cols>
    <col min="1" max="1" width="10.90625" style="119" customWidth="1"/>
    <col min="2" max="2" width="12.7265625" style="119" customWidth="1"/>
    <col min="3" max="3" width="9.453125" style="119" customWidth="1"/>
    <col min="4" max="4" width="46.26953125" style="119" customWidth="1"/>
  </cols>
  <sheetData>
    <row r="1" spans="1:4" x14ac:dyDescent="0.35">
      <c r="A1" s="118" t="s">
        <v>307</v>
      </c>
    </row>
    <row r="2" spans="1:4" x14ac:dyDescent="0.35">
      <c r="A2" s="119" t="s">
        <v>308</v>
      </c>
    </row>
    <row r="4" spans="1:4" s="107" customFormat="1" ht="43.5" x14ac:dyDescent="0.35">
      <c r="A4" s="63" t="s">
        <v>309</v>
      </c>
      <c r="B4" s="63" t="s">
        <v>315</v>
      </c>
      <c r="C4" s="63" t="s">
        <v>316</v>
      </c>
      <c r="D4" s="64" t="s">
        <v>310</v>
      </c>
    </row>
    <row r="5" spans="1:4" s="107" customFormat="1" ht="58" x14ac:dyDescent="0.35">
      <c r="A5" s="124">
        <f>'Powell-Elevation-Area'!A5</f>
        <v>3370</v>
      </c>
      <c r="B5" s="140" t="s">
        <v>325</v>
      </c>
      <c r="C5" s="125" t="s">
        <v>318</v>
      </c>
      <c r="D5" s="126" t="str">
        <f>D7</f>
        <v>Highest uncertainty for native fish. Also represent a substantial risk to the tailwater trout fishery, as sustained temperatures of 19oC or higher are unsuitable for trout.</v>
      </c>
    </row>
    <row r="6" spans="1:4" s="107" customFormat="1" ht="58" x14ac:dyDescent="0.35">
      <c r="A6" s="121">
        <v>3425</v>
      </c>
      <c r="B6" s="122" t="str">
        <f>B7</f>
        <v>&gt; 18</v>
      </c>
      <c r="C6" s="122" t="s">
        <v>318</v>
      </c>
      <c r="D6" s="123" t="str">
        <f>D7</f>
        <v>Highest uncertainty for native fish. Also represent a substantial risk to the tailwater trout fishery, as sustained temperatures of 19oC or higher are unsuitable for trout.</v>
      </c>
    </row>
    <row r="7" spans="1:4" s="107" customFormat="1" ht="58" x14ac:dyDescent="0.35">
      <c r="A7" s="127">
        <v>3490</v>
      </c>
      <c r="B7" s="128" t="s">
        <v>325</v>
      </c>
      <c r="C7" s="128" t="s">
        <v>317</v>
      </c>
      <c r="D7" s="129" t="s">
        <v>314</v>
      </c>
    </row>
    <row r="8" spans="1:4" ht="72.5" x14ac:dyDescent="0.35">
      <c r="A8" s="130">
        <v>3525</v>
      </c>
      <c r="B8" s="131" t="s">
        <v>324</v>
      </c>
      <c r="C8" s="131" t="s">
        <v>317</v>
      </c>
      <c r="D8" s="132" t="s">
        <v>313</v>
      </c>
    </row>
    <row r="9" spans="1:4" ht="43.5" x14ac:dyDescent="0.35">
      <c r="A9" s="133">
        <v>3600</v>
      </c>
      <c r="B9" s="134" t="s">
        <v>323</v>
      </c>
      <c r="C9" s="134" t="s">
        <v>317</v>
      </c>
      <c r="D9" s="135" t="s">
        <v>312</v>
      </c>
    </row>
    <row r="10" spans="1:4" ht="101.5" x14ac:dyDescent="0.35">
      <c r="A10" s="136">
        <v>3675</v>
      </c>
      <c r="B10" s="137" t="s">
        <v>322</v>
      </c>
      <c r="C10" s="137" t="s">
        <v>317</v>
      </c>
      <c r="D10" s="138" t="s">
        <v>311</v>
      </c>
    </row>
    <row r="11" spans="1:4" ht="101.5" x14ac:dyDescent="0.35">
      <c r="A11" s="136">
        <v>3700</v>
      </c>
      <c r="B11" s="137" t="str">
        <f>B10</f>
        <v>&lt; 12</v>
      </c>
      <c r="C11" s="137" t="s">
        <v>317</v>
      </c>
      <c r="D11" s="13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row>
    <row r="13" spans="1:4" ht="16.5" x14ac:dyDescent="0.35">
      <c r="D13" s="120"/>
    </row>
    <row r="14" spans="1:4" ht="16.5" x14ac:dyDescent="0.35">
      <c r="D14" s="120"/>
    </row>
    <row r="15" spans="1:4" ht="16.5" x14ac:dyDescent="0.35">
      <c r="D15" s="120"/>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76"/>
      <c r="D5" s="176"/>
      <c r="E5" s="176"/>
      <c r="F5" s="176"/>
      <c r="G5" s="176"/>
      <c r="H5" s="176"/>
    </row>
    <row r="6" spans="1:11" x14ac:dyDescent="0.35">
      <c r="A6" s="16" t="s">
        <v>39</v>
      </c>
      <c r="B6" s="47"/>
      <c r="C6" s="176"/>
      <c r="D6" s="176"/>
      <c r="E6" s="176"/>
      <c r="F6" s="176"/>
      <c r="G6" s="176"/>
      <c r="H6" s="176"/>
    </row>
    <row r="7" spans="1:11" x14ac:dyDescent="0.35">
      <c r="A7" s="16" t="s">
        <v>40</v>
      </c>
      <c r="B7" s="47"/>
      <c r="C7" s="176"/>
      <c r="D7" s="176"/>
      <c r="E7" s="176"/>
      <c r="F7" s="176"/>
      <c r="G7" s="176"/>
      <c r="H7" s="176"/>
    </row>
    <row r="8" spans="1:11" x14ac:dyDescent="0.35">
      <c r="A8" s="16" t="s">
        <v>41</v>
      </c>
      <c r="B8" s="47"/>
      <c r="C8" s="176"/>
      <c r="D8" s="176"/>
      <c r="E8" s="176"/>
      <c r="F8" s="176"/>
      <c r="G8" s="176"/>
      <c r="H8" s="176"/>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1"/>
  <sheetViews>
    <sheetView tabSelected="1" topLeftCell="D1" zoomScale="150" zoomScaleNormal="150" workbookViewId="0">
      <selection activeCell="H3" sqref="H3"/>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style="107" customWidth="1"/>
    <col min="9" max="9" width="12.36328125" style="107" customWidth="1"/>
    <col min="10" max="10" width="10.26953125" style="2" customWidth="1"/>
  </cols>
  <sheetData>
    <row r="1" spans="1:10" s="62" customFormat="1" ht="30.5" customHeight="1" x14ac:dyDescent="0.35">
      <c r="A1" s="63" t="s">
        <v>181</v>
      </c>
      <c r="B1" s="63" t="s">
        <v>162</v>
      </c>
      <c r="C1" s="64" t="s">
        <v>163</v>
      </c>
      <c r="D1" s="63" t="s">
        <v>165</v>
      </c>
      <c r="E1" s="63" t="s">
        <v>164</v>
      </c>
      <c r="F1" s="63" t="s">
        <v>166</v>
      </c>
      <c r="H1" s="105" t="s">
        <v>242</v>
      </c>
      <c r="I1" s="105" t="s">
        <v>164</v>
      </c>
      <c r="J1" s="108" t="s">
        <v>166</v>
      </c>
    </row>
    <row r="2" spans="1:10" ht="58" x14ac:dyDescent="0.35">
      <c r="A2" s="113"/>
      <c r="B2" s="113"/>
      <c r="C2" s="114"/>
      <c r="D2" s="113"/>
      <c r="E2" s="113"/>
      <c r="F2" s="113"/>
      <c r="H2" s="65" t="s">
        <v>335</v>
      </c>
      <c r="I2" s="65" t="s">
        <v>156</v>
      </c>
      <c r="J2" s="66"/>
    </row>
    <row r="3" spans="1:10" ht="72.5" x14ac:dyDescent="0.35">
      <c r="A3" s="113" t="s">
        <v>333</v>
      </c>
      <c r="B3" s="113"/>
      <c r="C3" s="114" t="s">
        <v>334</v>
      </c>
      <c r="D3" s="113" t="s">
        <v>156</v>
      </c>
      <c r="E3" s="113" t="s">
        <v>304</v>
      </c>
      <c r="F3" s="115">
        <v>44391</v>
      </c>
      <c r="H3" s="65" t="s">
        <v>243</v>
      </c>
      <c r="I3" s="65" t="s">
        <v>156</v>
      </c>
      <c r="J3" s="66"/>
    </row>
    <row r="4" spans="1:10" ht="30" customHeight="1" x14ac:dyDescent="0.35">
      <c r="A4" s="113" t="s">
        <v>328</v>
      </c>
      <c r="B4" s="113" t="s">
        <v>329</v>
      </c>
      <c r="C4" s="65" t="s">
        <v>330</v>
      </c>
      <c r="D4" s="113" t="s">
        <v>156</v>
      </c>
      <c r="E4" s="113" t="s">
        <v>304</v>
      </c>
      <c r="F4" s="115">
        <v>44391</v>
      </c>
      <c r="H4" s="65" t="s">
        <v>284</v>
      </c>
      <c r="I4" s="65" t="s">
        <v>273</v>
      </c>
      <c r="J4" s="67">
        <v>44385</v>
      </c>
    </row>
    <row r="5" spans="1:10" ht="29" x14ac:dyDescent="0.35">
      <c r="A5" s="113" t="s">
        <v>328</v>
      </c>
      <c r="B5" s="113" t="s">
        <v>329</v>
      </c>
      <c r="C5" s="65" t="s">
        <v>275</v>
      </c>
      <c r="D5" s="113" t="s">
        <v>156</v>
      </c>
      <c r="E5" s="113" t="s">
        <v>304</v>
      </c>
      <c r="F5" s="115">
        <v>44391</v>
      </c>
      <c r="H5" s="65"/>
      <c r="I5" s="65"/>
      <c r="J5" s="67"/>
    </row>
    <row r="6" spans="1:10" ht="101.5" x14ac:dyDescent="0.35">
      <c r="A6" s="113" t="s">
        <v>302</v>
      </c>
      <c r="B6" s="115">
        <v>44403</v>
      </c>
      <c r="C6" s="114" t="s">
        <v>303</v>
      </c>
      <c r="D6" s="113" t="s">
        <v>156</v>
      </c>
      <c r="E6" s="113" t="s">
        <v>304</v>
      </c>
      <c r="F6" s="115">
        <v>44391</v>
      </c>
      <c r="H6" s="65" t="s">
        <v>276</v>
      </c>
      <c r="I6" s="65" t="s">
        <v>304</v>
      </c>
      <c r="J6" s="67">
        <v>44391</v>
      </c>
    </row>
    <row r="7" spans="1:10" ht="58" x14ac:dyDescent="0.35">
      <c r="A7" s="66" t="s">
        <v>268</v>
      </c>
      <c r="B7" s="67">
        <v>44389</v>
      </c>
      <c r="C7" s="65" t="s">
        <v>269</v>
      </c>
      <c r="D7" s="68" t="s">
        <v>156</v>
      </c>
      <c r="E7" s="68" t="s">
        <v>156</v>
      </c>
      <c r="F7" s="67">
        <v>44389</v>
      </c>
      <c r="H7" s="65" t="s">
        <v>277</v>
      </c>
      <c r="I7" s="65" t="s">
        <v>304</v>
      </c>
      <c r="J7" s="67">
        <v>44391</v>
      </c>
    </row>
    <row r="8" spans="1:10" ht="29" x14ac:dyDescent="0.35">
      <c r="A8" s="66" t="s">
        <v>266</v>
      </c>
      <c r="B8" s="67">
        <v>44389</v>
      </c>
      <c r="C8" s="65" t="s">
        <v>267</v>
      </c>
      <c r="D8" s="68" t="s">
        <v>156</v>
      </c>
      <c r="E8" s="68" t="s">
        <v>273</v>
      </c>
      <c r="F8" s="67">
        <v>44385</v>
      </c>
      <c r="H8" s="65" t="s">
        <v>278</v>
      </c>
      <c r="I8" s="65" t="s">
        <v>304</v>
      </c>
      <c r="J8" s="67">
        <v>44391</v>
      </c>
    </row>
    <row r="9" spans="1:10" ht="58" x14ac:dyDescent="0.35">
      <c r="A9" s="66" t="s">
        <v>238</v>
      </c>
      <c r="B9" s="67">
        <v>44385</v>
      </c>
      <c r="C9" s="65" t="s">
        <v>239</v>
      </c>
      <c r="D9" s="68" t="s">
        <v>156</v>
      </c>
      <c r="E9" s="68" t="s">
        <v>156</v>
      </c>
      <c r="F9" s="67">
        <f>B9</f>
        <v>44385</v>
      </c>
      <c r="H9" s="65" t="s">
        <v>279</v>
      </c>
      <c r="I9" s="65" t="s">
        <v>304</v>
      </c>
      <c r="J9" s="67">
        <v>44391</v>
      </c>
    </row>
    <row r="10" spans="1:10" ht="29" x14ac:dyDescent="0.35">
      <c r="A10" s="66" t="s">
        <v>219</v>
      </c>
      <c r="B10" s="67">
        <v>44384</v>
      </c>
      <c r="C10" s="65" t="s">
        <v>240</v>
      </c>
      <c r="D10" s="68" t="s">
        <v>156</v>
      </c>
      <c r="E10" s="68" t="s">
        <v>156</v>
      </c>
      <c r="F10" s="67">
        <v>44384</v>
      </c>
      <c r="H10" s="106" t="s">
        <v>280</v>
      </c>
      <c r="I10" s="65" t="s">
        <v>304</v>
      </c>
      <c r="J10" s="67">
        <v>44391</v>
      </c>
    </row>
    <row r="11" spans="1:10" ht="43.5" x14ac:dyDescent="0.35">
      <c r="A11" s="66" t="s">
        <v>208</v>
      </c>
      <c r="B11" s="67">
        <v>44384</v>
      </c>
      <c r="C11" s="65" t="s">
        <v>241</v>
      </c>
      <c r="D11" s="68" t="s">
        <v>156</v>
      </c>
      <c r="E11" s="68" t="s">
        <v>156</v>
      </c>
      <c r="F11" s="67">
        <v>44384</v>
      </c>
      <c r="H11" s="106" t="s">
        <v>281</v>
      </c>
      <c r="I11" s="65" t="s">
        <v>304</v>
      </c>
      <c r="J11" s="67">
        <v>44391</v>
      </c>
    </row>
    <row r="12" spans="1:10" ht="72.5" x14ac:dyDescent="0.35">
      <c r="A12" s="66" t="s">
        <v>196</v>
      </c>
      <c r="B12" s="67">
        <v>44378</v>
      </c>
      <c r="C12" s="65" t="s">
        <v>197</v>
      </c>
      <c r="D12" s="68" t="s">
        <v>156</v>
      </c>
      <c r="E12" s="68" t="s">
        <v>156</v>
      </c>
      <c r="F12" s="67">
        <v>44378</v>
      </c>
      <c r="H12" s="106" t="s">
        <v>282</v>
      </c>
      <c r="I12" s="65" t="s">
        <v>304</v>
      </c>
      <c r="J12" s="67">
        <v>44391</v>
      </c>
    </row>
    <row r="13" spans="1:10" ht="29" x14ac:dyDescent="0.35">
      <c r="A13" s="66" t="s">
        <v>194</v>
      </c>
      <c r="B13" s="67">
        <v>44377</v>
      </c>
      <c r="C13" s="65" t="s">
        <v>198</v>
      </c>
      <c r="D13" s="68" t="s">
        <v>156</v>
      </c>
      <c r="E13" s="68" t="s">
        <v>156</v>
      </c>
      <c r="F13" s="67">
        <v>44377</v>
      </c>
      <c r="H13" s="106" t="s">
        <v>283</v>
      </c>
      <c r="I13" s="65" t="s">
        <v>304</v>
      </c>
      <c r="J13" s="67">
        <v>44391</v>
      </c>
    </row>
    <row r="14" spans="1:10" ht="72.5" x14ac:dyDescent="0.35">
      <c r="A14" s="66" t="s">
        <v>192</v>
      </c>
      <c r="B14" s="67">
        <v>44377</v>
      </c>
      <c r="C14" s="65" t="s">
        <v>193</v>
      </c>
      <c r="D14" s="68" t="s">
        <v>156</v>
      </c>
      <c r="E14" s="68" t="s">
        <v>274</v>
      </c>
      <c r="F14" s="67">
        <v>44372</v>
      </c>
    </row>
    <row r="15" spans="1:10" ht="43.5" x14ac:dyDescent="0.35">
      <c r="A15" s="66">
        <v>3.3</v>
      </c>
      <c r="B15" s="67">
        <v>44377</v>
      </c>
      <c r="C15" s="65" t="s">
        <v>183</v>
      </c>
      <c r="D15" s="68" t="s">
        <v>156</v>
      </c>
      <c r="E15" s="68" t="s">
        <v>274</v>
      </c>
      <c r="F15" s="67">
        <v>44372</v>
      </c>
    </row>
    <row r="16" spans="1:10" ht="29" x14ac:dyDescent="0.35">
      <c r="A16" s="66" t="s">
        <v>182</v>
      </c>
      <c r="B16" s="67">
        <v>44377</v>
      </c>
      <c r="C16" s="65" t="s">
        <v>167</v>
      </c>
      <c r="D16" s="68" t="s">
        <v>156</v>
      </c>
      <c r="E16" s="68" t="s">
        <v>156</v>
      </c>
      <c r="F16" s="67">
        <v>44377</v>
      </c>
    </row>
    <row r="17" spans="1:6" ht="116" x14ac:dyDescent="0.35">
      <c r="A17" s="66">
        <v>3.2</v>
      </c>
      <c r="B17" s="67">
        <v>44367</v>
      </c>
      <c r="C17" s="65" t="s">
        <v>174</v>
      </c>
      <c r="D17" s="68" t="s">
        <v>156</v>
      </c>
      <c r="E17" s="68" t="s">
        <v>156</v>
      </c>
      <c r="F17" s="67">
        <v>44367</v>
      </c>
    </row>
    <row r="18" spans="1:6" ht="29" x14ac:dyDescent="0.35">
      <c r="A18" s="66">
        <v>3.1</v>
      </c>
      <c r="B18" s="67">
        <v>44331</v>
      </c>
      <c r="C18" s="65" t="s">
        <v>173</v>
      </c>
      <c r="D18" s="68" t="s">
        <v>156</v>
      </c>
      <c r="E18" s="68" t="s">
        <v>156</v>
      </c>
      <c r="F18" s="67">
        <v>44331</v>
      </c>
    </row>
    <row r="19" spans="1:6" ht="72.5" x14ac:dyDescent="0.35">
      <c r="A19" s="66">
        <v>3</v>
      </c>
      <c r="B19" s="67">
        <v>44319</v>
      </c>
      <c r="C19" s="65" t="s">
        <v>172</v>
      </c>
      <c r="D19" s="68" t="s">
        <v>156</v>
      </c>
      <c r="E19" s="68" t="s">
        <v>168</v>
      </c>
      <c r="F19" s="67">
        <v>44315</v>
      </c>
    </row>
    <row r="20" spans="1:6" ht="29" x14ac:dyDescent="0.35">
      <c r="A20" s="66">
        <v>2</v>
      </c>
      <c r="B20" s="67">
        <v>44307</v>
      </c>
      <c r="C20" s="65" t="s">
        <v>169</v>
      </c>
      <c r="D20" s="68" t="s">
        <v>156</v>
      </c>
      <c r="E20" s="68" t="s">
        <v>273</v>
      </c>
      <c r="F20" s="67">
        <v>44294</v>
      </c>
    </row>
    <row r="21" spans="1:6" ht="29" x14ac:dyDescent="0.35">
      <c r="A21" s="71">
        <v>1</v>
      </c>
      <c r="B21" s="67">
        <v>44291</v>
      </c>
      <c r="C21" s="65" t="s">
        <v>171</v>
      </c>
      <c r="D21" s="68" t="s">
        <v>156</v>
      </c>
      <c r="E21" s="68" t="s">
        <v>170</v>
      </c>
      <c r="F21"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3F8B8-99D4-4067-9293-F7BA4588C1C4}">
  <dimension ref="A1:N140"/>
  <sheetViews>
    <sheetView topLeftCell="A22" zoomScale="150" zoomScaleNormal="150" workbookViewId="0">
      <selection activeCell="C26" sqref="C2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65" t="s">
        <v>152</v>
      </c>
      <c r="B3" s="165"/>
      <c r="C3" s="165"/>
      <c r="D3" s="165"/>
      <c r="E3" s="165"/>
      <c r="F3" s="165"/>
      <c r="G3" s="165"/>
      <c r="H3" s="111"/>
      <c r="I3" s="111"/>
      <c r="J3" s="111"/>
      <c r="K3" s="111"/>
    </row>
    <row r="4" spans="1:11" x14ac:dyDescent="0.35">
      <c r="A4" s="59" t="s">
        <v>38</v>
      </c>
      <c r="B4" s="59" t="s">
        <v>42</v>
      </c>
      <c r="C4" s="166" t="s">
        <v>43</v>
      </c>
      <c r="D4" s="167"/>
      <c r="E4" s="167"/>
      <c r="F4" s="167"/>
      <c r="G4" s="168"/>
    </row>
    <row r="5" spans="1:11" x14ac:dyDescent="0.35">
      <c r="A5" s="112" t="s">
        <v>51</v>
      </c>
      <c r="B5" s="112"/>
      <c r="C5" s="169"/>
      <c r="D5" s="169"/>
      <c r="E5" s="169"/>
      <c r="F5" s="169"/>
      <c r="G5" s="169"/>
    </row>
    <row r="6" spans="1:11" x14ac:dyDescent="0.35">
      <c r="A6" s="110" t="s">
        <v>39</v>
      </c>
      <c r="B6" s="110"/>
      <c r="C6" s="170"/>
      <c r="D6" s="170"/>
      <c r="E6" s="170"/>
      <c r="F6" s="170"/>
      <c r="G6" s="170"/>
    </row>
    <row r="7" spans="1:11" x14ac:dyDescent="0.35">
      <c r="A7" s="110" t="s">
        <v>40</v>
      </c>
      <c r="B7" s="110"/>
      <c r="C7" s="170"/>
      <c r="D7" s="170"/>
      <c r="E7" s="170"/>
      <c r="F7" s="170"/>
      <c r="G7" s="170"/>
    </row>
    <row r="8" spans="1:11" x14ac:dyDescent="0.35">
      <c r="A8" s="110" t="s">
        <v>41</v>
      </c>
      <c r="B8" s="110"/>
      <c r="C8" s="170"/>
      <c r="D8" s="170"/>
      <c r="E8" s="170"/>
      <c r="F8" s="170"/>
      <c r="G8" s="170"/>
    </row>
    <row r="9" spans="1:11" x14ac:dyDescent="0.35">
      <c r="A9" s="116" t="s">
        <v>160</v>
      </c>
      <c r="B9" s="116"/>
      <c r="C9" s="164"/>
      <c r="D9" s="164"/>
      <c r="E9" s="164"/>
      <c r="F9" s="164"/>
      <c r="G9" s="164"/>
    </row>
    <row r="10" spans="1:11" x14ac:dyDescent="0.35">
      <c r="A10" s="110"/>
      <c r="B10" s="110"/>
      <c r="C10" s="164"/>
      <c r="D10" s="164"/>
      <c r="E10" s="164"/>
      <c r="F10" s="164"/>
      <c r="G10" s="164"/>
    </row>
    <row r="11" spans="1:11" x14ac:dyDescent="0.35">
      <c r="A11" s="110"/>
      <c r="B11" s="110"/>
      <c r="C11" s="164"/>
      <c r="D11" s="164"/>
      <c r="E11" s="164"/>
      <c r="F11" s="164"/>
      <c r="G11" s="164"/>
    </row>
    <row r="12" spans="1:11" x14ac:dyDescent="0.35">
      <c r="A12" s="16"/>
      <c r="B12" s="2"/>
      <c r="C12"/>
    </row>
    <row r="13" spans="1:11" x14ac:dyDescent="0.35">
      <c r="A13" s="19" t="s">
        <v>45</v>
      </c>
      <c r="B13" s="169" t="s">
        <v>207</v>
      </c>
      <c r="C13" s="169"/>
      <c r="D13" s="169"/>
      <c r="E13" s="169"/>
    </row>
    <row r="14" spans="1:11" x14ac:dyDescent="0.35">
      <c r="B14" s="164" t="s">
        <v>188</v>
      </c>
      <c r="C14" s="164"/>
      <c r="D14" s="164"/>
      <c r="E14" s="164"/>
    </row>
    <row r="15" spans="1:11" x14ac:dyDescent="0.35">
      <c r="B15" s="177" t="s">
        <v>46</v>
      </c>
      <c r="C15" s="177"/>
      <c r="D15" s="177"/>
      <c r="E15" s="177"/>
    </row>
    <row r="17" spans="1:14" x14ac:dyDescent="0.35">
      <c r="A17" s="1" t="s">
        <v>53</v>
      </c>
      <c r="D17" s="20" t="s">
        <v>157</v>
      </c>
    </row>
    <row r="19" spans="1:14" x14ac:dyDescent="0.35">
      <c r="A19" s="1" t="s">
        <v>32</v>
      </c>
      <c r="B19" s="1" t="s">
        <v>110</v>
      </c>
      <c r="C19" s="13" t="s">
        <v>111</v>
      </c>
    </row>
    <row r="20" spans="1:14" x14ac:dyDescent="0.35">
      <c r="A20" t="s">
        <v>109</v>
      </c>
      <c r="B20" s="12">
        <v>5.73</v>
      </c>
      <c r="C20" s="12">
        <v>6</v>
      </c>
      <c r="D20" s="23" t="s">
        <v>112</v>
      </c>
    </row>
    <row r="21" spans="1:14" x14ac:dyDescent="0.35">
      <c r="A21" t="s">
        <v>141</v>
      </c>
      <c r="B21" s="12">
        <v>11</v>
      </c>
      <c r="C21" s="12">
        <v>10.1</v>
      </c>
      <c r="D21" s="11" t="s">
        <v>34</v>
      </c>
    </row>
    <row r="22" spans="1:14" x14ac:dyDescent="0.35">
      <c r="A22" t="s">
        <v>195</v>
      </c>
      <c r="B22" s="70">
        <v>3525</v>
      </c>
      <c r="C22" s="70">
        <v>1020</v>
      </c>
      <c r="D22" s="11"/>
    </row>
    <row r="23" spans="1:14" x14ac:dyDescent="0.35">
      <c r="A23" t="s">
        <v>178</v>
      </c>
      <c r="B23" s="12">
        <f>VLOOKUP(B22,'Powell-Elevation-Area'!$A$5:$B$689,2)/1000000</f>
        <v>5.9265762500000001</v>
      </c>
      <c r="C23" s="12">
        <f>VLOOKUP(C22,'Mead-Elevation-Area'!$A$5:$B$689,2)/1000000</f>
        <v>5.664593</v>
      </c>
      <c r="D23" s="11"/>
      <c r="E23" s="46"/>
    </row>
    <row r="25" spans="1:14" s="1" customFormat="1" x14ac:dyDescent="0.35">
      <c r="A25" s="55" t="s">
        <v>35</v>
      </c>
      <c r="B25" s="55" t="s">
        <v>48</v>
      </c>
      <c r="C25" s="56" t="s">
        <v>5</v>
      </c>
      <c r="D25" s="56" t="s">
        <v>6</v>
      </c>
      <c r="E25" s="56" t="s">
        <v>7</v>
      </c>
      <c r="F25" s="56" t="s">
        <v>8</v>
      </c>
      <c r="G25" s="56" t="s">
        <v>9</v>
      </c>
      <c r="H25" s="56" t="s">
        <v>10</v>
      </c>
      <c r="I25" s="56" t="s">
        <v>11</v>
      </c>
      <c r="J25" s="56" t="s">
        <v>12</v>
      </c>
      <c r="K25" s="56" t="s">
        <v>36</v>
      </c>
      <c r="L25" s="56" t="s">
        <v>37</v>
      </c>
      <c r="M25" s="56" t="s">
        <v>107</v>
      </c>
      <c r="N25" s="56" t="s">
        <v>175</v>
      </c>
    </row>
    <row r="26" spans="1:14" x14ac:dyDescent="0.35">
      <c r="A26" s="1" t="s">
        <v>44</v>
      </c>
      <c r="B26" s="1"/>
      <c r="C26" s="45"/>
      <c r="D26" s="45"/>
      <c r="E26" s="45"/>
      <c r="F26" s="45"/>
      <c r="G26" s="45"/>
      <c r="H26" s="45"/>
      <c r="I26" s="45"/>
      <c r="J26" s="45"/>
      <c r="K26" s="45"/>
      <c r="L26" s="45"/>
    </row>
    <row r="27" spans="1:14" x14ac:dyDescent="0.35">
      <c r="A27" s="1" t="s">
        <v>121</v>
      </c>
      <c r="B27" s="1"/>
      <c r="C27" s="12" t="str">
        <f>IF(C$26&lt;&gt;"",0.8,"")</f>
        <v/>
      </c>
      <c r="D27" s="12" t="str">
        <f t="shared" ref="D27:L27" si="0">IF(D$26&lt;&gt;"",0.8,"")</f>
        <v/>
      </c>
      <c r="E27" s="12" t="str">
        <f t="shared" si="0"/>
        <v/>
      </c>
      <c r="F27" s="12" t="str">
        <f t="shared" si="0"/>
        <v/>
      </c>
      <c r="G27" s="12" t="str">
        <f t="shared" si="0"/>
        <v/>
      </c>
      <c r="H27" s="12" t="str">
        <f t="shared" si="0"/>
        <v/>
      </c>
      <c r="I27" s="12" t="str">
        <f t="shared" si="0"/>
        <v/>
      </c>
      <c r="J27" s="12" t="str">
        <f t="shared" si="0"/>
        <v/>
      </c>
      <c r="K27" s="12" t="str">
        <f t="shared" si="0"/>
        <v/>
      </c>
      <c r="L27" s="12" t="str">
        <f t="shared" si="0"/>
        <v/>
      </c>
    </row>
    <row r="28" spans="1:14" x14ac:dyDescent="0.35">
      <c r="A28" s="1" t="s">
        <v>331</v>
      </c>
      <c r="B28" s="1"/>
      <c r="C28" s="12" t="str">
        <f>IF(C$26&lt;&gt;"",0.6,"")</f>
        <v/>
      </c>
      <c r="D28" s="12" t="str">
        <f t="shared" ref="D28:L28" si="1">IF(D$26&lt;&gt;"",0.6,"")</f>
        <v/>
      </c>
      <c r="E28" s="12" t="str">
        <f t="shared" si="1"/>
        <v/>
      </c>
      <c r="F28" s="12" t="str">
        <f t="shared" si="1"/>
        <v/>
      </c>
      <c r="G28" s="12" t="str">
        <f t="shared" si="1"/>
        <v/>
      </c>
      <c r="H28" s="12" t="str">
        <f t="shared" si="1"/>
        <v/>
      </c>
      <c r="I28" s="12" t="str">
        <f t="shared" si="1"/>
        <v/>
      </c>
      <c r="J28" s="12" t="str">
        <f t="shared" si="1"/>
        <v/>
      </c>
      <c r="K28" s="12" t="str">
        <f t="shared" si="1"/>
        <v/>
      </c>
      <c r="L28" s="12" t="str">
        <f t="shared" si="1"/>
        <v/>
      </c>
    </row>
    <row r="29" spans="1:14" x14ac:dyDescent="0.35">
      <c r="A29" s="1" t="s">
        <v>124</v>
      </c>
      <c r="B29" s="144">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145">
        <f>B21-B23</f>
        <v>5.0734237499999999</v>
      </c>
      <c r="C30" s="142"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180</v>
      </c>
    </row>
    <row r="31" spans="1:14" x14ac:dyDescent="0.35">
      <c r="A31" t="str">
        <f t="shared" si="3"/>
        <v xml:space="preserve">    Lower Basin Balance</v>
      </c>
      <c r="B31" s="145">
        <f>C21-C23-B32</f>
        <v>4.2614069999999993</v>
      </c>
      <c r="C31" s="142"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177</v>
      </c>
    </row>
    <row r="32" spans="1:14" x14ac:dyDescent="0.35">
      <c r="A32" t="str">
        <f t="shared" si="3"/>
        <v xml:space="preserve">    Mexico Balance</v>
      </c>
      <c r="B32" s="146">
        <v>0.17399999999999999</v>
      </c>
      <c r="C32" s="143" t="str">
        <f t="shared" si="5"/>
        <v/>
      </c>
      <c r="D32" s="57" t="str">
        <f t="shared" si="6"/>
        <v/>
      </c>
      <c r="E32" s="57" t="str">
        <f t="shared" si="6"/>
        <v/>
      </c>
      <c r="F32" s="57" t="str">
        <f t="shared" si="6"/>
        <v/>
      </c>
      <c r="G32" s="57" t="str">
        <f t="shared" si="6"/>
        <v/>
      </c>
      <c r="H32" s="14" t="str">
        <f t="shared" si="6"/>
        <v/>
      </c>
      <c r="I32" s="14" t="str">
        <f t="shared" si="6"/>
        <v/>
      </c>
      <c r="J32" s="14" t="str">
        <f t="shared" si="6"/>
        <v/>
      </c>
      <c r="K32" s="14" t="str">
        <f t="shared" si="6"/>
        <v/>
      </c>
      <c r="L32" s="14" t="str">
        <f t="shared" si="6"/>
        <v/>
      </c>
      <c r="N32" t="s">
        <v>176</v>
      </c>
    </row>
    <row r="33" spans="1:14" x14ac:dyDescent="0.35">
      <c r="A33" t="str">
        <f t="shared" si="3"/>
        <v xml:space="preserve">    Shared, Reserve Balance</v>
      </c>
      <c r="B33" s="145">
        <f>SUM(B23:C23)</f>
        <v>11.59116925</v>
      </c>
      <c r="C33" s="142"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45"/>
      <c r="C34" s="142"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179</v>
      </c>
    </row>
    <row r="35" spans="1:14" x14ac:dyDescent="0.35">
      <c r="A35" t="str">
        <f t="shared" si="3"/>
        <v/>
      </c>
      <c r="B35" s="116"/>
      <c r="C35" s="142"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205</v>
      </c>
      <c r="C36"/>
    </row>
    <row r="37" spans="1:14" x14ac:dyDescent="0.35">
      <c r="A37" t="s">
        <v>113</v>
      </c>
      <c r="C37" s="14" t="str">
        <f>IF(C$26&lt;&gt;"",B21,"")</f>
        <v/>
      </c>
      <c r="D37" s="14" t="str">
        <f>IF(D$26&lt;&gt;"",C129,"")</f>
        <v/>
      </c>
      <c r="E37" s="14" t="str">
        <f t="shared" ref="E37:G38" si="7">IF(E$26&lt;&gt;"",D129,"")</f>
        <v/>
      </c>
      <c r="F37" s="14" t="str">
        <f t="shared" si="7"/>
        <v/>
      </c>
      <c r="G37" s="14" t="str">
        <f t="shared" si="7"/>
        <v/>
      </c>
      <c r="H37" s="14" t="str">
        <f t="shared" ref="H37:L38" si="8">IF(H26&lt;&gt;"",$B37*H$29,"")</f>
        <v/>
      </c>
      <c r="I37" s="14" t="str">
        <f t="shared" si="8"/>
        <v/>
      </c>
      <c r="J37" s="14" t="str">
        <f t="shared" si="8"/>
        <v/>
      </c>
      <c r="K37" s="14" t="str">
        <f t="shared" si="8"/>
        <v/>
      </c>
      <c r="L37" s="14" t="str">
        <f t="shared" si="8"/>
        <v/>
      </c>
    </row>
    <row r="38" spans="1:14" x14ac:dyDescent="0.35">
      <c r="A38" t="s">
        <v>114</v>
      </c>
      <c r="C38" s="14" t="str">
        <f>IF(C$26&lt;&gt;"",C21,"")</f>
        <v/>
      </c>
      <c r="D38" s="14" t="str">
        <f>IF(D$26&lt;&gt;"",C130,"")</f>
        <v/>
      </c>
      <c r="E38" s="14" t="str">
        <f t="shared" si="7"/>
        <v/>
      </c>
      <c r="F38" s="14" t="str">
        <f t="shared" si="7"/>
        <v/>
      </c>
      <c r="G38" s="14" t="str">
        <f t="shared" si="7"/>
        <v/>
      </c>
      <c r="H38" s="14" t="str">
        <f t="shared" si="8"/>
        <v/>
      </c>
      <c r="I38" s="14" t="str">
        <f t="shared" si="8"/>
        <v/>
      </c>
      <c r="J38" s="14" t="str">
        <f t="shared" si="8"/>
        <v/>
      </c>
      <c r="K38" s="14" t="str">
        <f t="shared" si="8"/>
        <v/>
      </c>
      <c r="L38" s="14" t="str">
        <f t="shared" si="8"/>
        <v/>
      </c>
    </row>
    <row r="39" spans="1:14" x14ac:dyDescent="0.35">
      <c r="A39" s="1" t="s">
        <v>119</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9">IF(A6="","","    "&amp;A6&amp;" Share")</f>
        <v xml:space="preserve">    Upper Basin Share</v>
      </c>
      <c r="B40" s="1"/>
      <c r="C40" s="14" t="str">
        <f t="shared" ref="C40:C45" si="10">IF(OR(C$26="",$A40=""),"",C$39*C30/C$29)</f>
        <v/>
      </c>
      <c r="D40" s="14" t="str">
        <f t="shared" ref="D40:L40" si="11">IF(OR(D$26="",$A40=""),"",D$39*D30/D$29)</f>
        <v/>
      </c>
      <c r="E40" s="14" t="str">
        <f t="shared" si="11"/>
        <v/>
      </c>
      <c r="F40" s="14" t="str">
        <f t="shared" si="11"/>
        <v/>
      </c>
      <c r="G40" s="14" t="str">
        <f t="shared" si="11"/>
        <v/>
      </c>
      <c r="H40" s="14" t="str">
        <f t="shared" si="11"/>
        <v/>
      </c>
      <c r="I40" s="14" t="str">
        <f t="shared" si="11"/>
        <v/>
      </c>
      <c r="J40" s="14" t="str">
        <f t="shared" si="11"/>
        <v/>
      </c>
      <c r="K40" s="14" t="str">
        <f t="shared" si="11"/>
        <v/>
      </c>
      <c r="L40" s="14" t="str">
        <f t="shared" si="11"/>
        <v/>
      </c>
    </row>
    <row r="41" spans="1:14" x14ac:dyDescent="0.35">
      <c r="A41" t="str">
        <f t="shared" si="9"/>
        <v xml:space="preserve">    Lower Basin Share</v>
      </c>
      <c r="B41" s="1"/>
      <c r="C41" s="14" t="str">
        <f t="shared" si="10"/>
        <v/>
      </c>
      <c r="D41" s="14" t="str">
        <f t="shared" ref="D41:L41" si="12">IF(OR(D$26="",$A41=""),"",D$39*D31/D$29)</f>
        <v/>
      </c>
      <c r="E41" s="14" t="str">
        <f t="shared" si="12"/>
        <v/>
      </c>
      <c r="F41" s="14" t="str">
        <f t="shared" si="12"/>
        <v/>
      </c>
      <c r="G41" s="14" t="str">
        <f t="shared" si="12"/>
        <v/>
      </c>
      <c r="H41" s="14" t="str">
        <f t="shared" si="12"/>
        <v/>
      </c>
      <c r="I41" s="14" t="str">
        <f t="shared" si="12"/>
        <v/>
      </c>
      <c r="J41" s="14" t="str">
        <f t="shared" si="12"/>
        <v/>
      </c>
      <c r="K41" s="14" t="str">
        <f t="shared" si="12"/>
        <v/>
      </c>
      <c r="L41" s="14" t="str">
        <f t="shared" si="12"/>
        <v/>
      </c>
    </row>
    <row r="42" spans="1:14" x14ac:dyDescent="0.35">
      <c r="A42" t="str">
        <f t="shared" si="9"/>
        <v xml:space="preserve">    Mexico Share</v>
      </c>
      <c r="B42" s="1"/>
      <c r="C42" s="14" t="str">
        <f t="shared" si="10"/>
        <v/>
      </c>
      <c r="D42" s="14" t="str">
        <f t="shared" ref="D42:L42" si="13">IF(OR(D$26="",$A42=""),"",D$39*D32/D$29)</f>
        <v/>
      </c>
      <c r="E42" s="14" t="str">
        <f t="shared" si="13"/>
        <v/>
      </c>
      <c r="F42" s="14" t="str">
        <f t="shared" si="13"/>
        <v/>
      </c>
      <c r="G42" s="14" t="str">
        <f t="shared" si="13"/>
        <v/>
      </c>
      <c r="H42" s="14" t="str">
        <f t="shared" si="13"/>
        <v/>
      </c>
      <c r="I42" s="14" t="str">
        <f t="shared" si="13"/>
        <v/>
      </c>
      <c r="J42" s="14" t="str">
        <f t="shared" si="13"/>
        <v/>
      </c>
      <c r="K42" s="14" t="str">
        <f t="shared" si="13"/>
        <v/>
      </c>
      <c r="L42" s="14" t="str">
        <f t="shared" si="13"/>
        <v/>
      </c>
    </row>
    <row r="43" spans="1:14" x14ac:dyDescent="0.35">
      <c r="A43" t="str">
        <f t="shared" si="9"/>
        <v xml:space="preserve">    Shared, Reserve Share</v>
      </c>
      <c r="B43" s="1"/>
      <c r="C43" s="14" t="str">
        <f t="shared" si="10"/>
        <v/>
      </c>
      <c r="D43" s="14" t="str">
        <f t="shared" ref="D43:L43" si="14">IF(OR(D$26="",$A43=""),"",D$39*D33/D$29)</f>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9"/>
        <v/>
      </c>
      <c r="B44" s="1"/>
      <c r="C44" s="14" t="str">
        <f t="shared" si="10"/>
        <v/>
      </c>
      <c r="D44" s="14" t="str">
        <f t="shared" ref="D44:L44" si="15">IF(OR(D$26="",$A44=""),"",D$39*D34/D$29)</f>
        <v/>
      </c>
      <c r="E44" s="14" t="str">
        <f t="shared" si="15"/>
        <v/>
      </c>
      <c r="F44" s="14" t="str">
        <f t="shared" si="15"/>
        <v/>
      </c>
      <c r="G44" s="14" t="str">
        <f t="shared" si="15"/>
        <v/>
      </c>
      <c r="H44" s="14" t="str">
        <f t="shared" si="15"/>
        <v/>
      </c>
      <c r="I44" s="14" t="str">
        <f t="shared" si="15"/>
        <v/>
      </c>
      <c r="J44" s="14" t="str">
        <f t="shared" si="15"/>
        <v/>
      </c>
      <c r="K44" s="14" t="str">
        <f t="shared" si="15"/>
        <v/>
      </c>
      <c r="L44" s="14" t="str">
        <f t="shared" si="15"/>
        <v/>
      </c>
    </row>
    <row r="45" spans="1:14" x14ac:dyDescent="0.35">
      <c r="A45" t="str">
        <f t="shared" si="9"/>
        <v/>
      </c>
      <c r="B45" s="1"/>
      <c r="C45" s="14" t="str">
        <f t="shared" si="10"/>
        <v/>
      </c>
      <c r="D45" s="14" t="str">
        <f t="shared" ref="D45:L45" si="16">IF(OR(D$26="",$A45=""),"",D$39*D35/D$29)</f>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272</v>
      </c>
      <c r="B46" s="98"/>
      <c r="C46" s="50" t="str">
        <f>IF(C$26&lt;&gt;"",1.5-0.21/9/2-VLOOKUP(C38,LowerBasinCuts!$C$5:$P$13,13),"")</f>
        <v/>
      </c>
      <c r="D46" s="50" t="str">
        <f>IF(D$26&lt;&gt;"",1.5-0.21/9/2-VLOOKUP(D38,LowerBasinCuts!$C$5:$P$13,13),"")</f>
        <v/>
      </c>
      <c r="E46" s="50" t="str">
        <f>IF(E$26&lt;&gt;"",1.5-0.21/9/2-VLOOKUP(E38,LowerBasinCuts!$C$5:$P$13,13),"")</f>
        <v/>
      </c>
      <c r="F46" s="50" t="str">
        <f>IF(F$26&lt;&gt;"",1.5-0.21/9/2-VLOOKUP(F38,LowerBasinCuts!$C$5:$P$13,13),"")</f>
        <v/>
      </c>
      <c r="G46" s="50" t="str">
        <f>IF(G$26&lt;&gt;"",1.5-0.21/9/2-VLOOKUP(G38,LowerBasinCuts!$C$5:$P$13,13),"")</f>
        <v/>
      </c>
      <c r="H46" s="50" t="str">
        <f>IF(H$26&lt;&gt;"",1.5-0.21/9/2-VLOOKUP(H38,LowerBasinCuts!$C$5:$P$13,13),"")</f>
        <v/>
      </c>
      <c r="I46" s="50" t="str">
        <f>IF(I$26&lt;&gt;"",1.5-0.21/9/2-VLOOKUP(I38,LowerBasinCuts!$C$5:$P$13,13),"")</f>
        <v/>
      </c>
      <c r="J46" s="50" t="str">
        <f>IF(J$26&lt;&gt;"",1.5-0.21/9/2-VLOOKUP(J38,LowerBasinCuts!$C$5:$P$13,13),"")</f>
        <v/>
      </c>
      <c r="K46" s="50" t="str">
        <f>IF(K$26&lt;&gt;"",1.5-0.21/9/2-VLOOKUP(K38,LowerBasinCuts!$C$5:$P$13,13),"")</f>
        <v/>
      </c>
      <c r="L46" s="50" t="str">
        <f>IF(L$26&lt;&gt;"",1.5-0.21/9/2-VLOOKUP(L38,LowerBasinCuts!$C$5:$P$13,13),"")</f>
        <v/>
      </c>
    </row>
    <row r="47" spans="1:14" x14ac:dyDescent="0.35">
      <c r="A47" s="1" t="s">
        <v>332</v>
      </c>
      <c r="B47" s="1"/>
      <c r="C47" s="52" t="str">
        <f>IF(C26="","",SUM(C26:C27)-C28)</f>
        <v/>
      </c>
      <c r="D47" s="52" t="str">
        <f t="shared" ref="D47:L47" si="17">IF(D26="","",SUM(D26:D27)-D28)</f>
        <v/>
      </c>
      <c r="E47" s="52" t="str">
        <f t="shared" si="17"/>
        <v/>
      </c>
      <c r="F47" s="52" t="str">
        <f t="shared" si="17"/>
        <v/>
      </c>
      <c r="G47" s="52" t="str">
        <f t="shared" si="17"/>
        <v/>
      </c>
      <c r="H47" s="52" t="str">
        <f t="shared" si="17"/>
        <v/>
      </c>
      <c r="I47" s="52" t="str">
        <f t="shared" si="17"/>
        <v/>
      </c>
      <c r="J47" s="52" t="str">
        <f t="shared" si="17"/>
        <v/>
      </c>
      <c r="K47" s="52" t="str">
        <f t="shared" si="17"/>
        <v/>
      </c>
      <c r="L47" s="52" t="str">
        <f t="shared" si="17"/>
        <v/>
      </c>
      <c r="M47" s="46"/>
      <c r="N47" s="46"/>
    </row>
    <row r="48" spans="1:14" x14ac:dyDescent="0.35">
      <c r="A48" t="str">
        <f t="shared" ref="A48:A53" si="18">IF(A6="","","    To "&amp;A6)</f>
        <v xml:space="preserve">    To Upper Basin</v>
      </c>
      <c r="B48" s="24" t="s">
        <v>147</v>
      </c>
      <c r="C48" s="14" t="str">
        <f>IF(OR(C$26="",$A48=""),"",IF(C$26&gt;SUM(MIN($B49,C26-C50/2)+C50/2),C$26-SUM(MIN($B49,C26-C50/2)+C50/2),0))</f>
        <v/>
      </c>
      <c r="D48" s="14" t="str">
        <f t="shared" ref="D48:L48" si="19">IF(OR(D$26="",$A48=""),"",IF(D$47&gt;SUM(D49:D53),D$47-SUM(D49:D53),0))</f>
        <v/>
      </c>
      <c r="E48" s="14" t="str">
        <f t="shared" si="19"/>
        <v/>
      </c>
      <c r="F48" s="14" t="str">
        <f t="shared" si="19"/>
        <v/>
      </c>
      <c r="G48" s="14" t="str">
        <f t="shared" si="19"/>
        <v/>
      </c>
      <c r="H48" s="14" t="str">
        <f t="shared" si="19"/>
        <v/>
      </c>
      <c r="I48" s="14" t="str">
        <f t="shared" si="19"/>
        <v/>
      </c>
      <c r="J48" s="14" t="str">
        <f t="shared" si="19"/>
        <v/>
      </c>
      <c r="K48" s="14" t="str">
        <f t="shared" si="19"/>
        <v/>
      </c>
      <c r="L48" s="14" t="str">
        <f t="shared" si="19"/>
        <v/>
      </c>
      <c r="M48" s="29"/>
      <c r="N48" s="29"/>
    </row>
    <row r="49" spans="1:14" x14ac:dyDescent="0.35">
      <c r="A49" t="str">
        <f t="shared" si="18"/>
        <v xml:space="preserve">    To Lower Basin</v>
      </c>
      <c r="B49" s="44">
        <f>7.5</f>
        <v>7.5</v>
      </c>
      <c r="C49" s="14" t="str">
        <f>IF(OR(C$26="",$A49=""),"",C27-C28-C51-C50/2+MIN($B49,C26-C50/2))</f>
        <v/>
      </c>
      <c r="D49" s="14" t="str">
        <f t="shared" ref="D49:L49" si="20">IF(OR(D$26="",$A49=""),"",D27-D51-D50/2+MIN($B49,D26-D50/2))</f>
        <v/>
      </c>
      <c r="E49" s="14" t="str">
        <f t="shared" si="20"/>
        <v/>
      </c>
      <c r="F49" s="14" t="str">
        <f t="shared" si="20"/>
        <v/>
      </c>
      <c r="G49" s="14" t="str">
        <f t="shared" si="20"/>
        <v/>
      </c>
      <c r="H49" s="14" t="str">
        <f t="shared" si="20"/>
        <v/>
      </c>
      <c r="I49" s="14" t="str">
        <f t="shared" si="20"/>
        <v/>
      </c>
      <c r="J49" s="14" t="str">
        <f t="shared" si="20"/>
        <v/>
      </c>
      <c r="K49" s="14" t="str">
        <f t="shared" si="20"/>
        <v/>
      </c>
      <c r="L49" s="14" t="str">
        <f t="shared" si="20"/>
        <v/>
      </c>
      <c r="M49" s="29"/>
      <c r="N49" s="29"/>
    </row>
    <row r="50" spans="1:14" x14ac:dyDescent="0.35">
      <c r="A50" t="str">
        <f t="shared" si="18"/>
        <v xml:space="preserve">    To Mexico</v>
      </c>
      <c r="B50" s="44" t="s">
        <v>191</v>
      </c>
      <c r="C50" s="14" t="str">
        <f>IF(OR(C$26="",$A50=""),"",IF(C$47&gt;SUM(C51:C52,C46),C46,C$47-SUM(C51:C52)))</f>
        <v/>
      </c>
      <c r="D50" s="14" t="str">
        <f t="shared" ref="D50:L50" si="21">IF(OR(D$26="",$A50=""),"",IF(D$47&gt;SUM(D51:D52,D46),D46,D$47-SUM(D51:D52)))</f>
        <v/>
      </c>
      <c r="E50" s="14" t="str">
        <f t="shared" si="21"/>
        <v/>
      </c>
      <c r="F50" s="14" t="str">
        <f t="shared" si="21"/>
        <v/>
      </c>
      <c r="G50" s="14" t="str">
        <f t="shared" si="21"/>
        <v/>
      </c>
      <c r="H50" s="14" t="str">
        <f t="shared" si="21"/>
        <v/>
      </c>
      <c r="I50" s="14" t="str">
        <f t="shared" si="21"/>
        <v/>
      </c>
      <c r="J50" s="14" t="str">
        <f t="shared" si="21"/>
        <v/>
      </c>
      <c r="K50" s="14" t="str">
        <f t="shared" si="21"/>
        <v/>
      </c>
      <c r="L50" s="14" t="str">
        <f t="shared" si="21"/>
        <v/>
      </c>
      <c r="M50" s="29"/>
      <c r="N50" s="29"/>
    </row>
    <row r="51" spans="1:14" x14ac:dyDescent="0.35">
      <c r="A51" t="str">
        <f t="shared" si="18"/>
        <v xml:space="preserve">    To Shared, Reserve</v>
      </c>
      <c r="B51" s="44" t="s">
        <v>190</v>
      </c>
      <c r="C51" s="14" t="str">
        <f>IF(OR(C$26="",$A51=""),"",IF(C$47&gt;C43,C43,C47))</f>
        <v/>
      </c>
      <c r="D51" s="14" t="str">
        <f t="shared" ref="D51:L51" si="22">IF(OR(D$26="",$A51=""),"",IF(D$47&gt;D43,D43,D$47-D43))</f>
        <v/>
      </c>
      <c r="E51" s="14" t="str">
        <f t="shared" si="22"/>
        <v/>
      </c>
      <c r="F51" s="14" t="str">
        <f t="shared" si="22"/>
        <v/>
      </c>
      <c r="G51" s="14" t="str">
        <f t="shared" si="22"/>
        <v/>
      </c>
      <c r="H51" s="14" t="str">
        <f t="shared" si="22"/>
        <v/>
      </c>
      <c r="I51" s="14" t="str">
        <f t="shared" si="22"/>
        <v/>
      </c>
      <c r="J51" s="14" t="str">
        <f t="shared" si="22"/>
        <v/>
      </c>
      <c r="K51" s="14" t="str">
        <f t="shared" si="22"/>
        <v/>
      </c>
      <c r="L51" s="14" t="str">
        <f t="shared" si="22"/>
        <v/>
      </c>
      <c r="M51" s="29"/>
      <c r="N51" s="29"/>
    </row>
    <row r="52" spans="1:14" x14ac:dyDescent="0.35">
      <c r="A52" t="str">
        <f t="shared" si="18"/>
        <v/>
      </c>
      <c r="B52" s="44"/>
      <c r="C52" s="14"/>
      <c r="D52" s="14" t="str">
        <f t="shared" ref="D52:L52" si="23">IF(OR(D$26="",$A52=""),"",IF(D$47&gt;D44,D44,D$47))</f>
        <v/>
      </c>
      <c r="E52" s="14" t="str">
        <f t="shared" si="23"/>
        <v/>
      </c>
      <c r="F52" s="14" t="str">
        <f t="shared" si="23"/>
        <v/>
      </c>
      <c r="G52" s="14" t="str">
        <f t="shared" si="23"/>
        <v/>
      </c>
      <c r="H52" s="14" t="str">
        <f t="shared" si="23"/>
        <v/>
      </c>
      <c r="I52" s="14" t="str">
        <f t="shared" si="23"/>
        <v/>
      </c>
      <c r="J52" s="14" t="str">
        <f t="shared" si="23"/>
        <v/>
      </c>
      <c r="K52" s="14" t="str">
        <f t="shared" si="23"/>
        <v/>
      </c>
      <c r="L52" s="14" t="str">
        <f t="shared" si="23"/>
        <v/>
      </c>
      <c r="M52" s="29"/>
      <c r="N52" s="29"/>
    </row>
    <row r="53" spans="1:14" x14ac:dyDescent="0.35">
      <c r="A53" t="str">
        <f t="shared" si="18"/>
        <v/>
      </c>
      <c r="B53" s="44"/>
      <c r="C53" s="57"/>
      <c r="D53" s="57" t="str">
        <f t="shared" ref="C53:L53" si="24">IF(OR(D$26="",$A53=""),"",IF(D$26&gt;$B53,$B53,D$26))</f>
        <v/>
      </c>
      <c r="E53" s="57" t="str">
        <f t="shared" si="24"/>
        <v/>
      </c>
      <c r="F53" s="57" t="str">
        <f t="shared" si="24"/>
        <v/>
      </c>
      <c r="G53" s="57" t="str">
        <f t="shared" si="24"/>
        <v/>
      </c>
      <c r="H53" s="57" t="str">
        <f t="shared" si="24"/>
        <v/>
      </c>
      <c r="I53" s="57" t="str">
        <f t="shared" si="24"/>
        <v/>
      </c>
      <c r="J53" s="57" t="str">
        <f t="shared" si="24"/>
        <v/>
      </c>
      <c r="K53" s="57" t="str">
        <f t="shared" si="24"/>
        <v/>
      </c>
      <c r="L53" s="57" t="str">
        <f t="shared" si="24"/>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25"/>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5">IF(OR(C$26="",$A59=""),"",C$112)</f>
        <v/>
      </c>
      <c r="D59" s="78" t="str">
        <f t="shared" si="25"/>
        <v/>
      </c>
      <c r="E59" s="78" t="str">
        <f t="shared" si="25"/>
        <v/>
      </c>
      <c r="F59" s="78" t="str">
        <f t="shared" si="25"/>
        <v/>
      </c>
      <c r="G59" s="78" t="str">
        <f t="shared" si="25"/>
        <v/>
      </c>
      <c r="H59" s="78" t="str">
        <f t="shared" si="25"/>
        <v/>
      </c>
      <c r="I59" s="78" t="str">
        <f t="shared" si="25"/>
        <v/>
      </c>
      <c r="J59" s="78" t="str">
        <f t="shared" si="25"/>
        <v/>
      </c>
      <c r="K59" s="78" t="str">
        <f t="shared" si="25"/>
        <v/>
      </c>
      <c r="L59" s="78" t="str">
        <f t="shared" si="25"/>
        <v/>
      </c>
      <c r="M59" t="str">
        <f t="shared" si="25"/>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6">IF(OR(D$26="",$A60=""),"",D30+D48-D40-D57)</f>
        <v/>
      </c>
      <c r="E60" s="14" t="str">
        <f t="shared" si="26"/>
        <v/>
      </c>
      <c r="F60" s="14" t="str">
        <f t="shared" si="26"/>
        <v/>
      </c>
      <c r="G60" s="14" t="str">
        <f t="shared" si="26"/>
        <v/>
      </c>
      <c r="H60" s="14" t="str">
        <f t="shared" si="26"/>
        <v/>
      </c>
      <c r="I60" s="14" t="str">
        <f t="shared" si="26"/>
        <v/>
      </c>
      <c r="J60" s="14" t="str">
        <f t="shared" si="26"/>
        <v/>
      </c>
      <c r="K60" s="14" t="str">
        <f t="shared" si="26"/>
        <v/>
      </c>
      <c r="L60" s="14" t="str">
        <f t="shared" si="26"/>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IF(OR(C$26="",$A62=""),"",C60-C61)</f>
        <v/>
      </c>
      <c r="D62" s="77" t="str">
        <f t="shared" ref="D62:L62" si="27">IF(OR(D$26="",$A62=""),"",D60-D61)</f>
        <v/>
      </c>
      <c r="E62" s="77" t="str">
        <f t="shared" si="27"/>
        <v/>
      </c>
      <c r="F62" s="77" t="str">
        <f t="shared" si="27"/>
        <v/>
      </c>
      <c r="G62" s="77" t="str">
        <f t="shared" si="27"/>
        <v/>
      </c>
      <c r="H62" s="77" t="str">
        <f t="shared" si="27"/>
        <v/>
      </c>
      <c r="I62" s="77" t="str">
        <f t="shared" si="27"/>
        <v/>
      </c>
      <c r="J62" s="77" t="str">
        <f t="shared" si="27"/>
        <v/>
      </c>
      <c r="K62" s="77" t="str">
        <f t="shared" si="27"/>
        <v/>
      </c>
      <c r="L62" s="77" t="str">
        <f t="shared" si="27"/>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8">IF(A66="","",N58)</f>
        <v>Add if multiple transactions, e.g.: $350*0.5 + $450*0.25</v>
      </c>
    </row>
    <row r="67" spans="1:14" x14ac:dyDescent="0.35">
      <c r="A67" s="32" t="str">
        <f>IF(A66="","","   Volume all players (should be zero)")</f>
        <v xml:space="preserve">   Volume all players (should be zero)</v>
      </c>
      <c r="C67" s="78" t="str">
        <f t="shared" ref="C67:M67" si="29">IF(OR(C$26="",$A67=""),"",C$112)</f>
        <v/>
      </c>
      <c r="D67" s="78" t="str">
        <f t="shared" si="29"/>
        <v/>
      </c>
      <c r="E67" s="78" t="str">
        <f t="shared" si="29"/>
        <v/>
      </c>
      <c r="F67" s="78" t="str">
        <f t="shared" si="29"/>
        <v/>
      </c>
      <c r="G67" s="78" t="str">
        <f t="shared" si="29"/>
        <v/>
      </c>
      <c r="H67" s="78" t="str">
        <f t="shared" si="29"/>
        <v/>
      </c>
      <c r="I67" s="78" t="str">
        <f t="shared" si="29"/>
        <v/>
      </c>
      <c r="J67" s="78" t="str">
        <f t="shared" si="29"/>
        <v/>
      </c>
      <c r="K67" s="78" t="str">
        <f t="shared" si="29"/>
        <v/>
      </c>
      <c r="L67" s="78" t="str">
        <f t="shared" si="29"/>
        <v/>
      </c>
      <c r="M67" t="str">
        <f t="shared" si="29"/>
        <v/>
      </c>
      <c r="N67" t="str">
        <f t="shared" si="28"/>
        <v>If non-zero, players need to change amount(s)</v>
      </c>
    </row>
    <row r="68" spans="1:14" x14ac:dyDescent="0.35">
      <c r="A68" s="1" t="str">
        <f>IF(A66="","","   Available Water [maf]")</f>
        <v xml:space="preserve">   Available Water [maf]</v>
      </c>
      <c r="C68" s="14" t="str">
        <f t="shared" ref="C68:L68" si="30">IF(OR(C$26="",$A68=""),"",C31+C49-C41-C65)</f>
        <v/>
      </c>
      <c r="D68" s="14" t="str">
        <f t="shared" si="30"/>
        <v/>
      </c>
      <c r="E68" s="14" t="str">
        <f t="shared" si="30"/>
        <v/>
      </c>
      <c r="F68" s="14" t="str">
        <f t="shared" si="30"/>
        <v/>
      </c>
      <c r="G68" s="14" t="str">
        <f t="shared" si="30"/>
        <v/>
      </c>
      <c r="H68" s="14" t="str">
        <f t="shared" si="30"/>
        <v/>
      </c>
      <c r="I68" s="14" t="str">
        <f t="shared" si="30"/>
        <v/>
      </c>
      <c r="J68" s="14" t="str">
        <f t="shared" si="30"/>
        <v/>
      </c>
      <c r="K68" s="14" t="str">
        <f t="shared" si="30"/>
        <v/>
      </c>
      <c r="L68" s="14" t="str">
        <f t="shared" si="30"/>
        <v/>
      </c>
      <c r="N68" t="str">
        <f t="shared" si="28"/>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8"/>
        <v>Must be less than Available water</v>
      </c>
    </row>
    <row r="70" spans="1:14" x14ac:dyDescent="0.35">
      <c r="A70" s="32" t="str">
        <f>IF(A69="","","   End of Year Balance [maf]")</f>
        <v xml:space="preserve">   End of Year Balance [maf]</v>
      </c>
      <c r="C70" s="77" t="str">
        <f>IF(OR(C$26="",$A70=""),"",C68-C69)</f>
        <v/>
      </c>
      <c r="D70" s="77" t="str">
        <f t="shared" ref="D70:L70" si="31">IF(OR(D$26="",$A70=""),"",D68-D69)</f>
        <v/>
      </c>
      <c r="E70" s="77" t="str">
        <f t="shared" si="31"/>
        <v/>
      </c>
      <c r="F70" s="77" t="str">
        <f t="shared" si="31"/>
        <v/>
      </c>
      <c r="G70" s="77" t="str">
        <f t="shared" si="31"/>
        <v/>
      </c>
      <c r="H70" s="77" t="str">
        <f t="shared" si="31"/>
        <v/>
      </c>
      <c r="I70" s="77" t="str">
        <f t="shared" si="31"/>
        <v/>
      </c>
      <c r="J70" s="77" t="str">
        <f t="shared" si="31"/>
        <v/>
      </c>
      <c r="K70" s="77" t="str">
        <f t="shared" si="31"/>
        <v/>
      </c>
      <c r="L70" s="77" t="str">
        <f t="shared" si="31"/>
        <v/>
      </c>
      <c r="N70" t="str">
        <f t="shared" si="28"/>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2">IF(A74="","",N66)</f>
        <v>Add if multiple transactions, e.g.: $350*0.5 + $450*0.25</v>
      </c>
    </row>
    <row r="75" spans="1:14" x14ac:dyDescent="0.35">
      <c r="A75" s="32" t="str">
        <f>IF(A74="","","   Volume all players (should be zero)")</f>
        <v xml:space="preserve">   Volume all players (should be zero)</v>
      </c>
      <c r="C75" s="78" t="str">
        <f t="shared" ref="C75:M75" si="33">IF(OR(C$26="",$A75=""),"",C$112)</f>
        <v/>
      </c>
      <c r="D75" s="78" t="str">
        <f t="shared" si="33"/>
        <v/>
      </c>
      <c r="E75" s="78" t="str">
        <f t="shared" si="33"/>
        <v/>
      </c>
      <c r="F75" s="78" t="str">
        <f t="shared" si="33"/>
        <v/>
      </c>
      <c r="G75" s="78" t="str">
        <f t="shared" si="33"/>
        <v/>
      </c>
      <c r="H75" s="78" t="str">
        <f t="shared" si="33"/>
        <v/>
      </c>
      <c r="I75" s="78" t="str">
        <f t="shared" si="33"/>
        <v/>
      </c>
      <c r="J75" s="78" t="str">
        <f t="shared" si="33"/>
        <v/>
      </c>
      <c r="K75" s="78" t="str">
        <f t="shared" si="33"/>
        <v/>
      </c>
      <c r="L75" s="78" t="str">
        <f t="shared" si="33"/>
        <v/>
      </c>
      <c r="M75" t="str">
        <f t="shared" si="33"/>
        <v/>
      </c>
      <c r="N75" t="str">
        <f t="shared" si="32"/>
        <v>If non-zero, players need to change amount(s)</v>
      </c>
    </row>
    <row r="76" spans="1:14" x14ac:dyDescent="0.35">
      <c r="A76" s="1" t="str">
        <f>IF(A74="","","   Available Water [maf]")</f>
        <v xml:space="preserve">   Available Water [maf]</v>
      </c>
      <c r="C76" s="14" t="str">
        <f t="shared" ref="C76:L76" si="34">IF(OR(C$26="",$A76=""),"",C32+C50-C42-C73)</f>
        <v/>
      </c>
      <c r="D76" s="14" t="str">
        <f t="shared" si="34"/>
        <v/>
      </c>
      <c r="E76" s="14" t="str">
        <f t="shared" si="34"/>
        <v/>
      </c>
      <c r="F76" s="14" t="str">
        <f>IF(OR(F$26="",$A76=""),"",F32+F50-F42-F73)</f>
        <v/>
      </c>
      <c r="G76" s="14" t="str">
        <f t="shared" si="34"/>
        <v/>
      </c>
      <c r="H76" s="14" t="str">
        <f t="shared" si="34"/>
        <v/>
      </c>
      <c r="I76" s="14" t="str">
        <f t="shared" si="34"/>
        <v/>
      </c>
      <c r="J76" s="14" t="str">
        <f t="shared" si="34"/>
        <v/>
      </c>
      <c r="K76" s="14" t="str">
        <f t="shared" si="34"/>
        <v/>
      </c>
      <c r="L76" s="14" t="str">
        <f t="shared" si="34"/>
        <v/>
      </c>
      <c r="N76" t="str">
        <f t="shared" si="32"/>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2"/>
        <v>Must be less than Available water</v>
      </c>
    </row>
    <row r="78" spans="1:14" x14ac:dyDescent="0.35">
      <c r="A78" s="32" t="str">
        <f>IF(A77="","","   End of Year Balance [maf]")</f>
        <v xml:space="preserve">   End of Year Balance [maf]</v>
      </c>
      <c r="C78" s="77" t="str">
        <f>IF(OR(C$26="",$A78=""),"",C76-C77)</f>
        <v/>
      </c>
      <c r="D78" s="77" t="str">
        <f t="shared" ref="D78:L78" si="35">IF(OR(D$26="",$A78=""),"",D76-D77)</f>
        <v/>
      </c>
      <c r="E78" s="77" t="str">
        <f t="shared" si="35"/>
        <v/>
      </c>
      <c r="F78" s="77" t="str">
        <f t="shared" si="35"/>
        <v/>
      </c>
      <c r="G78" s="77" t="str">
        <f t="shared" si="35"/>
        <v/>
      </c>
      <c r="H78" s="77" t="str">
        <f t="shared" si="35"/>
        <v/>
      </c>
      <c r="I78" s="77" t="str">
        <f t="shared" si="35"/>
        <v/>
      </c>
      <c r="J78" s="77" t="str">
        <f t="shared" si="35"/>
        <v/>
      </c>
      <c r="K78" s="77" t="str">
        <f t="shared" si="35"/>
        <v/>
      </c>
      <c r="L78" s="77" t="str">
        <f t="shared" si="35"/>
        <v/>
      </c>
      <c r="N78" t="str">
        <f t="shared" si="32"/>
        <v>Available water - Account Withdraw</v>
      </c>
    </row>
    <row r="79" spans="1:14" x14ac:dyDescent="0.35">
      <c r="C79"/>
    </row>
    <row r="80" spans="1:14" x14ac:dyDescent="0.35">
      <c r="A80" s="79" t="str">
        <f>IF(A$9="","[Unused]",A9)</f>
        <v>Shared, Reserve</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6">IF(A82="","",N74)</f>
        <v>Add if multiple transactions, e.g.: $350*0.5 + $450*0.25</v>
      </c>
    </row>
    <row r="83" spans="1:14" x14ac:dyDescent="0.35">
      <c r="A83" s="32" t="str">
        <f>IF(A82="","","   Volume all players (should be zero)")</f>
        <v xml:space="preserve">   Volume all players (should be zero)</v>
      </c>
      <c r="C83" s="78" t="str">
        <f t="shared" ref="C83:M83" si="37">IF(OR(C$26="",$A83=""),"",C$112)</f>
        <v/>
      </c>
      <c r="D83" s="78" t="str">
        <f t="shared" si="37"/>
        <v/>
      </c>
      <c r="E83" s="78" t="str">
        <f t="shared" si="37"/>
        <v/>
      </c>
      <c r="F83" s="78" t="str">
        <f t="shared" si="37"/>
        <v/>
      </c>
      <c r="G83" s="78" t="str">
        <f t="shared" si="37"/>
        <v/>
      </c>
      <c r="H83" s="78" t="str">
        <f t="shared" si="37"/>
        <v/>
      </c>
      <c r="I83" s="78" t="str">
        <f t="shared" si="37"/>
        <v/>
      </c>
      <c r="J83" s="78" t="str">
        <f t="shared" si="37"/>
        <v/>
      </c>
      <c r="K83" s="78" t="str">
        <f t="shared" si="37"/>
        <v/>
      </c>
      <c r="L83" s="78" t="str">
        <f t="shared" si="37"/>
        <v/>
      </c>
      <c r="M83" t="str">
        <f t="shared" si="37"/>
        <v/>
      </c>
      <c r="N83" t="str">
        <f t="shared" si="36"/>
        <v>If non-zero, players need to change amount(s)</v>
      </c>
    </row>
    <row r="84" spans="1:14" x14ac:dyDescent="0.35">
      <c r="A84" s="1" t="str">
        <f>IF(A82="","","   Available Water [maf]")</f>
        <v xml:space="preserve">   Available Water [maf]</v>
      </c>
      <c r="C84" s="14" t="str">
        <f t="shared" ref="C84:L84" si="38">IF(OR(C$26="",$A84=""),"",C33+C51-C43-C81)</f>
        <v/>
      </c>
      <c r="D84" s="14" t="str">
        <f t="shared" si="38"/>
        <v/>
      </c>
      <c r="E84" s="14" t="str">
        <f t="shared" si="38"/>
        <v/>
      </c>
      <c r="F84" s="14" t="str">
        <f t="shared" si="38"/>
        <v/>
      </c>
      <c r="G84" s="14" t="str">
        <f t="shared" si="38"/>
        <v/>
      </c>
      <c r="H84" s="14" t="str">
        <f t="shared" si="38"/>
        <v/>
      </c>
      <c r="I84" s="14" t="str">
        <f t="shared" si="38"/>
        <v/>
      </c>
      <c r="J84" s="14" t="str">
        <f t="shared" si="38"/>
        <v/>
      </c>
      <c r="K84" s="14" t="str">
        <f t="shared" si="38"/>
        <v/>
      </c>
      <c r="L84" s="14" t="str">
        <f t="shared" si="38"/>
        <v/>
      </c>
      <c r="N84" t="str">
        <f t="shared" si="36"/>
        <v>Available water = Account Balance + Available Inflow - Evaporation + Sales - Purchases</v>
      </c>
    </row>
    <row r="85" spans="1:14" x14ac:dyDescent="0.35">
      <c r="A85" s="1" t="str">
        <f>IF(A84="","","   Account Withdraw [maf]")</f>
        <v xml:space="preserve">   Account Withdraw [maf]</v>
      </c>
      <c r="C85" s="43" t="str">
        <f>IF(C$26&lt;&gt;"",C51,"")</f>
        <v/>
      </c>
      <c r="D85" s="43" t="str">
        <f t="shared" ref="D85:G85" si="39">D84</f>
        <v/>
      </c>
      <c r="E85" s="43" t="str">
        <f t="shared" si="39"/>
        <v/>
      </c>
      <c r="F85" s="43" t="str">
        <f t="shared" si="39"/>
        <v/>
      </c>
      <c r="G85" s="43" t="str">
        <f t="shared" si="39"/>
        <v/>
      </c>
      <c r="H85" s="43"/>
      <c r="I85" s="43"/>
      <c r="J85" s="43"/>
      <c r="K85" s="43"/>
      <c r="L85" s="43"/>
      <c r="N85" t="str">
        <f t="shared" si="36"/>
        <v>Must be less than Available water</v>
      </c>
    </row>
    <row r="86" spans="1:14" x14ac:dyDescent="0.35">
      <c r="A86" s="32" t="str">
        <f>IF(A85="","","   End of Year Balance [maf]")</f>
        <v xml:space="preserve">   End of Year Balance [maf]</v>
      </c>
      <c r="C86" s="77" t="str">
        <f>IF(OR(C$26="",$A86=""),"",C84-C85)</f>
        <v/>
      </c>
      <c r="D86" s="77" t="str">
        <f t="shared" ref="D86:L86" si="40">IF(OR(D$26="",$A86=""),"",D84-D85)</f>
        <v/>
      </c>
      <c r="E86" s="77" t="str">
        <f t="shared" si="40"/>
        <v/>
      </c>
      <c r="F86" s="77" t="str">
        <f t="shared" si="40"/>
        <v/>
      </c>
      <c r="G86" s="77" t="str">
        <f t="shared" si="40"/>
        <v/>
      </c>
      <c r="H86" s="77" t="str">
        <f t="shared" si="40"/>
        <v/>
      </c>
      <c r="I86" s="77" t="str">
        <f t="shared" si="40"/>
        <v/>
      </c>
      <c r="J86" s="77" t="str">
        <f t="shared" si="40"/>
        <v/>
      </c>
      <c r="K86" s="77" t="str">
        <f t="shared" si="40"/>
        <v/>
      </c>
      <c r="L86" s="77" t="str">
        <f t="shared" si="40"/>
        <v/>
      </c>
      <c r="N86" t="str">
        <f t="shared" si="36"/>
        <v>Available water - Account Withdraw</v>
      </c>
    </row>
    <row r="87" spans="1:14" x14ac:dyDescent="0.35">
      <c r="C87"/>
    </row>
    <row r="88" spans="1:14" x14ac:dyDescent="0.35">
      <c r="A88" s="79" t="str">
        <f>IF(A$10="","[Unused]",A10)</f>
        <v>[Unused]</v>
      </c>
      <c r="B88" s="80"/>
      <c r="C88" s="80"/>
      <c r="D88" s="80"/>
      <c r="E88" s="80"/>
      <c r="F88" s="80"/>
      <c r="G88" s="80"/>
      <c r="H88" s="80"/>
      <c r="I88" s="80"/>
      <c r="J88" s="80"/>
      <c r="K88" s="80"/>
      <c r="L88" s="80"/>
      <c r="M88" s="81" t="s">
        <v>107</v>
      </c>
      <c r="N88" s="79" t="s">
        <v>175</v>
      </c>
    </row>
    <row r="89" spans="1:14" x14ac:dyDescent="0.35">
      <c r="A89" s="32" t="str">
        <f>IF(A88="[Unused]","","   Volume of Sales(+) and Purchases(-) [maf]")</f>
        <v/>
      </c>
      <c r="C89" s="25"/>
      <c r="D89" s="25"/>
      <c r="E89" s="25"/>
      <c r="F89" s="25"/>
      <c r="G89" s="25"/>
      <c r="H89" s="25"/>
      <c r="I89" s="25"/>
      <c r="J89" s="25"/>
      <c r="K89" s="25"/>
      <c r="L89" s="25"/>
      <c r="M89" s="78">
        <f>SUM(C89:L89)</f>
        <v>0</v>
      </c>
      <c r="N89" t="str">
        <f>IF(A89="","",N81)</f>
        <v/>
      </c>
    </row>
    <row r="90" spans="1:14" x14ac:dyDescent="0.35">
      <c r="A90" s="32" t="str">
        <f>IF(A89="","","   Cash Intake(+) and Payments(-) [$ Mill]")</f>
        <v/>
      </c>
      <c r="C90" s="76"/>
      <c r="D90" s="76"/>
      <c r="E90" s="76"/>
      <c r="F90" s="76"/>
      <c r="G90" s="76"/>
      <c r="H90" s="76"/>
      <c r="I90" s="76"/>
      <c r="J90" s="76"/>
      <c r="K90" s="76"/>
      <c r="L90" s="76"/>
      <c r="M90" s="75">
        <f>SUM(C90:L90)</f>
        <v>0</v>
      </c>
      <c r="N90" t="str">
        <f t="shared" ref="N90:N94" si="41">IF(A90="","",N82)</f>
        <v/>
      </c>
    </row>
    <row r="91" spans="1:14" x14ac:dyDescent="0.35">
      <c r="A91" s="32" t="str">
        <f>IF(A90="","","   Volume all players (should be zero)")</f>
        <v/>
      </c>
      <c r="C91" s="78" t="str">
        <f t="shared" ref="C91:M91" si="42">IF(OR(C$26="",$A91=""),"",C$112)</f>
        <v/>
      </c>
      <c r="D91" s="78" t="str">
        <f t="shared" si="42"/>
        <v/>
      </c>
      <c r="E91" s="78" t="str">
        <f t="shared" si="42"/>
        <v/>
      </c>
      <c r="F91" s="78" t="str">
        <f t="shared" si="42"/>
        <v/>
      </c>
      <c r="G91" s="78" t="str">
        <f t="shared" si="42"/>
        <v/>
      </c>
      <c r="H91" s="78" t="str">
        <f t="shared" si="42"/>
        <v/>
      </c>
      <c r="I91" s="78" t="str">
        <f t="shared" si="42"/>
        <v/>
      </c>
      <c r="J91" s="78" t="str">
        <f t="shared" si="42"/>
        <v/>
      </c>
      <c r="K91" s="78" t="str">
        <f t="shared" si="42"/>
        <v/>
      </c>
      <c r="L91" s="78" t="str">
        <f t="shared" si="42"/>
        <v/>
      </c>
      <c r="M91" t="str">
        <f t="shared" si="42"/>
        <v/>
      </c>
      <c r="N91" t="str">
        <f t="shared" si="41"/>
        <v/>
      </c>
    </row>
    <row r="92" spans="1:14" x14ac:dyDescent="0.35">
      <c r="A92" s="1" t="str">
        <f>IF(A90="","","   Available Water [maf]")</f>
        <v/>
      </c>
      <c r="C92" s="14" t="str">
        <f t="shared" ref="C92:L92" si="43">IF(OR(C$26="",$A92=""),"",C34+C52-C44-C89)</f>
        <v/>
      </c>
      <c r="D92" s="14" t="str">
        <f t="shared" si="43"/>
        <v/>
      </c>
      <c r="E92" s="14" t="str">
        <f t="shared" si="43"/>
        <v/>
      </c>
      <c r="F92" s="14" t="str">
        <f t="shared" si="43"/>
        <v/>
      </c>
      <c r="G92" s="14" t="str">
        <f t="shared" si="43"/>
        <v/>
      </c>
      <c r="H92" s="14" t="str">
        <f t="shared" si="43"/>
        <v/>
      </c>
      <c r="I92" s="14" t="str">
        <f t="shared" si="43"/>
        <v/>
      </c>
      <c r="J92" s="14" t="str">
        <f t="shared" si="43"/>
        <v/>
      </c>
      <c r="K92" s="14" t="str">
        <f t="shared" si="43"/>
        <v/>
      </c>
      <c r="L92" s="14" t="str">
        <f t="shared" si="43"/>
        <v/>
      </c>
      <c r="N92" t="str">
        <f t="shared" si="41"/>
        <v/>
      </c>
    </row>
    <row r="93" spans="1:14" x14ac:dyDescent="0.35">
      <c r="A93" s="1" t="str">
        <f>IF(A92="","","   Account Withdraw [maf]")</f>
        <v/>
      </c>
      <c r="C93" s="43"/>
      <c r="D93" s="43"/>
      <c r="E93" s="43"/>
      <c r="F93" s="43"/>
      <c r="G93" s="43"/>
      <c r="H93" s="43"/>
      <c r="I93" s="43"/>
      <c r="J93" s="43"/>
      <c r="K93" s="43"/>
      <c r="L93" s="43"/>
      <c r="N93" t="str">
        <f t="shared" si="41"/>
        <v/>
      </c>
    </row>
    <row r="94" spans="1:14" x14ac:dyDescent="0.35">
      <c r="A94" s="32" t="str">
        <f>IF(A93="","","   End of Year Balance [maf]")</f>
        <v/>
      </c>
      <c r="C94" s="77" t="str">
        <f>IF(OR(C$26="",$A94=""),"",C92-C93)</f>
        <v/>
      </c>
      <c r="D94" s="77" t="str">
        <f t="shared" ref="D94:L94" si="44">IF(OR(D$26="",$A94=""),"",D92-D93)</f>
        <v/>
      </c>
      <c r="E94" s="77" t="str">
        <f t="shared" si="44"/>
        <v/>
      </c>
      <c r="F94" s="77" t="str">
        <f t="shared" si="44"/>
        <v/>
      </c>
      <c r="G94" s="77" t="str">
        <f t="shared" si="44"/>
        <v/>
      </c>
      <c r="H94" s="77" t="str">
        <f t="shared" si="44"/>
        <v/>
      </c>
      <c r="I94" s="77" t="str">
        <f t="shared" si="44"/>
        <v/>
      </c>
      <c r="J94" s="77" t="str">
        <f t="shared" si="44"/>
        <v/>
      </c>
      <c r="K94" s="77" t="str">
        <f t="shared" si="44"/>
        <v/>
      </c>
      <c r="L94" s="77" t="str">
        <f t="shared" si="44"/>
        <v/>
      </c>
      <c r="N94" t="str">
        <f t="shared" si="41"/>
        <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5">IF(A98="","",N90)</f>
        <v/>
      </c>
    </row>
    <row r="99" spans="1:14" x14ac:dyDescent="0.35">
      <c r="A99" s="32" t="str">
        <f>IF(A98="","","   Volume all players (should be zero)")</f>
        <v/>
      </c>
      <c r="C99" s="78" t="str">
        <f t="shared" ref="C99:M99" si="46">IF(OR(C$26="",$A99=""),"",C$112)</f>
        <v/>
      </c>
      <c r="D99" s="78" t="str">
        <f t="shared" si="46"/>
        <v/>
      </c>
      <c r="E99" s="78" t="str">
        <f t="shared" si="46"/>
        <v/>
      </c>
      <c r="F99" s="78" t="str">
        <f t="shared" si="46"/>
        <v/>
      </c>
      <c r="G99" s="78" t="str">
        <f t="shared" si="46"/>
        <v/>
      </c>
      <c r="H99" s="78" t="str">
        <f t="shared" si="46"/>
        <v/>
      </c>
      <c r="I99" s="78" t="str">
        <f t="shared" si="46"/>
        <v/>
      </c>
      <c r="J99" s="78" t="str">
        <f t="shared" si="46"/>
        <v/>
      </c>
      <c r="K99" s="78" t="str">
        <f t="shared" si="46"/>
        <v/>
      </c>
      <c r="L99" s="78" t="str">
        <f t="shared" si="46"/>
        <v/>
      </c>
      <c r="M99" t="str">
        <f t="shared" si="46"/>
        <v/>
      </c>
      <c r="N99" t="str">
        <f t="shared" si="45"/>
        <v/>
      </c>
    </row>
    <row r="100" spans="1:14" x14ac:dyDescent="0.35">
      <c r="A100" s="1" t="str">
        <f>IF(A98="","","   Available Water [maf]")</f>
        <v/>
      </c>
      <c r="C100" s="14" t="str">
        <f t="shared" ref="C100:L100" si="47">IF(OR(C$26="",$A100=""),"",C35+C53-C45-C97)</f>
        <v/>
      </c>
      <c r="D100" s="14" t="str">
        <f t="shared" si="47"/>
        <v/>
      </c>
      <c r="E100" s="14" t="str">
        <f t="shared" si="47"/>
        <v/>
      </c>
      <c r="F100" s="14" t="str">
        <f t="shared" si="47"/>
        <v/>
      </c>
      <c r="G100" s="14" t="str">
        <f t="shared" si="47"/>
        <v/>
      </c>
      <c r="H100" s="14" t="str">
        <f t="shared" si="47"/>
        <v/>
      </c>
      <c r="I100" s="14" t="str">
        <f t="shared" si="47"/>
        <v/>
      </c>
      <c r="J100" s="14" t="str">
        <f t="shared" si="47"/>
        <v/>
      </c>
      <c r="K100" s="14" t="str">
        <f t="shared" si="47"/>
        <v/>
      </c>
      <c r="L100" s="14" t="str">
        <f t="shared" si="47"/>
        <v/>
      </c>
      <c r="N100" t="str">
        <f t="shared" si="45"/>
        <v/>
      </c>
    </row>
    <row r="101" spans="1:14" x14ac:dyDescent="0.35">
      <c r="A101" s="1" t="str">
        <f>IF(A100="","","   Account Withdraw [maf]")</f>
        <v/>
      </c>
      <c r="C101" s="43"/>
      <c r="D101" s="43"/>
      <c r="E101" s="43"/>
      <c r="F101" s="43"/>
      <c r="G101" s="43"/>
      <c r="H101" s="43"/>
      <c r="I101" s="43"/>
      <c r="J101" s="43"/>
      <c r="K101" s="43"/>
      <c r="L101" s="43"/>
      <c r="N101" t="str">
        <f t="shared" si="45"/>
        <v/>
      </c>
    </row>
    <row r="102" spans="1:14" x14ac:dyDescent="0.35">
      <c r="A102" s="32" t="str">
        <f>IF(A101="","","   End of Year Balance [maf]")</f>
        <v/>
      </c>
      <c r="C102" s="77" t="str">
        <f>IF(OR(C$26="",$A102=""),"",C100-C101)</f>
        <v/>
      </c>
      <c r="D102" s="77" t="str">
        <f t="shared" ref="D102:L102" si="48">IF(OR(D$26="",$A102=""),"",D100-D101)</f>
        <v/>
      </c>
      <c r="E102" s="77" t="str">
        <f t="shared" si="48"/>
        <v/>
      </c>
      <c r="F102" s="77" t="str">
        <f t="shared" si="48"/>
        <v/>
      </c>
      <c r="G102" s="77" t="str">
        <f t="shared" si="48"/>
        <v/>
      </c>
      <c r="H102" s="77" t="str">
        <f t="shared" si="48"/>
        <v/>
      </c>
      <c r="I102" s="77" t="str">
        <f t="shared" si="48"/>
        <v/>
      </c>
      <c r="J102" s="77" t="str">
        <f t="shared" si="48"/>
        <v/>
      </c>
      <c r="K102" s="77" t="str">
        <f t="shared" si="48"/>
        <v/>
      </c>
      <c r="L102" s="77" t="str">
        <f t="shared" si="48"/>
        <v/>
      </c>
      <c r="N102" t="str">
        <f t="shared" si="45"/>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9">IF(A6="","","    "&amp;A6)</f>
        <v xml:space="preserve">    Upper Basin</v>
      </c>
      <c r="B106" s="1"/>
      <c r="C106" s="78" t="str">
        <f t="shared" ref="C106:L106" ca="1" si="50">IF(OR(C$26="",$A106=""),"",OFFSET(C$57,8*(ROW(B106)-ROW(B$106)),0))</f>
        <v/>
      </c>
      <c r="D106" s="78" t="str">
        <f t="shared" ca="1" si="50"/>
        <v/>
      </c>
      <c r="E106" s="78" t="str">
        <f t="shared" ca="1" si="50"/>
        <v/>
      </c>
      <c r="F106" s="78" t="str">
        <f t="shared" ca="1" si="50"/>
        <v/>
      </c>
      <c r="G106" s="78" t="str">
        <f t="shared" ca="1" si="50"/>
        <v/>
      </c>
      <c r="H106" s="78" t="str">
        <f t="shared" ca="1" si="50"/>
        <v/>
      </c>
      <c r="I106" s="78" t="str">
        <f t="shared" ca="1" si="50"/>
        <v/>
      </c>
      <c r="J106" s="78" t="str">
        <f t="shared" ca="1" si="50"/>
        <v/>
      </c>
      <c r="K106" s="78" t="str">
        <f t="shared" ca="1" si="50"/>
        <v/>
      </c>
      <c r="L106" s="78" t="str">
        <f t="shared" ca="1" si="50"/>
        <v/>
      </c>
      <c r="M106" s="78">
        <f ca="1">IF(OR($A106=""),"",SUM(C106:L106))</f>
        <v>0</v>
      </c>
      <c r="N106" s="75">
        <f>IF(OR($A106=""),"",M58)</f>
        <v>0</v>
      </c>
    </row>
    <row r="107" spans="1:14" x14ac:dyDescent="0.35">
      <c r="A107" t="str">
        <f t="shared" si="49"/>
        <v xml:space="preserve">    Lower Basin</v>
      </c>
      <c r="B107" s="1"/>
      <c r="C107" s="78" t="str">
        <f t="shared" ref="C107:L107" ca="1" si="51">IF(OR(C$26="",$A107=""),"",OFFSET(C$57,8*(ROW(B107)-ROW(B$106)),0))</f>
        <v/>
      </c>
      <c r="D107" s="78" t="str">
        <f t="shared" ca="1" si="51"/>
        <v/>
      </c>
      <c r="E107" s="78" t="str">
        <f t="shared" ca="1" si="51"/>
        <v/>
      </c>
      <c r="F107" s="78" t="str">
        <f t="shared" ca="1" si="51"/>
        <v/>
      </c>
      <c r="G107" s="78" t="str">
        <f t="shared" ca="1" si="51"/>
        <v/>
      </c>
      <c r="H107" s="78" t="str">
        <f t="shared" ca="1" si="51"/>
        <v/>
      </c>
      <c r="I107" s="78" t="str">
        <f t="shared" ca="1" si="51"/>
        <v/>
      </c>
      <c r="J107" s="78" t="str">
        <f t="shared" ca="1" si="51"/>
        <v/>
      </c>
      <c r="K107" s="78" t="str">
        <f t="shared" ca="1" si="51"/>
        <v/>
      </c>
      <c r="L107" s="78" t="str">
        <f t="shared" ca="1" si="51"/>
        <v/>
      </c>
      <c r="M107" s="78">
        <f t="shared" ref="M107:M111" ca="1" si="52">IF(OR($A107=""),"",SUM(C107:L107))</f>
        <v>0</v>
      </c>
      <c r="N107" s="75">
        <f>IF(OR($A107=""),"",M66)</f>
        <v>0</v>
      </c>
    </row>
    <row r="108" spans="1:14" x14ac:dyDescent="0.35">
      <c r="A108" t="str">
        <f t="shared" si="49"/>
        <v xml:space="preserve">    Mexico</v>
      </c>
      <c r="B108" s="1"/>
      <c r="C108" s="78" t="str">
        <f t="shared" ref="C108:L108" ca="1" si="53">IF(OR(C$26="",$A108=""),"",OFFSET(C$57,8*(ROW(B108)-ROW(B$106)),0))</f>
        <v/>
      </c>
      <c r="D108" s="78" t="str">
        <f t="shared" ca="1" si="53"/>
        <v/>
      </c>
      <c r="E108" s="78" t="str">
        <f t="shared" ca="1" si="53"/>
        <v/>
      </c>
      <c r="F108" s="78" t="str">
        <f t="shared" ca="1" si="53"/>
        <v/>
      </c>
      <c r="G108" s="78" t="str">
        <f t="shared" ca="1" si="53"/>
        <v/>
      </c>
      <c r="H108" s="78" t="str">
        <f t="shared" ca="1" si="53"/>
        <v/>
      </c>
      <c r="I108" s="78" t="str">
        <f t="shared" ca="1" si="53"/>
        <v/>
      </c>
      <c r="J108" s="78" t="str">
        <f t="shared" ca="1" si="53"/>
        <v/>
      </c>
      <c r="K108" s="78" t="str">
        <f t="shared" ca="1" si="53"/>
        <v/>
      </c>
      <c r="L108" s="78" t="str">
        <f t="shared" ca="1" si="53"/>
        <v/>
      </c>
      <c r="M108" s="78">
        <f t="shared" ca="1" si="52"/>
        <v>0</v>
      </c>
      <c r="N108" s="75">
        <f>IF(OR($A108=""),"",M74)</f>
        <v>0</v>
      </c>
    </row>
    <row r="109" spans="1:14" x14ac:dyDescent="0.35">
      <c r="A109" t="str">
        <f t="shared" si="49"/>
        <v xml:space="preserve">    Shared, Reserve</v>
      </c>
      <c r="B109" s="1"/>
      <c r="C109" s="78" t="str">
        <f t="shared" ref="C109:L109" ca="1" si="54">IF(OR(C$26="",$A109=""),"",OFFSET(C$57,8*(ROW(B109)-ROW(B$106)),0))</f>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2"/>
        <v>0</v>
      </c>
      <c r="N109" s="75">
        <f>IF(OR($A109=""),"",M82)</f>
        <v>0</v>
      </c>
    </row>
    <row r="110" spans="1:14" x14ac:dyDescent="0.35">
      <c r="A110" t="str">
        <f t="shared" si="49"/>
        <v/>
      </c>
      <c r="B110" s="1"/>
      <c r="C110" s="78" t="str">
        <f t="shared" ref="C110:L110" ca="1" si="55">IF(OR(C$26="",$A110=""),"",OFFSET(C$57,8*(ROW(B110)-ROW(B$106)),0))</f>
        <v/>
      </c>
      <c r="D110" s="78" t="str">
        <f t="shared" ca="1" si="55"/>
        <v/>
      </c>
      <c r="E110" s="78" t="str">
        <f t="shared" ca="1" si="55"/>
        <v/>
      </c>
      <c r="F110" s="78" t="str">
        <f t="shared" ca="1" si="55"/>
        <v/>
      </c>
      <c r="G110" s="78" t="str">
        <f t="shared" ca="1" si="55"/>
        <v/>
      </c>
      <c r="H110" s="78" t="str">
        <f t="shared" ca="1" si="55"/>
        <v/>
      </c>
      <c r="I110" s="78" t="str">
        <f t="shared" ca="1" si="55"/>
        <v/>
      </c>
      <c r="J110" s="78" t="str">
        <f t="shared" ca="1" si="55"/>
        <v/>
      </c>
      <c r="K110" s="78" t="str">
        <f t="shared" ca="1" si="55"/>
        <v/>
      </c>
      <c r="L110" s="78" t="str">
        <f t="shared" ca="1" si="55"/>
        <v/>
      </c>
      <c r="M110" s="78" t="str">
        <f t="shared" si="52"/>
        <v/>
      </c>
      <c r="N110" s="75" t="str">
        <f>IF(OR($A110=""),"",M90)</f>
        <v/>
      </c>
    </row>
    <row r="111" spans="1:14" x14ac:dyDescent="0.35">
      <c r="A111" t="str">
        <f t="shared" si="49"/>
        <v/>
      </c>
      <c r="B111" s="1"/>
      <c r="C111" s="78" t="str">
        <f t="shared" ref="C111:L111" ca="1" si="56">IF(OR(C$26="",$A111=""),"",OFFSET(C$57,8*(ROW(B111)-ROW(B$106)),0))</f>
        <v/>
      </c>
      <c r="D111" s="78" t="str">
        <f t="shared" ca="1" si="56"/>
        <v/>
      </c>
      <c r="E111" s="78" t="str">
        <f t="shared" ca="1" si="56"/>
        <v/>
      </c>
      <c r="F111" s="78" t="str">
        <f t="shared" ca="1" si="56"/>
        <v/>
      </c>
      <c r="G111" s="78" t="str">
        <f t="shared" ca="1" si="56"/>
        <v/>
      </c>
      <c r="H111" s="78" t="str">
        <f t="shared" ca="1" si="56"/>
        <v/>
      </c>
      <c r="I111" s="78" t="str">
        <f t="shared" ca="1" si="56"/>
        <v/>
      </c>
      <c r="J111" s="78" t="str">
        <f t="shared" ca="1" si="56"/>
        <v/>
      </c>
      <c r="K111" s="78" t="str">
        <f t="shared" ca="1" si="56"/>
        <v/>
      </c>
      <c r="L111" s="78" t="str">
        <f t="shared" ca="1" si="56"/>
        <v/>
      </c>
      <c r="M111" s="78" t="str">
        <f t="shared" si="52"/>
        <v/>
      </c>
      <c r="N111" s="75" t="str">
        <f>IF(OR($A111=""),"",M98)</f>
        <v/>
      </c>
    </row>
    <row r="112" spans="1:14" x14ac:dyDescent="0.35">
      <c r="A112" t="s">
        <v>146</v>
      </c>
      <c r="B112" s="1"/>
      <c r="C112" s="52" t="str">
        <f>IF(C$26&lt;&gt;"",SUM(C106:C111),"")</f>
        <v/>
      </c>
      <c r="D112" s="52" t="str">
        <f t="shared" ref="D112:L112" si="57">IF(D$26&lt;&gt;"",SUM(D106:D111),"")</f>
        <v/>
      </c>
      <c r="E112" s="52" t="str">
        <f t="shared" si="57"/>
        <v/>
      </c>
      <c r="F112" s="52" t="str">
        <f t="shared" si="57"/>
        <v/>
      </c>
      <c r="G112" s="52" t="str">
        <f t="shared" si="57"/>
        <v/>
      </c>
      <c r="H112" s="52" t="str">
        <f t="shared" si="57"/>
        <v/>
      </c>
      <c r="I112" s="52" t="str">
        <f t="shared" si="57"/>
        <v/>
      </c>
      <c r="J112" s="52" t="str">
        <f t="shared" si="57"/>
        <v/>
      </c>
      <c r="K112" s="52" t="str">
        <f t="shared" si="57"/>
        <v/>
      </c>
      <c r="L112" s="52" t="str">
        <f t="shared" si="57"/>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4" ca="1" si="58">IF(OR(C$26="",$A114=""),"",OFFSET(C$61,8*(ROW(B114)-ROW(B$114)),0))</f>
        <v/>
      </c>
      <c r="D114" s="78" t="str">
        <f t="shared" ca="1" si="58"/>
        <v/>
      </c>
      <c r="E114" s="78" t="str">
        <f t="shared" ca="1" si="58"/>
        <v/>
      </c>
      <c r="F114" s="78" t="str">
        <f t="shared" ca="1" si="58"/>
        <v/>
      </c>
      <c r="G114" s="78" t="str">
        <f t="shared" ca="1" si="58"/>
        <v/>
      </c>
      <c r="H114" s="78" t="str">
        <f t="shared" ca="1" si="58"/>
        <v/>
      </c>
      <c r="I114" s="78" t="str">
        <f t="shared" ca="1" si="58"/>
        <v/>
      </c>
      <c r="J114" s="78" t="str">
        <f t="shared" ca="1" si="58"/>
        <v/>
      </c>
      <c r="K114" s="78" t="str">
        <f t="shared" ca="1" si="58"/>
        <v/>
      </c>
      <c r="L114" s="78" t="str">
        <f t="shared" ca="1" si="58"/>
        <v/>
      </c>
    </row>
    <row r="115" spans="1:12" x14ac:dyDescent="0.35">
      <c r="A115" t="str">
        <f>IF(A7="","","    "&amp;A7&amp;" - Release from Mead")</f>
        <v xml:space="preserve">    Lower Basin - Release from Mead</v>
      </c>
      <c r="C115" s="78" t="str">
        <f t="shared" ref="C115:L115" ca="1" si="59">IF(OR(C$26="",$A115=""),"",OFFSET(C$61,8*(ROW(B115)-ROW(B$114)),0))</f>
        <v/>
      </c>
      <c r="D115" s="78" t="str">
        <f t="shared" ca="1" si="59"/>
        <v/>
      </c>
      <c r="E115" s="78" t="str">
        <f t="shared" ca="1" si="59"/>
        <v/>
      </c>
      <c r="F115" s="78" t="str">
        <f t="shared" ca="1" si="59"/>
        <v/>
      </c>
      <c r="G115" s="78" t="str">
        <f t="shared" ca="1" si="59"/>
        <v/>
      </c>
      <c r="H115" s="78" t="str">
        <f t="shared" ca="1" si="59"/>
        <v/>
      </c>
      <c r="I115" s="78" t="str">
        <f t="shared" ca="1" si="59"/>
        <v/>
      </c>
      <c r="J115" s="78" t="str">
        <f t="shared" ca="1" si="59"/>
        <v/>
      </c>
      <c r="K115" s="78" t="str">
        <f t="shared" ca="1" si="59"/>
        <v/>
      </c>
      <c r="L115" s="78" t="str">
        <f t="shared" ca="1" si="59"/>
        <v/>
      </c>
    </row>
    <row r="116" spans="1:12" x14ac:dyDescent="0.35">
      <c r="A116" t="str">
        <f>IF(A8="","","    "&amp;A8&amp;" - Release from Mead")</f>
        <v xml:space="preserve">    Mexico - Release from Mead</v>
      </c>
      <c r="C116" s="78" t="str">
        <f t="shared" ref="C116:L116" ca="1" si="60">IF(OR(C$26="",$A116=""),"",OFFSET(C$61,8*(ROW(B116)-ROW(B$114)),0))</f>
        <v/>
      </c>
      <c r="D116" s="78" t="str">
        <f t="shared" ca="1" si="60"/>
        <v/>
      </c>
      <c r="E116" s="78" t="str">
        <f t="shared" ca="1" si="60"/>
        <v/>
      </c>
      <c r="F116" s="78" t="str">
        <f t="shared" ca="1" si="60"/>
        <v/>
      </c>
      <c r="G116" s="78" t="str">
        <f t="shared" ca="1" si="60"/>
        <v/>
      </c>
      <c r="H116" s="78" t="str">
        <f t="shared" ca="1" si="60"/>
        <v/>
      </c>
      <c r="I116" s="78" t="str">
        <f t="shared" ca="1" si="60"/>
        <v/>
      </c>
      <c r="J116" s="78" t="str">
        <f t="shared" ca="1" si="60"/>
        <v/>
      </c>
      <c r="K116" s="78" t="str">
        <f t="shared" ca="1" si="60"/>
        <v/>
      </c>
      <c r="L116" s="78" t="str">
        <f t="shared" ca="1" si="60"/>
        <v/>
      </c>
    </row>
    <row r="117" spans="1:12" x14ac:dyDescent="0.35">
      <c r="A117" t="str">
        <f>IF(A9="","","    "&amp;A9&amp;" - Release from Mead")</f>
        <v xml:space="preserve">    Shared, Reserve - Release from Mead</v>
      </c>
      <c r="C117" s="78" t="str">
        <f t="shared" ref="C117:L117" ca="1" si="61">IF(OR(C$26="",$A117=""),"",OFFSET(C$61,8*(ROW(B117)-ROW(B$114)),0))</f>
        <v/>
      </c>
      <c r="D117" s="78" t="str">
        <f t="shared" ca="1" si="61"/>
        <v/>
      </c>
      <c r="E117" s="78" t="str">
        <f t="shared" ca="1" si="61"/>
        <v/>
      </c>
      <c r="F117" s="78" t="str">
        <f t="shared" ca="1" si="61"/>
        <v/>
      </c>
      <c r="G117" s="78" t="str">
        <f t="shared" ca="1" si="61"/>
        <v/>
      </c>
      <c r="H117" s="78" t="str">
        <f t="shared" ca="1" si="61"/>
        <v/>
      </c>
      <c r="I117" s="78" t="str">
        <f t="shared" ca="1" si="61"/>
        <v/>
      </c>
      <c r="J117" s="78" t="str">
        <f t="shared" ca="1" si="61"/>
        <v/>
      </c>
      <c r="K117" s="78" t="str">
        <f t="shared" ca="1" si="61"/>
        <v/>
      </c>
      <c r="L117" s="78" t="str">
        <f t="shared" ca="1" si="61"/>
        <v/>
      </c>
    </row>
    <row r="118" spans="1:12" x14ac:dyDescent="0.35">
      <c r="A118" t="str">
        <f>IF(A10="","","    "&amp;A10&amp;" - Release from Mead")</f>
        <v/>
      </c>
      <c r="C118" s="78" t="str">
        <f t="shared" ref="C118:L118" ca="1" si="62">IF(OR(C$26="",$A118=""),"",OFFSET(C$61,8*(ROW(B118)-ROW(B$114)),0))</f>
        <v/>
      </c>
      <c r="D118" s="78" t="str">
        <f t="shared" ca="1" si="62"/>
        <v/>
      </c>
      <c r="E118" s="78" t="str">
        <f t="shared" ca="1" si="62"/>
        <v/>
      </c>
      <c r="F118" s="78" t="str">
        <f t="shared" ca="1" si="62"/>
        <v/>
      </c>
      <c r="G118" s="78" t="str">
        <f t="shared" ca="1" si="62"/>
        <v/>
      </c>
      <c r="H118" s="78" t="str">
        <f t="shared" ca="1" si="62"/>
        <v/>
      </c>
      <c r="I118" s="78" t="str">
        <f t="shared" ca="1" si="62"/>
        <v/>
      </c>
      <c r="J118" s="78" t="str">
        <f t="shared" ca="1" si="62"/>
        <v/>
      </c>
      <c r="K118" s="78" t="str">
        <f t="shared" ca="1" si="62"/>
        <v/>
      </c>
      <c r="L118" s="78" t="str">
        <f t="shared" ca="1" si="62"/>
        <v/>
      </c>
    </row>
    <row r="119" spans="1:12" x14ac:dyDescent="0.35">
      <c r="A119" t="str">
        <f>IF(A11="","","    "&amp;A11&amp;" - Release from Mead")</f>
        <v/>
      </c>
      <c r="C119" s="78" t="str">
        <f t="shared" ref="C119:L119" ca="1" si="63">IF(OR(C$26="",$A119=""),"",OFFSET(C$61,8*(ROW(B119)-ROW(B$114)),0))</f>
        <v/>
      </c>
      <c r="D119" s="78" t="str">
        <f t="shared" ca="1" si="63"/>
        <v/>
      </c>
      <c r="E119" s="78" t="str">
        <f t="shared" ca="1" si="63"/>
        <v/>
      </c>
      <c r="F119" s="78" t="str">
        <f t="shared" ca="1" si="63"/>
        <v/>
      </c>
      <c r="G119" s="78" t="str">
        <f t="shared" ca="1" si="63"/>
        <v/>
      </c>
      <c r="H119" s="78" t="str">
        <f t="shared" ca="1" si="63"/>
        <v/>
      </c>
      <c r="I119" s="78" t="str">
        <f t="shared" ca="1" si="63"/>
        <v/>
      </c>
      <c r="J119" s="78" t="str">
        <f t="shared" ca="1" si="63"/>
        <v/>
      </c>
      <c r="K119" s="78" t="str">
        <f t="shared" ca="1" si="63"/>
        <v/>
      </c>
      <c r="L119" s="78" t="str">
        <f t="shared" ca="1" si="63"/>
        <v/>
      </c>
    </row>
    <row r="120" spans="1:12" x14ac:dyDescent="0.35">
      <c r="A120" s="1" t="s">
        <v>139</v>
      </c>
      <c r="B120" s="1"/>
      <c r="D120" s="2"/>
      <c r="E120" s="2"/>
      <c r="F120" s="2"/>
      <c r="G120" s="2"/>
      <c r="H120" s="2"/>
      <c r="I120" s="2"/>
      <c r="J120" s="2"/>
      <c r="K120" s="2"/>
      <c r="L120" s="2"/>
    </row>
    <row r="121" spans="1:12" x14ac:dyDescent="0.35">
      <c r="A121" t="str">
        <f t="shared" ref="A121:A126" si="64">IF(A6="","","    "&amp;A6)</f>
        <v xml:space="preserve">    Upper Basin</v>
      </c>
      <c r="C121" s="78" t="str">
        <f t="shared" ref="C121:L121" ca="1" si="65">IF(OR(C$26="",$A121=""),"",OFFSET(C$62,8*(ROW(B121)-ROW(B$121)),0))</f>
        <v/>
      </c>
      <c r="D121" s="78" t="str">
        <f t="shared" ca="1" si="65"/>
        <v/>
      </c>
      <c r="E121" s="78" t="str">
        <f t="shared" ca="1" si="65"/>
        <v/>
      </c>
      <c r="F121" s="78" t="str">
        <f t="shared" ca="1" si="65"/>
        <v/>
      </c>
      <c r="G121" s="78" t="str">
        <f t="shared" ca="1" si="65"/>
        <v/>
      </c>
      <c r="H121" s="78" t="str">
        <f t="shared" ca="1" si="65"/>
        <v/>
      </c>
      <c r="I121" s="78" t="str">
        <f t="shared" ca="1" si="65"/>
        <v/>
      </c>
      <c r="J121" s="78" t="str">
        <f t="shared" ca="1" si="65"/>
        <v/>
      </c>
      <c r="K121" s="78" t="str">
        <f t="shared" ca="1" si="65"/>
        <v/>
      </c>
      <c r="L121" s="78" t="str">
        <f t="shared" ca="1" si="65"/>
        <v/>
      </c>
    </row>
    <row r="122" spans="1:12" x14ac:dyDescent="0.35">
      <c r="A122" t="str">
        <f t="shared" si="64"/>
        <v xml:space="preserve">    Lower Basin</v>
      </c>
      <c r="C122" s="78" t="str">
        <f t="shared" ref="C122:L122" ca="1" si="66">IF(OR(C$26="",$A122=""),"",OFFSET(C$62,8*(ROW(B122)-ROW(B$121)),0))</f>
        <v/>
      </c>
      <c r="D122" s="78" t="str">
        <f t="shared" ca="1" si="66"/>
        <v/>
      </c>
      <c r="E122" s="78" t="str">
        <f t="shared" ca="1" si="66"/>
        <v/>
      </c>
      <c r="F122" s="78" t="str">
        <f t="shared" ca="1" si="66"/>
        <v/>
      </c>
      <c r="G122" s="78" t="str">
        <f t="shared" ca="1" si="66"/>
        <v/>
      </c>
      <c r="H122" s="78" t="str">
        <f t="shared" ca="1" si="66"/>
        <v/>
      </c>
      <c r="I122" s="78" t="str">
        <f t="shared" ca="1" si="66"/>
        <v/>
      </c>
      <c r="J122" s="78" t="str">
        <f t="shared" ca="1" si="66"/>
        <v/>
      </c>
      <c r="K122" s="78" t="str">
        <f t="shared" ca="1" si="66"/>
        <v/>
      </c>
      <c r="L122" s="78" t="str">
        <f t="shared" ca="1" si="66"/>
        <v/>
      </c>
    </row>
    <row r="123" spans="1:12" x14ac:dyDescent="0.35">
      <c r="A123" t="str">
        <f t="shared" si="64"/>
        <v xml:space="preserve">    Mexico</v>
      </c>
      <c r="C123" s="78" t="str">
        <f t="shared" ref="C123:L123" ca="1" si="67">IF(OR(C$26="",$A123=""),"",OFFSET(C$62,8*(ROW(B123)-ROW(B$121)),0))</f>
        <v/>
      </c>
      <c r="D123" s="78" t="str">
        <f t="shared" ca="1" si="67"/>
        <v/>
      </c>
      <c r="E123" s="78" t="str">
        <f t="shared" ca="1" si="67"/>
        <v/>
      </c>
      <c r="F123" s="78" t="str">
        <f t="shared" ca="1" si="67"/>
        <v/>
      </c>
      <c r="G123" s="78" t="str">
        <f t="shared" ca="1" si="67"/>
        <v/>
      </c>
      <c r="H123" s="78" t="str">
        <f t="shared" ca="1" si="67"/>
        <v/>
      </c>
      <c r="I123" s="78" t="str">
        <f t="shared" ca="1" si="67"/>
        <v/>
      </c>
      <c r="J123" s="78" t="str">
        <f t="shared" ca="1" si="67"/>
        <v/>
      </c>
      <c r="K123" s="78" t="str">
        <f t="shared" ca="1" si="67"/>
        <v/>
      </c>
      <c r="L123" s="78" t="str">
        <f t="shared" ca="1" si="67"/>
        <v/>
      </c>
    </row>
    <row r="124" spans="1:12" x14ac:dyDescent="0.35">
      <c r="A124" t="str">
        <f t="shared" si="64"/>
        <v xml:space="preserve">    Shared, Reserve</v>
      </c>
      <c r="C124" s="78" t="str">
        <f t="shared" ref="C124:L124" ca="1" si="68">IF(OR(C$26="",$A124=""),"",OFFSET(C$62,8*(ROW(B124)-ROW(B$121)),0))</f>
        <v/>
      </c>
      <c r="D124" s="78" t="str">
        <f t="shared" ca="1" si="68"/>
        <v/>
      </c>
      <c r="E124" s="78" t="str">
        <f t="shared" ca="1" si="68"/>
        <v/>
      </c>
      <c r="F124" s="78" t="str">
        <f t="shared" ca="1" si="68"/>
        <v/>
      </c>
      <c r="G124" s="78" t="str">
        <f t="shared" ca="1" si="68"/>
        <v/>
      </c>
      <c r="H124" s="78" t="str">
        <f t="shared" ca="1" si="68"/>
        <v/>
      </c>
      <c r="I124" s="78" t="str">
        <f t="shared" ca="1" si="68"/>
        <v/>
      </c>
      <c r="J124" s="78" t="str">
        <f t="shared" ca="1" si="68"/>
        <v/>
      </c>
      <c r="K124" s="78" t="str">
        <f t="shared" ca="1" si="68"/>
        <v/>
      </c>
      <c r="L124" s="78" t="str">
        <f t="shared" ca="1" si="68"/>
        <v/>
      </c>
    </row>
    <row r="125" spans="1:12" x14ac:dyDescent="0.35">
      <c r="A125" t="str">
        <f t="shared" si="64"/>
        <v/>
      </c>
      <c r="C125" s="78" t="str">
        <f t="shared" ref="C125:L125" ca="1" si="69">IF(OR(C$26="",$A125=""),"",OFFSET(C$62,8*(ROW(B125)-ROW(B$121)),0))</f>
        <v/>
      </c>
      <c r="D125" s="78" t="str">
        <f t="shared" ca="1" si="69"/>
        <v/>
      </c>
      <c r="E125" s="78" t="str">
        <f t="shared" ca="1" si="69"/>
        <v/>
      </c>
      <c r="F125" s="78" t="str">
        <f t="shared" ca="1" si="69"/>
        <v/>
      </c>
      <c r="G125" s="78" t="str">
        <f t="shared" ca="1" si="69"/>
        <v/>
      </c>
      <c r="H125" s="78" t="str">
        <f t="shared" ca="1" si="69"/>
        <v/>
      </c>
      <c r="I125" s="78" t="str">
        <f t="shared" ca="1" si="69"/>
        <v/>
      </c>
      <c r="J125" s="78" t="str">
        <f t="shared" ca="1" si="69"/>
        <v/>
      </c>
      <c r="K125" s="78" t="str">
        <f t="shared" ca="1" si="69"/>
        <v/>
      </c>
      <c r="L125" s="78" t="str">
        <f t="shared" ca="1" si="69"/>
        <v/>
      </c>
    </row>
    <row r="126" spans="1:12" x14ac:dyDescent="0.35">
      <c r="A126" t="str">
        <f t="shared" si="64"/>
        <v/>
      </c>
      <c r="C126" s="78" t="str">
        <f t="shared" ref="C126:L126" ca="1" si="70">IF(OR(C$26="",$A126=""),"",OFFSET(C$62,8*(ROW(B126)-ROW(B$121)),0))</f>
        <v/>
      </c>
      <c r="D126" s="78" t="str">
        <f t="shared" ca="1" si="70"/>
        <v/>
      </c>
      <c r="E126" s="78" t="str">
        <f t="shared" ca="1" si="70"/>
        <v/>
      </c>
      <c r="F126" s="78" t="str">
        <f t="shared" ca="1" si="70"/>
        <v/>
      </c>
      <c r="G126" s="78" t="str">
        <f t="shared" ca="1" si="70"/>
        <v/>
      </c>
      <c r="H126" s="78" t="str">
        <f t="shared" ca="1" si="70"/>
        <v/>
      </c>
      <c r="I126" s="78" t="str">
        <f t="shared" ca="1" si="70"/>
        <v/>
      </c>
      <c r="J126" s="78" t="str">
        <f t="shared" ca="1" si="70"/>
        <v/>
      </c>
      <c r="K126" s="78" t="str">
        <f t="shared" ca="1" si="70"/>
        <v/>
      </c>
      <c r="L126" s="78" t="str">
        <f t="shared" ca="1" si="70"/>
        <v/>
      </c>
    </row>
    <row r="127" spans="1:12" x14ac:dyDescent="0.35">
      <c r="A127" s="1" t="s">
        <v>123</v>
      </c>
      <c r="B127" s="1"/>
      <c r="C127" s="14" t="str">
        <f>IF(C$26&lt;&gt;"",SUM(C121:C126),"")</f>
        <v/>
      </c>
      <c r="D127" s="14" t="str">
        <f t="shared" ref="D127:L127" si="71">IF(D$26&lt;&gt;"",SUM(D121:D126),"")</f>
        <v/>
      </c>
      <c r="E127" s="14" t="str">
        <f t="shared" si="71"/>
        <v/>
      </c>
      <c r="F127" s="14" t="str">
        <f t="shared" si="71"/>
        <v/>
      </c>
      <c r="G127" s="14" t="str">
        <f t="shared" si="71"/>
        <v/>
      </c>
      <c r="H127" s="14" t="str">
        <f t="shared" si="71"/>
        <v/>
      </c>
      <c r="I127" s="14" t="str">
        <f t="shared" si="71"/>
        <v/>
      </c>
      <c r="J127" s="14" t="str">
        <f t="shared" si="71"/>
        <v/>
      </c>
      <c r="K127" s="14" t="str">
        <f t="shared" si="71"/>
        <v/>
      </c>
      <c r="L127" s="14" t="str">
        <f t="shared" si="71"/>
        <v/>
      </c>
    </row>
    <row r="128" spans="1:12" x14ac:dyDescent="0.35">
      <c r="A128" s="1" t="s">
        <v>206</v>
      </c>
      <c r="B128" s="1"/>
      <c r="C128" s="87"/>
      <c r="D128" s="87"/>
      <c r="E128" s="87"/>
      <c r="F128" s="87"/>
      <c r="G128" s="87"/>
      <c r="H128" s="87"/>
      <c r="I128" s="87"/>
      <c r="J128" s="87"/>
      <c r="K128" s="87"/>
      <c r="L128" s="87"/>
    </row>
    <row r="129" spans="1:14" x14ac:dyDescent="0.35">
      <c r="A129" s="1" t="s">
        <v>202</v>
      </c>
      <c r="B129" s="1"/>
      <c r="C129" s="14" t="str">
        <f>IF(C26="","",C$128*C$127)</f>
        <v/>
      </c>
      <c r="D129" s="14" t="str">
        <f t="shared" ref="D129:L129" si="72">IF(D26="","",D$128*D$127)</f>
        <v/>
      </c>
      <c r="E129" s="14" t="str">
        <f t="shared" si="72"/>
        <v/>
      </c>
      <c r="F129" s="14" t="str">
        <f t="shared" si="72"/>
        <v/>
      </c>
      <c r="G129" s="14" t="str">
        <f t="shared" si="72"/>
        <v/>
      </c>
      <c r="H129" s="14" t="str">
        <f t="shared" si="72"/>
        <v/>
      </c>
      <c r="I129" s="14" t="str">
        <f t="shared" si="72"/>
        <v/>
      </c>
      <c r="J129" s="14" t="str">
        <f t="shared" si="72"/>
        <v/>
      </c>
      <c r="K129" s="14" t="str">
        <f t="shared" si="72"/>
        <v/>
      </c>
      <c r="L129" s="14" t="str">
        <f t="shared" si="72"/>
        <v/>
      </c>
    </row>
    <row r="130" spans="1:14" x14ac:dyDescent="0.35">
      <c r="A130" s="1" t="s">
        <v>203</v>
      </c>
      <c r="B130" s="1"/>
      <c r="C130" s="14" t="str">
        <f>IF(C27="","",(1-C$128)*C$127)</f>
        <v/>
      </c>
      <c r="D130" s="14" t="str">
        <f t="shared" ref="D130:L130" si="73">IF(D27="","",(1-D$128)*D$127)</f>
        <v/>
      </c>
      <c r="E130" s="14" t="str">
        <f t="shared" si="73"/>
        <v/>
      </c>
      <c r="F130" s="14" t="str">
        <f t="shared" si="73"/>
        <v/>
      </c>
      <c r="G130" s="14" t="str">
        <f t="shared" si="73"/>
        <v/>
      </c>
      <c r="H130" s="14" t="str">
        <f t="shared" si="73"/>
        <v/>
      </c>
      <c r="I130" s="14" t="str">
        <f t="shared" si="73"/>
        <v/>
      </c>
      <c r="J130" s="14" t="str">
        <f t="shared" si="73"/>
        <v/>
      </c>
      <c r="K130" s="14" t="str">
        <f t="shared" si="73"/>
        <v/>
      </c>
      <c r="L130" s="14" t="str">
        <f t="shared" si="73"/>
        <v/>
      </c>
    </row>
    <row r="131" spans="1:14" x14ac:dyDescent="0.35">
      <c r="A131" s="32" t="s">
        <v>305</v>
      </c>
      <c r="B131" s="1"/>
      <c r="C131" s="117" t="str">
        <f>IF(C$26&lt;&gt;"",VLOOKUP(C129*1000000,'Powell-Elevation-Area'!$B$5:$H$689,7),"")</f>
        <v/>
      </c>
      <c r="D131" s="117" t="str">
        <f>IF(D$26&lt;&gt;"",VLOOKUP(D129*1000000,'Powell-Elevation-Area'!$B$5:$H$689,7),"")</f>
        <v/>
      </c>
      <c r="E131" s="117" t="str">
        <f>IF(E$26&lt;&gt;"",VLOOKUP(E129*1000000,'Powell-Elevation-Area'!$B$5:$H$689,7),"")</f>
        <v/>
      </c>
      <c r="F131" s="117" t="str">
        <f>IF(F$26&lt;&gt;"",VLOOKUP(F129*1000000,'Powell-Elevation-Area'!$B$5:$H$689,7),"")</f>
        <v/>
      </c>
      <c r="G131" s="117" t="str">
        <f>IF(G$26&lt;&gt;"",VLOOKUP(G129*1000000,'Powell-Elevation-Area'!$B$5:$H$689,7),"")</f>
        <v/>
      </c>
      <c r="H131" s="117" t="str">
        <f>IF(H$26&lt;&gt;"",VLOOKUP(H129*1000000,'Powell-Elevation-Area'!$B$5:$H$689,7),"")</f>
        <v/>
      </c>
      <c r="I131" s="117" t="str">
        <f>IF(I$26&lt;&gt;"",VLOOKUP(I129*1000000,'Powell-Elevation-Area'!$B$5:$H$689,7),"")</f>
        <v/>
      </c>
      <c r="J131" s="117" t="str">
        <f>IF(J$26&lt;&gt;"",VLOOKUP(J129*1000000,'Powell-Elevation-Area'!$B$5:$H$689,7),"")</f>
        <v/>
      </c>
      <c r="K131" s="117" t="str">
        <f>IF(K$26&lt;&gt;"",VLOOKUP(K129*1000000,'Powell-Elevation-Area'!$B$5:$H$689,7),"")</f>
        <v/>
      </c>
      <c r="L131" s="117" t="str">
        <f>IF(L$26&lt;&gt;"",VLOOKUP(L129*1000000,'Powell-Elevation-Area'!$B$5:$H$689,7),"")</f>
        <v/>
      </c>
    </row>
    <row r="132" spans="1:14" x14ac:dyDescent="0.35">
      <c r="A132" s="32" t="s">
        <v>306</v>
      </c>
      <c r="B132" s="1"/>
      <c r="C132" s="117" t="str">
        <f>IF(C$26&lt;&gt;"",VLOOKUP(C130*1000000,'Mead-Elevation-Area'!$B$5:$H$689,7),"")</f>
        <v/>
      </c>
      <c r="D132" s="117" t="str">
        <f>IF(D$26&lt;&gt;"",VLOOKUP(D130*1000000,'Mead-Elevation-Area'!$B$5:$H$689,7),"")</f>
        <v/>
      </c>
      <c r="E132" s="117" t="str">
        <f>IF(E$26&lt;&gt;"",VLOOKUP(E130*1000000,'Mead-Elevation-Area'!$B$5:$H$689,7),"")</f>
        <v/>
      </c>
      <c r="F132" s="117" t="str">
        <f>IF(F$26&lt;&gt;"",VLOOKUP(F130*1000000,'Mead-Elevation-Area'!$B$5:$H$689,7),"")</f>
        <v/>
      </c>
      <c r="G132" s="117" t="str">
        <f>IF(G$26&lt;&gt;"",VLOOKUP(G130*1000000,'Mead-Elevation-Area'!$B$5:$H$689,7),"")</f>
        <v/>
      </c>
      <c r="H132" s="117" t="str">
        <f>IF(H$26&lt;&gt;"",VLOOKUP(H130*1000000,'Mead-Elevation-Area'!$B$5:$H$689,7),"")</f>
        <v/>
      </c>
      <c r="I132" s="117" t="str">
        <f>IF(I$26&lt;&gt;"",VLOOKUP(I130*1000000,'Mead-Elevation-Area'!$B$5:$H$689,7),"")</f>
        <v/>
      </c>
      <c r="J132" s="117" t="str">
        <f>IF(J$26&lt;&gt;"",VLOOKUP(J130*1000000,'Mead-Elevation-Area'!$B$5:$H$689,7),"")</f>
        <v/>
      </c>
      <c r="K132" s="117" t="str">
        <f>IF(K$26&lt;&gt;"",VLOOKUP(K130*1000000,'Mead-Elevation-Area'!$B$5:$H$689,7),"")</f>
        <v/>
      </c>
      <c r="L132" s="117" t="str">
        <f>IF(L$26&lt;&gt;"",VLOOKUP(L130*1000000,'Mead-Elevation-Area'!$B$5:$H$689,7),"")</f>
        <v/>
      </c>
    </row>
    <row r="133" spans="1:14" x14ac:dyDescent="0.35">
      <c r="A133" s="1" t="s">
        <v>319</v>
      </c>
      <c r="B133" s="1"/>
    </row>
    <row r="134" spans="1:14" x14ac:dyDescent="0.35">
      <c r="A134" s="32" t="s">
        <v>320</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204</v>
      </c>
    </row>
    <row r="135" spans="1:14" x14ac:dyDescent="0.35">
      <c r="A135" s="32" t="s">
        <v>327</v>
      </c>
      <c r="B135" s="1"/>
      <c r="C135" s="117" t="str">
        <f>IF(C$26&lt;&gt;"",VLOOKUP(C131,PowellReleaseTemperature!$A$5:$B$11,2),"")</f>
        <v/>
      </c>
      <c r="D135" s="117" t="str">
        <f>IF(D$26&lt;&gt;"",VLOOKUP(D131,PowellReleaseTemperature!$A$5:$B$11,2),"")</f>
        <v/>
      </c>
      <c r="E135" s="117" t="str">
        <f>IF(E$26&lt;&gt;"",VLOOKUP(E131,PowellReleaseTemperature!$A$5:$B$11,2),"")</f>
        <v/>
      </c>
      <c r="F135" s="117" t="str">
        <f>IF(F$26&lt;&gt;"",VLOOKUP(F131,PowellReleaseTemperature!$A$5:$B$11,2),"")</f>
        <v/>
      </c>
      <c r="G135" s="117" t="str">
        <f>IF(G$26&lt;&gt;"",VLOOKUP(G131,PowellReleaseTemperature!$A$5:$B$11,2),"")</f>
        <v/>
      </c>
      <c r="H135" s="117" t="str">
        <f>IF(H$26&lt;&gt;"",VLOOKUP(H131,PowellReleaseTemperature!$A$5:$B$11,2),"")</f>
        <v/>
      </c>
      <c r="I135" s="117" t="str">
        <f>IF(I$26&lt;&gt;"",VLOOKUP(I131,PowellReleaseTemperature!$A$5:$B$11,2),"")</f>
        <v/>
      </c>
      <c r="J135" s="117" t="str">
        <f>IF(J$26&lt;&gt;"",VLOOKUP(J131,PowellReleaseTemperature!$A$5:$B$11,2),"")</f>
        <v/>
      </c>
      <c r="K135" s="117" t="str">
        <f>IF(K$26&lt;&gt;"",VLOOKUP(K131,PowellReleaseTemperature!$A$5:$B$11,2),"")</f>
        <v/>
      </c>
      <c r="L135" s="117" t="str">
        <f>IF(L$26&lt;&gt;"",VLOOKUP(L131,PowellReleaseTemperature!$A$5:$B$11,2),"")</f>
        <v/>
      </c>
      <c r="N135" t="s">
        <v>326</v>
      </c>
    </row>
    <row r="136" spans="1:14" x14ac:dyDescent="0.35">
      <c r="C136" s="29"/>
    </row>
    <row r="137" spans="1:14" x14ac:dyDescent="0.35">
      <c r="A137" s="1" t="s">
        <v>125</v>
      </c>
      <c r="C137" s="12" t="str">
        <f>IF(C$26&lt;&gt;"",0.2,"")</f>
        <v/>
      </c>
      <c r="D137" s="12" t="str">
        <f t="shared" ref="D137:L137" si="74">IF(D$26&lt;&gt;"",0.2,"")</f>
        <v/>
      </c>
      <c r="E137" s="12" t="str">
        <f t="shared" si="74"/>
        <v/>
      </c>
      <c r="F137" s="12" t="str">
        <f t="shared" si="74"/>
        <v/>
      </c>
      <c r="G137" s="12" t="str">
        <f t="shared" si="74"/>
        <v/>
      </c>
      <c r="H137" s="12" t="str">
        <f t="shared" si="74"/>
        <v/>
      </c>
      <c r="I137" s="12" t="str">
        <f t="shared" si="74"/>
        <v/>
      </c>
      <c r="J137" s="12" t="str">
        <f t="shared" si="74"/>
        <v/>
      </c>
      <c r="K137" s="12" t="str">
        <f t="shared" si="74"/>
        <v/>
      </c>
      <c r="L137" s="12" t="str">
        <f t="shared" si="74"/>
        <v/>
      </c>
    </row>
    <row r="138" spans="1:14" x14ac:dyDescent="0.35">
      <c r="A138" t="s">
        <v>126</v>
      </c>
      <c r="C138" s="14" t="str">
        <f t="shared" ref="C138:L138" si="75">IF(C$26&lt;&gt;"",C115+C137,"")</f>
        <v/>
      </c>
      <c r="D138" s="14" t="str">
        <f t="shared" si="75"/>
        <v/>
      </c>
      <c r="E138" s="14" t="str">
        <f t="shared" si="75"/>
        <v/>
      </c>
      <c r="F138" s="14" t="str">
        <f t="shared" si="75"/>
        <v/>
      </c>
      <c r="G138" s="14" t="str">
        <f t="shared" si="75"/>
        <v/>
      </c>
      <c r="H138" s="14" t="str">
        <f t="shared" si="75"/>
        <v/>
      </c>
      <c r="I138" s="14" t="str">
        <f t="shared" si="75"/>
        <v/>
      </c>
      <c r="J138" s="14" t="str">
        <f t="shared" si="75"/>
        <v/>
      </c>
      <c r="K138" s="14" t="str">
        <f t="shared" si="75"/>
        <v/>
      </c>
      <c r="L138" s="14" t="str">
        <f t="shared" si="75"/>
        <v/>
      </c>
    </row>
    <row r="140" spans="1:14" x14ac:dyDescent="0.35">
      <c r="D140" s="18"/>
    </row>
  </sheetData>
  <mergeCells count="12">
    <mergeCell ref="C8:G8"/>
    <mergeCell ref="A3:G3"/>
    <mergeCell ref="C4:G4"/>
    <mergeCell ref="C5:G5"/>
    <mergeCell ref="C6:G6"/>
    <mergeCell ref="C7:G7"/>
    <mergeCell ref="B13:E13"/>
    <mergeCell ref="B14:E14"/>
    <mergeCell ref="B15:E15"/>
    <mergeCell ref="C9:G9"/>
    <mergeCell ref="C10:G10"/>
    <mergeCell ref="C11:G11"/>
  </mergeCells>
  <conditionalFormatting sqref="D61">
    <cfRule type="cellIs" dxfId="352" priority="74" operator="greaterThan">
      <formula>$D$60</formula>
    </cfRule>
  </conditionalFormatting>
  <conditionalFormatting sqref="C61">
    <cfRule type="cellIs" dxfId="351" priority="72" operator="greaterThan">
      <formula>$C$60</formula>
    </cfRule>
  </conditionalFormatting>
  <conditionalFormatting sqref="E61">
    <cfRule type="cellIs" dxfId="350" priority="70" operator="greaterThan">
      <formula>$E$60</formula>
    </cfRule>
  </conditionalFormatting>
  <conditionalFormatting sqref="F61">
    <cfRule type="cellIs" dxfId="349" priority="69" operator="greaterThan">
      <formula>$F$60</formula>
    </cfRule>
  </conditionalFormatting>
  <conditionalFormatting sqref="G61">
    <cfRule type="cellIs" dxfId="348" priority="68" operator="greaterThan">
      <formula>$G$60</formula>
    </cfRule>
  </conditionalFormatting>
  <conditionalFormatting sqref="H61">
    <cfRule type="cellIs" dxfId="347" priority="67" operator="greaterThan">
      <formula>$H$60</formula>
    </cfRule>
  </conditionalFormatting>
  <conditionalFormatting sqref="I61">
    <cfRule type="cellIs" dxfId="346" priority="66" operator="greaterThan">
      <formula>$I$60</formula>
    </cfRule>
  </conditionalFormatting>
  <conditionalFormatting sqref="J61">
    <cfRule type="cellIs" dxfId="345" priority="65" operator="greaterThan">
      <formula>$J$60</formula>
    </cfRule>
  </conditionalFormatting>
  <conditionalFormatting sqref="K61">
    <cfRule type="cellIs" dxfId="344" priority="64" operator="greaterThan">
      <formula>$K$60</formula>
    </cfRule>
  </conditionalFormatting>
  <conditionalFormatting sqref="L61">
    <cfRule type="cellIs" dxfId="343" priority="63" operator="greaterThan">
      <formula>$L$60</formula>
    </cfRule>
  </conditionalFormatting>
  <conditionalFormatting sqref="C69">
    <cfRule type="cellIs" dxfId="342" priority="55" operator="greaterThan">
      <formula>$C$68</formula>
    </cfRule>
  </conditionalFormatting>
  <conditionalFormatting sqref="D69">
    <cfRule type="cellIs" dxfId="341" priority="54" operator="greaterThan">
      <formula>$D$68</formula>
    </cfRule>
  </conditionalFormatting>
  <conditionalFormatting sqref="E69">
    <cfRule type="cellIs" dxfId="340" priority="53" operator="greaterThan">
      <formula>$E$68</formula>
    </cfRule>
  </conditionalFormatting>
  <conditionalFormatting sqref="F69">
    <cfRule type="cellIs" dxfId="339" priority="52" operator="greaterThan">
      <formula>$F$68</formula>
    </cfRule>
  </conditionalFormatting>
  <conditionalFormatting sqref="G69">
    <cfRule type="cellIs" dxfId="338" priority="51" operator="greaterThan">
      <formula>$G$68</formula>
    </cfRule>
  </conditionalFormatting>
  <conditionalFormatting sqref="H69">
    <cfRule type="cellIs" dxfId="337" priority="50" operator="greaterThan">
      <formula>$H$68</formula>
    </cfRule>
  </conditionalFormatting>
  <conditionalFormatting sqref="I69">
    <cfRule type="cellIs" dxfId="336" priority="49" operator="greaterThan">
      <formula>$I$68</formula>
    </cfRule>
  </conditionalFormatting>
  <conditionalFormatting sqref="J69">
    <cfRule type="cellIs" dxfId="335" priority="48" operator="greaterThan">
      <formula>$J$68</formula>
    </cfRule>
  </conditionalFormatting>
  <conditionalFormatting sqref="K69">
    <cfRule type="cellIs" dxfId="334" priority="47" operator="greaterThan">
      <formula>$K$68</formula>
    </cfRule>
  </conditionalFormatting>
  <conditionalFormatting sqref="L69">
    <cfRule type="cellIs" dxfId="333" priority="46" operator="greaterThan">
      <formula>$L$68</formula>
    </cfRule>
  </conditionalFormatting>
  <conditionalFormatting sqref="C77">
    <cfRule type="cellIs" dxfId="332" priority="45" operator="greaterThan">
      <formula>$C$76</formula>
    </cfRule>
  </conditionalFormatting>
  <conditionalFormatting sqref="D77">
    <cfRule type="cellIs" dxfId="331" priority="44" operator="greaterThan">
      <formula>$D$76</formula>
    </cfRule>
  </conditionalFormatting>
  <conditionalFormatting sqref="E77">
    <cfRule type="cellIs" dxfId="330" priority="43" operator="greaterThan">
      <formula>$E$76</formula>
    </cfRule>
  </conditionalFormatting>
  <conditionalFormatting sqref="F77">
    <cfRule type="cellIs" dxfId="329" priority="42" operator="greaterThan">
      <formula>$F$76</formula>
    </cfRule>
  </conditionalFormatting>
  <conditionalFormatting sqref="G77">
    <cfRule type="cellIs" dxfId="328" priority="41" operator="greaterThan">
      <formula>$G$76</formula>
    </cfRule>
  </conditionalFormatting>
  <conditionalFormatting sqref="H77">
    <cfRule type="cellIs" dxfId="327" priority="40" operator="greaterThan">
      <formula>$H$76</formula>
    </cfRule>
  </conditionalFormatting>
  <conditionalFormatting sqref="I77">
    <cfRule type="cellIs" dxfId="326" priority="39" operator="greaterThan">
      <formula>$I$76</formula>
    </cfRule>
  </conditionalFormatting>
  <conditionalFormatting sqref="J77">
    <cfRule type="cellIs" dxfId="325" priority="38" operator="greaterThan">
      <formula>$J$76</formula>
    </cfRule>
  </conditionalFormatting>
  <conditionalFormatting sqref="K77">
    <cfRule type="cellIs" dxfId="324" priority="37" operator="greaterThan">
      <formula>$K$76</formula>
    </cfRule>
  </conditionalFormatting>
  <conditionalFormatting sqref="L77">
    <cfRule type="cellIs" dxfId="323" priority="36" operator="greaterThan">
      <formula>$L$76</formula>
    </cfRule>
  </conditionalFormatting>
  <conditionalFormatting sqref="C85">
    <cfRule type="cellIs" dxfId="322" priority="35" operator="greaterThan">
      <formula>$C$84</formula>
    </cfRule>
  </conditionalFormatting>
  <conditionalFormatting sqref="D85">
    <cfRule type="cellIs" dxfId="321" priority="34" operator="greaterThan">
      <formula>$D$84</formula>
    </cfRule>
  </conditionalFormatting>
  <conditionalFormatting sqref="E85">
    <cfRule type="cellIs" dxfId="320" priority="33" operator="greaterThan">
      <formula>$E$84</formula>
    </cfRule>
  </conditionalFormatting>
  <conditionalFormatting sqref="F85">
    <cfRule type="cellIs" dxfId="319" priority="32" operator="greaterThan">
      <formula>$F$84</formula>
    </cfRule>
  </conditionalFormatting>
  <conditionalFormatting sqref="G85">
    <cfRule type="cellIs" dxfId="318" priority="31" operator="greaterThan">
      <formula>$G$84</formula>
    </cfRule>
  </conditionalFormatting>
  <conditionalFormatting sqref="H85">
    <cfRule type="cellIs" dxfId="317" priority="30" operator="greaterThan">
      <formula>$H$84</formula>
    </cfRule>
  </conditionalFormatting>
  <conditionalFormatting sqref="I85">
    <cfRule type="cellIs" dxfId="316" priority="29" operator="greaterThan">
      <formula>$I$84</formula>
    </cfRule>
  </conditionalFormatting>
  <conditionalFormatting sqref="J85">
    <cfRule type="cellIs" dxfId="315" priority="28" operator="greaterThan">
      <formula>$J$84</formula>
    </cfRule>
  </conditionalFormatting>
  <conditionalFormatting sqref="K85">
    <cfRule type="cellIs" dxfId="314" priority="27" operator="greaterThan">
      <formula>$K$84</formula>
    </cfRule>
  </conditionalFormatting>
  <conditionalFormatting sqref="L85">
    <cfRule type="cellIs" dxfId="313" priority="26" operator="greaterThan">
      <formula>$L$84</formula>
    </cfRule>
  </conditionalFormatting>
  <conditionalFormatting sqref="C93">
    <cfRule type="cellIs" dxfId="312" priority="25" operator="greaterThan">
      <formula>$C$92</formula>
    </cfRule>
  </conditionalFormatting>
  <conditionalFormatting sqref="D93">
    <cfRule type="cellIs" dxfId="311" priority="24" operator="greaterThan">
      <formula>$D$92</formula>
    </cfRule>
  </conditionalFormatting>
  <conditionalFormatting sqref="E93">
    <cfRule type="cellIs" dxfId="310" priority="23" operator="greaterThan">
      <formula>$E$92</formula>
    </cfRule>
  </conditionalFormatting>
  <conditionalFormatting sqref="F93">
    <cfRule type="cellIs" dxfId="309" priority="22" operator="greaterThan">
      <formula>$F$92</formula>
    </cfRule>
  </conditionalFormatting>
  <conditionalFormatting sqref="G93">
    <cfRule type="cellIs" dxfId="308" priority="21" operator="greaterThan">
      <formula>$G$92</formula>
    </cfRule>
  </conditionalFormatting>
  <conditionalFormatting sqref="H93">
    <cfRule type="cellIs" dxfId="307" priority="20" operator="greaterThan">
      <formula>$H$92</formula>
    </cfRule>
  </conditionalFormatting>
  <conditionalFormatting sqref="I93">
    <cfRule type="cellIs" dxfId="306" priority="19" operator="greaterThan">
      <formula>$I$92</formula>
    </cfRule>
  </conditionalFormatting>
  <conditionalFormatting sqref="J93">
    <cfRule type="cellIs" dxfId="305" priority="18" operator="greaterThan">
      <formula>$J$92</formula>
    </cfRule>
  </conditionalFormatting>
  <conditionalFormatting sqref="K93">
    <cfRule type="cellIs" dxfId="304" priority="17" operator="greaterThan">
      <formula>$K$92</formula>
    </cfRule>
  </conditionalFormatting>
  <conditionalFormatting sqref="L93">
    <cfRule type="cellIs" dxfId="303" priority="16" operator="greaterThan">
      <formula>$L$92</formula>
    </cfRule>
  </conditionalFormatting>
  <conditionalFormatting sqref="C101">
    <cfRule type="cellIs" dxfId="302" priority="15" operator="greaterThan">
      <formula>$C$100</formula>
    </cfRule>
  </conditionalFormatting>
  <conditionalFormatting sqref="D101">
    <cfRule type="cellIs" dxfId="301" priority="14" operator="greaterThan">
      <formula>$D$100</formula>
    </cfRule>
  </conditionalFormatting>
  <conditionalFormatting sqref="E101">
    <cfRule type="cellIs" dxfId="300" priority="13" operator="greaterThan">
      <formula>$E$100</formula>
    </cfRule>
  </conditionalFormatting>
  <conditionalFormatting sqref="F101">
    <cfRule type="cellIs" dxfId="299" priority="12" operator="greaterThan">
      <formula>$F$100</formula>
    </cfRule>
  </conditionalFormatting>
  <conditionalFormatting sqref="G101">
    <cfRule type="cellIs" dxfId="298" priority="11" operator="greaterThan">
      <formula>$G$100</formula>
    </cfRule>
  </conditionalFormatting>
  <conditionalFormatting sqref="H101">
    <cfRule type="cellIs" dxfId="297" priority="10" operator="greaterThan">
      <formula>$H$100</formula>
    </cfRule>
  </conditionalFormatting>
  <conditionalFormatting sqref="I101">
    <cfRule type="cellIs" dxfId="296" priority="9" operator="greaterThan">
      <formula>$I$100</formula>
    </cfRule>
  </conditionalFormatting>
  <conditionalFormatting sqref="J101">
    <cfRule type="cellIs" dxfId="295" priority="8" operator="greaterThan">
      <formula>$J$100</formula>
    </cfRule>
  </conditionalFormatting>
  <conditionalFormatting sqref="K101">
    <cfRule type="cellIs" dxfId="294" priority="7" operator="greaterThan">
      <formula>$K$100</formula>
    </cfRule>
  </conditionalFormatting>
  <conditionalFormatting sqref="L101">
    <cfRule type="cellIs" dxfId="293"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3" id="{382CBB0D-E0FB-4AA4-A006-8A41BD957FED}">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71" id="{765F49C1-6519-41E3-8929-C7B929F03859}">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2" id="{EFD0B9D4-C34D-41ED-8AFB-2838D17934B5}">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61" id="{5F25631B-7A1F-4D2B-A564-153EFB4F6FC7}">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60" id="{E010ED52-7F63-43DD-A9F6-25F8F1B2DBA2}">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9" id="{82BCF03D-818D-4B88-B50F-92E0B41B5994}">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CF49D857-0AD6-4F29-BC87-E534CF009C78}">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CBCF46EC-D914-486C-B81C-16BD033BF815}">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F4FEA2E5-1A26-458E-8576-918BF077143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DBD56FBB-D912-49B6-90F4-B8AC47427D2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7C68ABE6-57EC-4F34-A848-C2BAF6C9A340}">
            <xm:f>PowellReleaseTemperature!$B$7</xm:f>
            <x14:dxf>
              <font>
                <color auto="1"/>
              </font>
              <fill>
                <patternFill>
                  <bgColor rgb="FFFF0000"/>
                </patternFill>
              </fill>
            </x14:dxf>
          </x14:cfRule>
          <x14:cfRule type="cellIs" priority="2" operator="equal" id="{735AFB7E-852F-4F1C-9961-75F7A6EE7895}">
            <xm:f>PowellReleaseTemperature!$B$8</xm:f>
            <x14:dxf>
              <font>
                <color rgb="FF9C0006"/>
              </font>
              <fill>
                <patternFill>
                  <bgColor rgb="FFFFC7CE"/>
                </patternFill>
              </fill>
            </x14:dxf>
          </x14:cfRule>
          <x14:cfRule type="cellIs" priority="3" operator="equal" id="{63E9D535-53BF-47F5-8AF6-148C66C7E57F}">
            <xm:f>PowellReleaseTemperature!$B$9</xm:f>
            <x14:dxf>
              <font>
                <color auto="1"/>
              </font>
              <fill>
                <patternFill>
                  <bgColor theme="4" tint="0.39994506668294322"/>
                </patternFill>
              </fill>
            </x14:dxf>
          </x14:cfRule>
          <x14:cfRule type="cellIs" priority="4" operator="equal" id="{6B3EC5A2-BCFF-47C8-8D70-E131A829A956}">
            <xm:f>PowellReleaseTemperature!$B$10</xm:f>
            <x14:dxf>
              <font>
                <color auto="1"/>
              </font>
              <fill>
                <patternFill>
                  <bgColor theme="8" tint="-0.499984740745262"/>
                </patternFill>
              </fill>
            </x14:dxf>
          </x14:cfRule>
          <xm:sqref>C135:L135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4251-7BC7-4C37-A538-CEEEDA6A4268}">
  <dimension ref="A1:N140"/>
  <sheetViews>
    <sheetView topLeftCell="A15" zoomScale="150" zoomScaleNormal="150" workbookViewId="0">
      <selection activeCell="B18" sqref="B17:B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65" t="s">
        <v>152</v>
      </c>
      <c r="B3" s="165"/>
      <c r="C3" s="165"/>
      <c r="D3" s="165"/>
      <c r="E3" s="165"/>
      <c r="F3" s="165"/>
      <c r="G3" s="165"/>
      <c r="H3" s="103"/>
      <c r="I3" s="103"/>
      <c r="J3" s="103"/>
      <c r="K3" s="103"/>
    </row>
    <row r="4" spans="1:11" x14ac:dyDescent="0.35">
      <c r="A4" s="59" t="s">
        <v>38</v>
      </c>
      <c r="B4" s="59" t="s">
        <v>42</v>
      </c>
      <c r="C4" s="166" t="s">
        <v>43</v>
      </c>
      <c r="D4" s="167"/>
      <c r="E4" s="167"/>
      <c r="F4" s="167"/>
      <c r="G4" s="168"/>
    </row>
    <row r="5" spans="1:11" x14ac:dyDescent="0.35">
      <c r="A5" s="104" t="s">
        <v>51</v>
      </c>
      <c r="B5" s="104"/>
      <c r="C5" s="169"/>
      <c r="D5" s="169"/>
      <c r="E5" s="169"/>
      <c r="F5" s="169"/>
      <c r="G5" s="169"/>
    </row>
    <row r="6" spans="1:11" x14ac:dyDescent="0.35">
      <c r="A6" s="102" t="s">
        <v>39</v>
      </c>
      <c r="B6" s="102"/>
      <c r="C6" s="170"/>
      <c r="D6" s="170"/>
      <c r="E6" s="170"/>
      <c r="F6" s="170"/>
      <c r="G6" s="170"/>
    </row>
    <row r="7" spans="1:11" x14ac:dyDescent="0.35">
      <c r="A7" s="102" t="s">
        <v>40</v>
      </c>
      <c r="B7" s="102"/>
      <c r="C7" s="170"/>
      <c r="D7" s="170"/>
      <c r="E7" s="170"/>
      <c r="F7" s="170"/>
      <c r="G7" s="170"/>
    </row>
    <row r="8" spans="1:11" x14ac:dyDescent="0.35">
      <c r="A8" s="102" t="s">
        <v>41</v>
      </c>
      <c r="B8" s="102"/>
      <c r="C8" s="170"/>
      <c r="D8" s="170"/>
      <c r="E8" s="170"/>
      <c r="F8" s="170"/>
      <c r="G8" s="170"/>
    </row>
    <row r="9" spans="1:11" x14ac:dyDescent="0.35">
      <c r="A9" s="102" t="s">
        <v>148</v>
      </c>
      <c r="B9" s="102"/>
      <c r="C9" s="170"/>
      <c r="D9" s="170"/>
      <c r="E9" s="170"/>
      <c r="F9" s="170"/>
      <c r="G9" s="170"/>
    </row>
    <row r="10" spans="1:11" x14ac:dyDescent="0.35">
      <c r="A10" s="102" t="s">
        <v>160</v>
      </c>
      <c r="B10" s="102"/>
      <c r="C10" s="164"/>
      <c r="D10" s="164"/>
      <c r="E10" s="164"/>
      <c r="F10" s="164"/>
      <c r="G10" s="164"/>
    </row>
    <row r="11" spans="1:11" x14ac:dyDescent="0.35">
      <c r="A11" s="102"/>
      <c r="B11" s="102"/>
      <c r="C11" s="164"/>
      <c r="D11" s="164"/>
      <c r="E11" s="164"/>
      <c r="F11" s="164"/>
      <c r="G11" s="164"/>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t="str">
        <f>IF(C$27&lt;&gt;"",B22,"")</f>
        <v/>
      </c>
      <c r="D37" s="14" t="str">
        <f>IF(D$27&lt;&gt;"",C129,"")</f>
        <v/>
      </c>
      <c r="E37" s="14" t="str">
        <f t="shared" ref="E37:L38" si="6">IF(E$27&lt;&gt;"",D129,"")</f>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t="s">
        <v>114</v>
      </c>
      <c r="C38" s="14" t="str">
        <f>IF(C$27&lt;&gt;"",C22,"")</f>
        <v/>
      </c>
      <c r="D38" s="14" t="str">
        <f>IF(D$27&lt;&gt;"",C130,"")</f>
        <v/>
      </c>
      <c r="E38" s="14" t="str">
        <f t="shared" si="6"/>
        <v/>
      </c>
      <c r="F38" s="14" t="str">
        <f t="shared" si="6"/>
        <v/>
      </c>
      <c r="G38" s="14" t="str">
        <f t="shared" si="6"/>
        <v/>
      </c>
      <c r="H38" s="14" t="str">
        <f t="shared" si="6"/>
        <v/>
      </c>
      <c r="I38" s="14" t="str">
        <f t="shared" si="6"/>
        <v/>
      </c>
      <c r="J38" s="14" t="str">
        <f t="shared" si="6"/>
        <v/>
      </c>
      <c r="K38" s="14" t="str">
        <f t="shared" si="6"/>
        <v/>
      </c>
      <c r="L38" s="14" t="str">
        <f t="shared" si="6"/>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7">IF(A6="","","    "&amp;A6&amp;" Share")</f>
        <v xml:space="preserve">    Upper Basin Share</v>
      </c>
      <c r="B40" s="1"/>
      <c r="C40" s="14" t="str">
        <f>IF(OR(C$27="",$A40=""),"",C$39*C30/C$29)</f>
        <v/>
      </c>
      <c r="D40" s="14" t="str">
        <f t="shared" ref="D40:L40" si="8">IF(OR(D$27="",$A40=""),"",D$39*D30/D$29)</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t="str">
        <f t="shared" si="7"/>
        <v xml:space="preserve">    Lower Basin Share</v>
      </c>
      <c r="B41" s="1"/>
      <c r="C41" s="14" t="str">
        <f t="shared" ref="C41:L45" si="9">IF(OR(C$27="",$A41=""),"",C$39*C31/C$29)</f>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7"/>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7"/>
        <v xml:space="preserve">    Mohave &amp; Havasu Evap &amp; ET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7"/>
        <v xml:space="preserve">    Shared, Reserve Share</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7"/>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272</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t="str">
        <f>IF(C27="","",SUM(C27:C28))</f>
        <v/>
      </c>
      <c r="D47" s="52" t="str">
        <f t="shared" ref="D47:L47" si="10">IF(D27="","",SUM(D27:D28))</f>
        <v/>
      </c>
      <c r="E47" s="52" t="str">
        <f t="shared" si="10"/>
        <v/>
      </c>
      <c r="F47" s="52" t="str">
        <f t="shared" si="10"/>
        <v/>
      </c>
      <c r="G47" s="52" t="str">
        <f t="shared" si="10"/>
        <v/>
      </c>
      <c r="H47" s="52" t="str">
        <f t="shared" si="10"/>
        <v/>
      </c>
      <c r="I47" s="52" t="str">
        <f t="shared" si="10"/>
        <v/>
      </c>
      <c r="J47" s="52" t="str">
        <f t="shared" si="10"/>
        <v/>
      </c>
      <c r="K47" s="52" t="str">
        <f t="shared" si="10"/>
        <v/>
      </c>
      <c r="L47" s="52" t="str">
        <f t="shared" si="10"/>
        <v/>
      </c>
      <c r="M47" s="46"/>
      <c r="N47" s="46"/>
    </row>
    <row r="48" spans="1:14" x14ac:dyDescent="0.35">
      <c r="A48" t="str">
        <f>IF(A6="","","    To "&amp;A6)</f>
        <v xml:space="preserve">    To Upper Basin</v>
      </c>
      <c r="B48" s="24" t="s">
        <v>147</v>
      </c>
      <c r="C48" s="14" t="str">
        <f>IF(OR(C$27="",$A48=""),"",IF(C$47&gt;SUM(C49:C53),C$47-SUM(C49:C53),0))</f>
        <v/>
      </c>
      <c r="D48" s="14" t="str">
        <f t="shared" ref="D48:L48" si="11">IF(OR(D$27="",$A48=""),"",IF(D$47&gt;SUM(D49:D53),D$47-SUM(D49:D53),0))</f>
        <v/>
      </c>
      <c r="E48" s="14" t="str">
        <f t="shared" si="11"/>
        <v/>
      </c>
      <c r="F48" s="14" t="str">
        <f t="shared" si="11"/>
        <v/>
      </c>
      <c r="G48" s="14" t="str">
        <f t="shared" si="11"/>
        <v/>
      </c>
      <c r="H48" s="14" t="str">
        <f t="shared" si="11"/>
        <v/>
      </c>
      <c r="I48" s="14" t="str">
        <f t="shared" si="11"/>
        <v/>
      </c>
      <c r="J48" s="14" t="str">
        <f t="shared" si="11"/>
        <v/>
      </c>
      <c r="K48" s="14" t="str">
        <f t="shared" si="11"/>
        <v/>
      </c>
      <c r="L48" s="14" t="str">
        <f t="shared" si="11"/>
        <v/>
      </c>
      <c r="M48" s="29"/>
      <c r="N48" s="29"/>
    </row>
    <row r="49" spans="1:14" x14ac:dyDescent="0.35">
      <c r="A49" t="str">
        <f t="shared" ref="A49:A53" si="12">IF(A7="","","    To "&amp;A7)</f>
        <v xml:space="preserve">    To Lower Basin</v>
      </c>
      <c r="B49" s="44">
        <f>7.5</f>
        <v>7.5</v>
      </c>
      <c r="C49" s="14" t="str">
        <f>IF(OR(C$27="",$A49=""),"",C28-C52/2-C51-C50/2+MIN($B49,C27-C50/2-C52/2))</f>
        <v/>
      </c>
      <c r="D49" s="14" t="str">
        <f t="shared" ref="D49:G49" si="13">IF(OR(D$27="",$A49=""),"",D28-D52/2-D51-D50/2+MIN($B49,D27-D50/2-D52/2))</f>
        <v/>
      </c>
      <c r="E49" s="14" t="str">
        <f t="shared" si="13"/>
        <v/>
      </c>
      <c r="F49" s="14" t="str">
        <f t="shared" si="13"/>
        <v/>
      </c>
      <c r="G49" s="14" t="str">
        <f t="shared" si="13"/>
        <v/>
      </c>
      <c r="H49" s="14" t="str">
        <f>IF(OR(H$27="",$A49=""),"",H28-H52/2-H51-H50/2+MIN($B49,H27-H50/2-H52/2))</f>
        <v/>
      </c>
      <c r="I49" s="14" t="str">
        <f t="shared" ref="I49:L49" si="14">IF(OR(I$27="",$A49=""),"",I28-I52/2-I51-I50/2+MIN($B49,I27-I50/2-I52/2))</f>
        <v/>
      </c>
      <c r="J49" s="14" t="str">
        <f t="shared" si="14"/>
        <v/>
      </c>
      <c r="K49" s="14" t="str">
        <f t="shared" si="14"/>
        <v/>
      </c>
      <c r="L49" s="14" t="str">
        <f t="shared" si="14"/>
        <v/>
      </c>
      <c r="M49" s="29"/>
      <c r="N49" s="29"/>
    </row>
    <row r="50" spans="1:14" x14ac:dyDescent="0.35">
      <c r="A50" t="str">
        <f t="shared" si="12"/>
        <v xml:space="preserve">    To Mexico</v>
      </c>
      <c r="B50" s="44" t="s">
        <v>191</v>
      </c>
      <c r="C50" s="14" t="str">
        <f>IF(OR(C$27="",$A50=""),"",IF(C$47&gt;SUM(C51:C52,C46),C46,C$47-SUM(C51:C52)))</f>
        <v/>
      </c>
      <c r="D50" s="14" t="str">
        <f t="shared" ref="D50:L50" si="15">IF(OR(D$27="",$A50=""),"",IF(D$47&gt;SUM(D51:D52,D46),D46,D$47-SUM(D51:D52)))</f>
        <v/>
      </c>
      <c r="E50" s="14" t="str">
        <f t="shared" si="15"/>
        <v/>
      </c>
      <c r="F50" s="14" t="str">
        <f t="shared" si="15"/>
        <v/>
      </c>
      <c r="G50" s="14" t="str">
        <f t="shared" si="15"/>
        <v/>
      </c>
      <c r="H50" s="14" t="str">
        <f t="shared" si="15"/>
        <v/>
      </c>
      <c r="I50" s="14" t="str">
        <f t="shared" si="15"/>
        <v/>
      </c>
      <c r="J50" s="14" t="str">
        <f t="shared" si="15"/>
        <v/>
      </c>
      <c r="K50" s="14" t="str">
        <f t="shared" si="15"/>
        <v/>
      </c>
      <c r="L50" s="14" t="str">
        <f t="shared" si="15"/>
        <v/>
      </c>
      <c r="M50" s="29"/>
      <c r="N50" s="29"/>
    </row>
    <row r="51" spans="1:14" x14ac:dyDescent="0.35">
      <c r="A51" t="str">
        <f t="shared" si="12"/>
        <v xml:space="preserve">    To Mohave &amp; Havasu Evap &amp; ET</v>
      </c>
      <c r="B51" s="44">
        <v>0.6</v>
      </c>
      <c r="C51" s="14" t="str">
        <f>IF(OR(C$27="",$A51=""),"",IF(C$47&gt;C52+$B$51,$B51,C$47-C52))</f>
        <v/>
      </c>
      <c r="D51" s="14" t="str">
        <f t="shared" ref="D51:L51" si="16">IF(OR(D$27="",$A51=""),"",IF(D$47&gt;D52+$B$51,$B51,D$47-D52))</f>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c r="M51" s="29"/>
      <c r="N51" s="29"/>
    </row>
    <row r="52" spans="1:14" x14ac:dyDescent="0.35">
      <c r="A52" t="str">
        <f t="shared" si="12"/>
        <v xml:space="preserve">    To Shared, Reserve</v>
      </c>
      <c r="B52" s="44" t="s">
        <v>190</v>
      </c>
      <c r="C52" s="14" t="str">
        <f>IF(OR(C$27="",$A52=""),"",IF(C$47&gt;C44,C44,C$47))</f>
        <v/>
      </c>
      <c r="D52" s="14" t="str">
        <f t="shared" ref="D52:L52" si="17">IF(OR(D$27="",$A52=""),"",IF(D$47&gt;D44,D44,D$47))</f>
        <v/>
      </c>
      <c r="E52" s="14" t="str">
        <f t="shared" si="17"/>
        <v/>
      </c>
      <c r="F52" s="14" t="str">
        <f t="shared" si="17"/>
        <v/>
      </c>
      <c r="G52" s="14" t="str">
        <f t="shared" si="17"/>
        <v/>
      </c>
      <c r="H52" s="14" t="str">
        <f t="shared" si="17"/>
        <v/>
      </c>
      <c r="I52" s="14" t="str">
        <f t="shared" si="17"/>
        <v/>
      </c>
      <c r="J52" s="14" t="str">
        <f t="shared" si="17"/>
        <v/>
      </c>
      <c r="K52" s="14" t="str">
        <f t="shared" si="17"/>
        <v/>
      </c>
      <c r="L52" s="14" t="str">
        <f t="shared" si="17"/>
        <v/>
      </c>
      <c r="M52" s="29"/>
      <c r="N52" s="29"/>
    </row>
    <row r="53" spans="1:14" x14ac:dyDescent="0.35">
      <c r="A53" t="str">
        <f t="shared" si="12"/>
        <v/>
      </c>
      <c r="B53" s="44"/>
      <c r="C53" s="57" t="str">
        <f t="shared" ref="C53:L53" si="18">IF(OR(C$27="",$A53=""),"",IF(C$27&gt;$B53,$B53,C$27))</f>
        <v/>
      </c>
      <c r="D53" s="57" t="str">
        <f t="shared" si="18"/>
        <v/>
      </c>
      <c r="E53" s="57" t="str">
        <f t="shared" si="18"/>
        <v/>
      </c>
      <c r="F53" s="57" t="str">
        <f t="shared" si="18"/>
        <v/>
      </c>
      <c r="G53" s="57" t="str">
        <f t="shared" si="18"/>
        <v/>
      </c>
      <c r="H53" s="57" t="str">
        <f t="shared" si="18"/>
        <v/>
      </c>
      <c r="I53" s="57" t="str">
        <f t="shared" si="18"/>
        <v/>
      </c>
      <c r="J53" s="57" t="str">
        <f t="shared" si="18"/>
        <v/>
      </c>
      <c r="K53" s="57" t="str">
        <f t="shared" si="18"/>
        <v/>
      </c>
      <c r="L53" s="57" t="str">
        <f t="shared" si="18"/>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19">IF(OR(C$27="",$A59=""),"",C$112)</f>
        <v/>
      </c>
      <c r="D59" s="78" t="str">
        <f t="shared" si="19"/>
        <v/>
      </c>
      <c r="E59" s="78" t="str">
        <f t="shared" si="19"/>
        <v/>
      </c>
      <c r="F59" s="78" t="str">
        <f t="shared" si="19"/>
        <v/>
      </c>
      <c r="G59" s="78" t="str">
        <f t="shared" si="19"/>
        <v/>
      </c>
      <c r="H59" s="78" t="str">
        <f t="shared" si="19"/>
        <v/>
      </c>
      <c r="I59" s="78" t="str">
        <f t="shared" si="19"/>
        <v/>
      </c>
      <c r="J59" s="78" t="str">
        <f t="shared" si="19"/>
        <v/>
      </c>
      <c r="K59" s="78" t="str">
        <f t="shared" si="19"/>
        <v/>
      </c>
      <c r="L59" s="78" t="str">
        <f t="shared" si="19"/>
        <v/>
      </c>
      <c r="M59" t="str">
        <f t="shared" si="19"/>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0">IF(OR(D$27="",$A60=""),"",D30+D48-D40-D57)</f>
        <v/>
      </c>
      <c r="E60" s="14" t="str">
        <f t="shared" si="20"/>
        <v/>
      </c>
      <c r="F60" s="14" t="str">
        <f t="shared" si="20"/>
        <v/>
      </c>
      <c r="G60" s="14" t="str">
        <f t="shared" si="20"/>
        <v/>
      </c>
      <c r="H60" s="14" t="str">
        <f t="shared" si="20"/>
        <v/>
      </c>
      <c r="I60" s="14" t="str">
        <f t="shared" si="20"/>
        <v/>
      </c>
      <c r="J60" s="14" t="str">
        <f t="shared" si="20"/>
        <v/>
      </c>
      <c r="K60" s="14" t="str">
        <f t="shared" si="20"/>
        <v/>
      </c>
      <c r="L60" s="14" t="str">
        <f t="shared" si="20"/>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1">IF(OR(D$27="",$A62=""),"",D60-D61)</f>
        <v/>
      </c>
      <c r="E62" s="77" t="str">
        <f t="shared" si="21"/>
        <v/>
      </c>
      <c r="F62" s="77" t="str">
        <f t="shared" si="21"/>
        <v/>
      </c>
      <c r="G62" s="77" t="str">
        <f t="shared" si="21"/>
        <v/>
      </c>
      <c r="H62" s="77" t="str">
        <f t="shared" si="21"/>
        <v/>
      </c>
      <c r="I62" s="77" t="str">
        <f t="shared" si="21"/>
        <v/>
      </c>
      <c r="J62" s="77" t="str">
        <f t="shared" si="21"/>
        <v/>
      </c>
      <c r="K62" s="77" t="str">
        <f t="shared" si="21"/>
        <v/>
      </c>
      <c r="L62" s="77" t="str">
        <f t="shared" si="21"/>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2">IF(A66="","",N58)</f>
        <v>Add if multiple transactions, e.g.: $350*0.5 + $450*0.25</v>
      </c>
    </row>
    <row r="67" spans="1:14" x14ac:dyDescent="0.35">
      <c r="A67" s="32" t="str">
        <f>IF(A66="","","   Volume all players (should be zero)")</f>
        <v xml:space="preserve">   Volume all players (should be zero)</v>
      </c>
      <c r="C67" s="78" t="str">
        <f t="shared" ref="C67:M67" si="23">IF(OR(C$27="",$A67=""),"",C$112)</f>
        <v/>
      </c>
      <c r="D67" s="78" t="str">
        <f t="shared" si="23"/>
        <v/>
      </c>
      <c r="E67" s="78" t="str">
        <f t="shared" si="23"/>
        <v/>
      </c>
      <c r="F67" s="78" t="str">
        <f t="shared" si="23"/>
        <v/>
      </c>
      <c r="G67" s="78" t="str">
        <f t="shared" si="23"/>
        <v/>
      </c>
      <c r="H67" s="78" t="str">
        <f t="shared" si="23"/>
        <v/>
      </c>
      <c r="I67" s="78" t="str">
        <f t="shared" si="23"/>
        <v/>
      </c>
      <c r="J67" s="78" t="str">
        <f t="shared" si="23"/>
        <v/>
      </c>
      <c r="K67" s="78" t="str">
        <f t="shared" si="23"/>
        <v/>
      </c>
      <c r="L67" s="78" t="str">
        <f t="shared" si="23"/>
        <v/>
      </c>
      <c r="M67" t="str">
        <f t="shared" si="23"/>
        <v/>
      </c>
      <c r="N67" t="str">
        <f t="shared" si="22"/>
        <v>If non-zero, players need to change amount(s)</v>
      </c>
    </row>
    <row r="68" spans="1:14" x14ac:dyDescent="0.35">
      <c r="A68" s="1" t="str">
        <f>IF(A66="","","   Available Water [maf]")</f>
        <v xml:space="preserve">   Available Water [maf]</v>
      </c>
      <c r="C68" s="14" t="str">
        <f t="shared" ref="C68:L68" si="24">IF(OR(C$27="",$A68=""),"",C31+C49-C41-C65)</f>
        <v/>
      </c>
      <c r="D68" s="14" t="str">
        <f t="shared" si="24"/>
        <v/>
      </c>
      <c r="E68" s="14" t="str">
        <f t="shared" si="24"/>
        <v/>
      </c>
      <c r="F68" s="14" t="str">
        <f t="shared" si="24"/>
        <v/>
      </c>
      <c r="G68" s="14" t="str">
        <f t="shared" si="24"/>
        <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2"/>
        <v>Must be less than Available water</v>
      </c>
    </row>
    <row r="70" spans="1:14" x14ac:dyDescent="0.35">
      <c r="A70" s="32" t="str">
        <f>IF(A69="","","   End of Year Balance [maf]")</f>
        <v xml:space="preserve">   End of Year Balance [maf]</v>
      </c>
      <c r="C70" s="77" t="str">
        <f>IF(OR(C$27="",$A70=""),"",C68-C69)</f>
        <v/>
      </c>
      <c r="D70" s="77" t="str">
        <f t="shared" ref="D70:L70" si="25">IF(OR(D$27="",$A70=""),"",D68-D69)</f>
        <v/>
      </c>
      <c r="E70" s="77" t="str">
        <f t="shared" si="25"/>
        <v/>
      </c>
      <c r="F70" s="77" t="str">
        <f t="shared" si="25"/>
        <v/>
      </c>
      <c r="G70" s="77" t="str">
        <f t="shared" si="25"/>
        <v/>
      </c>
      <c r="H70" s="77" t="str">
        <f t="shared" si="25"/>
        <v/>
      </c>
      <c r="I70" s="77" t="str">
        <f t="shared" si="25"/>
        <v/>
      </c>
      <c r="J70" s="77" t="str">
        <f t="shared" si="25"/>
        <v/>
      </c>
      <c r="K70" s="77" t="str">
        <f t="shared" si="25"/>
        <v/>
      </c>
      <c r="L70" s="77" t="str">
        <f t="shared" si="25"/>
        <v/>
      </c>
      <c r="N70" t="str">
        <f t="shared" si="22"/>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6">IF(A74="","",N66)</f>
        <v>Add if multiple transactions, e.g.: $350*0.5 + $450*0.25</v>
      </c>
    </row>
    <row r="75" spans="1:14" x14ac:dyDescent="0.35">
      <c r="A75" s="32" t="str">
        <f>IF(A74="","","   Volume all players (should be zero)")</f>
        <v xml:space="preserve">   Volume all players (should be zero)</v>
      </c>
      <c r="C75" s="78" t="str">
        <f t="shared" ref="C75:M75" si="27">IF(OR(C$27="",$A75=""),"",C$112)</f>
        <v/>
      </c>
      <c r="D75" s="78" t="str">
        <f t="shared" si="27"/>
        <v/>
      </c>
      <c r="E75" s="78" t="str">
        <f t="shared" si="27"/>
        <v/>
      </c>
      <c r="F75" s="78" t="str">
        <f t="shared" si="27"/>
        <v/>
      </c>
      <c r="G75" s="78" t="str">
        <f t="shared" si="27"/>
        <v/>
      </c>
      <c r="H75" s="78" t="str">
        <f t="shared" si="27"/>
        <v/>
      </c>
      <c r="I75" s="78" t="str">
        <f t="shared" si="27"/>
        <v/>
      </c>
      <c r="J75" s="78" t="str">
        <f t="shared" si="27"/>
        <v/>
      </c>
      <c r="K75" s="78" t="str">
        <f t="shared" si="27"/>
        <v/>
      </c>
      <c r="L75" s="78" t="str">
        <f t="shared" si="27"/>
        <v/>
      </c>
      <c r="M75" t="str">
        <f t="shared" si="27"/>
        <v/>
      </c>
      <c r="N75" t="str">
        <f t="shared" si="26"/>
        <v>If non-zero, players need to change amount(s)</v>
      </c>
    </row>
    <row r="76" spans="1:14" x14ac:dyDescent="0.35">
      <c r="A76" s="1" t="str">
        <f>IF(A74="","","   Available Water [maf]")</f>
        <v xml:space="preserve">   Available Water [maf]</v>
      </c>
      <c r="C76" s="14" t="str">
        <f t="shared" ref="C76:L76" si="28">IF(OR(C$27="",$A76=""),"",C32+C50-C42-C73)</f>
        <v/>
      </c>
      <c r="D76" s="14" t="str">
        <f t="shared" si="28"/>
        <v/>
      </c>
      <c r="E76" s="14" t="str">
        <f t="shared" si="28"/>
        <v/>
      </c>
      <c r="F76" s="14" t="str">
        <f>IF(OR(F$27="",$A76=""),"",F32+F50-F42-F73)</f>
        <v/>
      </c>
      <c r="G76" s="14" t="str">
        <f t="shared" si="28"/>
        <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6"/>
        <v>Must be less than Available water</v>
      </c>
    </row>
    <row r="78" spans="1:14" x14ac:dyDescent="0.35">
      <c r="A78" s="32" t="str">
        <f>IF(A77="","","   End of Year Balance [maf]")</f>
        <v xml:space="preserve">   End of Year Balance [maf]</v>
      </c>
      <c r="C78" s="77" t="str">
        <f>IF(OR(C$27="",$A78=""),"",C76-C77)</f>
        <v/>
      </c>
      <c r="D78" s="77" t="str">
        <f t="shared" ref="D78:L78" si="29">IF(OR(D$27="",$A78=""),"",D76-D77)</f>
        <v/>
      </c>
      <c r="E78" s="77" t="str">
        <f t="shared" si="29"/>
        <v/>
      </c>
      <c r="F78" s="77" t="str">
        <f t="shared" si="29"/>
        <v/>
      </c>
      <c r="G78" s="77" t="str">
        <f t="shared" si="29"/>
        <v/>
      </c>
      <c r="H78" s="77" t="str">
        <f t="shared" si="29"/>
        <v/>
      </c>
      <c r="I78" s="77" t="str">
        <f t="shared" si="29"/>
        <v/>
      </c>
      <c r="J78" s="77" t="str">
        <f t="shared" si="29"/>
        <v/>
      </c>
      <c r="K78" s="77" t="str">
        <f t="shared" si="29"/>
        <v/>
      </c>
      <c r="L78" s="77" t="str">
        <f t="shared" si="29"/>
        <v/>
      </c>
      <c r="N78" t="str">
        <f t="shared" si="26"/>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0">IF(A82="","",N74)</f>
        <v>Add if multiple transactions, e.g.: $350*0.5 + $450*0.25</v>
      </c>
    </row>
    <row r="83" spans="1:14" x14ac:dyDescent="0.35">
      <c r="A83" s="32" t="str">
        <f>IF(A82="","","   Volume all players (should be zero)")</f>
        <v xml:space="preserve">   Volume all players (should be zero)</v>
      </c>
      <c r="C83" s="78" t="str">
        <f t="shared" ref="C83:M83" si="31">IF(OR(C$27="",$A83=""),"",C$112)</f>
        <v/>
      </c>
      <c r="D83" s="78" t="str">
        <f t="shared" si="31"/>
        <v/>
      </c>
      <c r="E83" s="78" t="str">
        <f t="shared" si="31"/>
        <v/>
      </c>
      <c r="F83" s="78" t="str">
        <f t="shared" si="31"/>
        <v/>
      </c>
      <c r="G83" s="78" t="str">
        <f t="shared" si="31"/>
        <v/>
      </c>
      <c r="H83" s="78" t="str">
        <f t="shared" si="31"/>
        <v/>
      </c>
      <c r="I83" s="78" t="str">
        <f t="shared" si="31"/>
        <v/>
      </c>
      <c r="J83" s="78" t="str">
        <f t="shared" si="31"/>
        <v/>
      </c>
      <c r="K83" s="78" t="str">
        <f t="shared" si="31"/>
        <v/>
      </c>
      <c r="L83" s="78" t="str">
        <f t="shared" si="31"/>
        <v/>
      </c>
      <c r="M83" t="str">
        <f t="shared" si="31"/>
        <v/>
      </c>
      <c r="N83" t="str">
        <f t="shared" si="30"/>
        <v>If non-zero, players need to change amount(s)</v>
      </c>
    </row>
    <row r="84" spans="1:14" x14ac:dyDescent="0.35">
      <c r="A84" s="1" t="str">
        <f>IF(A82="","","   Available Water [maf]")</f>
        <v xml:space="preserve">   Available Water [maf]</v>
      </c>
      <c r="C84" s="14" t="str">
        <f t="shared" ref="C84:L84" si="32">IF(OR(C$27="",$A84=""),"",C33+C51-C43-C81)</f>
        <v/>
      </c>
      <c r="D84" s="14" t="str">
        <f t="shared" si="32"/>
        <v/>
      </c>
      <c r="E84" s="14" t="str">
        <f t="shared" si="32"/>
        <v/>
      </c>
      <c r="F84" s="14" t="str">
        <f t="shared" si="32"/>
        <v/>
      </c>
      <c r="G84" s="14" t="str">
        <f t="shared" si="32"/>
        <v/>
      </c>
      <c r="H84" s="14" t="str">
        <f t="shared" si="32"/>
        <v/>
      </c>
      <c r="I84" s="14" t="str">
        <f t="shared" si="32"/>
        <v/>
      </c>
      <c r="J84" s="14" t="str">
        <f t="shared" si="32"/>
        <v/>
      </c>
      <c r="K84" s="14" t="str">
        <f t="shared" si="32"/>
        <v/>
      </c>
      <c r="L84" s="14" t="str">
        <f t="shared" si="32"/>
        <v/>
      </c>
      <c r="N84" t="str">
        <f t="shared" si="30"/>
        <v>Available water = Account Balance + Available Inflow - Evaporation + Sales - Purchases</v>
      </c>
    </row>
    <row r="85" spans="1:14" x14ac:dyDescent="0.35">
      <c r="A85" s="1" t="str">
        <f>IF(A84="","","   Account Withdraw [maf]")</f>
        <v xml:space="preserve">   Account Withdraw [maf]</v>
      </c>
      <c r="C85" s="43" t="str">
        <f>IF(C27="","",C84)</f>
        <v/>
      </c>
      <c r="D85" s="43" t="str">
        <f t="shared" ref="D85:L85" si="33">IF(D27="","",D84)</f>
        <v/>
      </c>
      <c r="E85" s="43" t="str">
        <f t="shared" si="33"/>
        <v/>
      </c>
      <c r="F85" s="43" t="str">
        <f t="shared" si="33"/>
        <v/>
      </c>
      <c r="G85" s="43" t="str">
        <f t="shared" si="33"/>
        <v/>
      </c>
      <c r="H85" s="43" t="str">
        <f t="shared" si="33"/>
        <v/>
      </c>
      <c r="I85" s="43" t="str">
        <f t="shared" si="33"/>
        <v/>
      </c>
      <c r="J85" s="43" t="str">
        <f t="shared" si="33"/>
        <v/>
      </c>
      <c r="K85" s="43" t="str">
        <f t="shared" si="33"/>
        <v/>
      </c>
      <c r="L85" s="43" t="str">
        <f t="shared" si="33"/>
        <v/>
      </c>
      <c r="N85" t="str">
        <f t="shared" si="30"/>
        <v>Must be less than Available water</v>
      </c>
    </row>
    <row r="86" spans="1:14" x14ac:dyDescent="0.35">
      <c r="A86" s="32" t="str">
        <f>IF(A85="","","   End of Year Balance [maf]")</f>
        <v xml:space="preserve">   End of Year Balance [maf]</v>
      </c>
      <c r="C86" s="77" t="str">
        <f>IF(OR(C$27="",$A86=""),"",C84-C85)</f>
        <v/>
      </c>
      <c r="D86" s="77" t="str">
        <f t="shared" ref="D86:L86" si="34">IF(OR(D$27="",$A86=""),"",D84-D85)</f>
        <v/>
      </c>
      <c r="E86" s="77" t="str">
        <f t="shared" si="34"/>
        <v/>
      </c>
      <c r="F86" s="77" t="str">
        <f t="shared" si="34"/>
        <v/>
      </c>
      <c r="G86" s="77" t="str">
        <f t="shared" si="34"/>
        <v/>
      </c>
      <c r="H86" s="77" t="str">
        <f t="shared" si="34"/>
        <v/>
      </c>
      <c r="I86" s="77" t="str">
        <f t="shared" si="34"/>
        <v/>
      </c>
      <c r="J86" s="77" t="str">
        <f t="shared" si="34"/>
        <v/>
      </c>
      <c r="K86" s="77" t="str">
        <f t="shared" si="34"/>
        <v/>
      </c>
      <c r="L86" s="77" t="str">
        <f t="shared" si="34"/>
        <v/>
      </c>
      <c r="N86" t="str">
        <f t="shared" si="30"/>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5">IF(A90="","",N82)</f>
        <v>Add if multiple transactions, e.g.: $350*0.5 + $450*0.25</v>
      </c>
    </row>
    <row r="91" spans="1:14" x14ac:dyDescent="0.35">
      <c r="A91" s="32" t="str">
        <f>IF(A90="","","   Volume all players (should be zero)")</f>
        <v xml:space="preserve">   Volume all players (should be zero)</v>
      </c>
      <c r="C91" s="78" t="str">
        <f t="shared" ref="C91:M91" si="36">IF(OR(C$27="",$A91=""),"",C$112)</f>
        <v/>
      </c>
      <c r="D91" s="78" t="str">
        <f t="shared" si="36"/>
        <v/>
      </c>
      <c r="E91" s="78" t="str">
        <f t="shared" si="36"/>
        <v/>
      </c>
      <c r="F91" s="78" t="str">
        <f t="shared" si="36"/>
        <v/>
      </c>
      <c r="G91" s="78" t="str">
        <f t="shared" si="36"/>
        <v/>
      </c>
      <c r="H91" s="78" t="str">
        <f t="shared" si="36"/>
        <v/>
      </c>
      <c r="I91" s="78" t="str">
        <f t="shared" si="36"/>
        <v/>
      </c>
      <c r="J91" s="78" t="str">
        <f t="shared" si="36"/>
        <v/>
      </c>
      <c r="K91" s="78" t="str">
        <f t="shared" si="36"/>
        <v/>
      </c>
      <c r="L91" s="78" t="str">
        <f t="shared" si="36"/>
        <v/>
      </c>
      <c r="M91" t="str">
        <f t="shared" si="36"/>
        <v/>
      </c>
      <c r="N91" t="str">
        <f t="shared" si="35"/>
        <v>If non-zero, players need to change amount(s)</v>
      </c>
    </row>
    <row r="92" spans="1:14" x14ac:dyDescent="0.35">
      <c r="A92" s="1" t="str">
        <f>IF(A90="","","   Available Water [maf]")</f>
        <v xml:space="preserve">   Available Water [maf]</v>
      </c>
      <c r="C92" s="14" t="str">
        <f t="shared" ref="C92:L92" si="37">IF(OR(C$27="",$A92=""),"",C34+C52-C44-C89)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5"/>
        <v>Must be less than Available water</v>
      </c>
    </row>
    <row r="94" spans="1:14" x14ac:dyDescent="0.35">
      <c r="A94" s="32" t="str">
        <f>IF(A93="","","   End of Year Balance [maf]")</f>
        <v xml:space="preserve">   End of Year Balance [maf]</v>
      </c>
      <c r="C94" s="77" t="str">
        <f>IF(OR(C$27="",$A94=""),"",C92-C93)</f>
        <v/>
      </c>
      <c r="D94" s="77" t="str">
        <f t="shared" ref="D94:L94" si="38">IF(OR(D$27="",$A94=""),"",D92-D93)</f>
        <v/>
      </c>
      <c r="E94" s="77" t="str">
        <f t="shared" si="38"/>
        <v/>
      </c>
      <c r="F94" s="77" t="str">
        <f t="shared" si="38"/>
        <v/>
      </c>
      <c r="G94" s="77" t="str">
        <f t="shared" si="38"/>
        <v/>
      </c>
      <c r="H94" s="77" t="str">
        <f t="shared" si="38"/>
        <v/>
      </c>
      <c r="I94" s="77" t="str">
        <f t="shared" si="38"/>
        <v/>
      </c>
      <c r="J94" s="77" t="str">
        <f t="shared" si="38"/>
        <v/>
      </c>
      <c r="K94" s="77" t="str">
        <f t="shared" si="38"/>
        <v/>
      </c>
      <c r="L94" s="77" t="str">
        <f t="shared" si="38"/>
        <v/>
      </c>
      <c r="N94" t="str">
        <f t="shared" si="3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39">IF(A98="","",N90)</f>
        <v/>
      </c>
    </row>
    <row r="99" spans="1:14" x14ac:dyDescent="0.35">
      <c r="A99" s="32" t="str">
        <f>IF(A98="","","   Volume all players (should be zero)")</f>
        <v/>
      </c>
      <c r="C99" s="78" t="str">
        <f t="shared" ref="C99:M99" si="40">IF(OR(C$27="",$A99=""),"",C$112)</f>
        <v/>
      </c>
      <c r="D99" s="78" t="str">
        <f t="shared" si="40"/>
        <v/>
      </c>
      <c r="E99" s="78" t="str">
        <f t="shared" si="40"/>
        <v/>
      </c>
      <c r="F99" s="78" t="str">
        <f t="shared" si="40"/>
        <v/>
      </c>
      <c r="G99" s="78" t="str">
        <f t="shared" si="40"/>
        <v/>
      </c>
      <c r="H99" s="78" t="str">
        <f t="shared" si="40"/>
        <v/>
      </c>
      <c r="I99" s="78" t="str">
        <f t="shared" si="40"/>
        <v/>
      </c>
      <c r="J99" s="78" t="str">
        <f t="shared" si="40"/>
        <v/>
      </c>
      <c r="K99" s="78" t="str">
        <f t="shared" si="40"/>
        <v/>
      </c>
      <c r="L99" s="78" t="str">
        <f t="shared" si="40"/>
        <v/>
      </c>
      <c r="M99" t="str">
        <f t="shared" si="40"/>
        <v/>
      </c>
      <c r="N99" t="str">
        <f t="shared" si="39"/>
        <v/>
      </c>
    </row>
    <row r="100" spans="1:14" x14ac:dyDescent="0.35">
      <c r="A100" s="1" t="str">
        <f>IF(A98="","","   Available Water [maf]")</f>
        <v/>
      </c>
      <c r="C100" s="14" t="str">
        <f t="shared" ref="C100:L100" si="41">IF(OR(C$27="",$A100=""),"",C35+C53-C45-C97)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43"/>
      <c r="D101" s="43"/>
      <c r="E101" s="43"/>
      <c r="F101" s="43"/>
      <c r="G101" s="43"/>
      <c r="H101" s="43"/>
      <c r="I101" s="43"/>
      <c r="J101" s="43"/>
      <c r="K101" s="43"/>
      <c r="L101" s="43"/>
      <c r="N101" t="str">
        <f t="shared" si="39"/>
        <v/>
      </c>
    </row>
    <row r="102" spans="1:14" x14ac:dyDescent="0.35">
      <c r="A102" s="32" t="str">
        <f>IF(A101="","","   End of Year Balance [maf]")</f>
        <v/>
      </c>
      <c r="C102" s="77" t="str">
        <f>IF(OR(C$27="",$A102=""),"",C100-C101)</f>
        <v/>
      </c>
      <c r="D102" s="77" t="str">
        <f t="shared" ref="D102:L102" si="42">IF(OR(D$27="",$A102=""),"",D100-D101)</f>
        <v/>
      </c>
      <c r="E102" s="77" t="str">
        <f t="shared" si="42"/>
        <v/>
      </c>
      <c r="F102" s="77" t="str">
        <f t="shared" si="42"/>
        <v/>
      </c>
      <c r="G102" s="77" t="str">
        <f t="shared" si="42"/>
        <v/>
      </c>
      <c r="H102" s="77" t="str">
        <f t="shared" si="42"/>
        <v/>
      </c>
      <c r="I102" s="77" t="str">
        <f t="shared" si="42"/>
        <v/>
      </c>
      <c r="J102" s="77" t="str">
        <f t="shared" si="42"/>
        <v/>
      </c>
      <c r="K102" s="77" t="str">
        <f t="shared" si="42"/>
        <v/>
      </c>
      <c r="L102" s="77" t="str">
        <f t="shared" si="42"/>
        <v/>
      </c>
      <c r="N102" t="str">
        <f t="shared" si="39"/>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3">IF(A6="","","    "&amp;A6)</f>
        <v xml:space="preserve">    Upper Basin</v>
      </c>
      <c r="B106" s="1"/>
      <c r="C106" s="78" t="str">
        <f t="shared" ref="C106:L111" ca="1" si="44">IF(OR(C$27="",$A106=""),"",OFFSET(C$57,8*(ROW(B106)-ROW(B$106)),0))</f>
        <v/>
      </c>
      <c r="D106" s="78" t="str">
        <f t="shared" ca="1" si="44"/>
        <v/>
      </c>
      <c r="E106" s="78" t="str">
        <f t="shared" ca="1" si="44"/>
        <v/>
      </c>
      <c r="F106" s="78" t="str">
        <f t="shared" ca="1" si="44"/>
        <v/>
      </c>
      <c r="G106" s="78" t="str">
        <f t="shared" ca="1" si="44"/>
        <v/>
      </c>
      <c r="H106" s="78" t="str">
        <f t="shared" ca="1" si="44"/>
        <v/>
      </c>
      <c r="I106" s="78" t="str">
        <f t="shared" ca="1" si="44"/>
        <v/>
      </c>
      <c r="J106" s="78" t="str">
        <f t="shared" ca="1" si="44"/>
        <v/>
      </c>
      <c r="K106" s="78" t="str">
        <f t="shared" ca="1" si="44"/>
        <v/>
      </c>
      <c r="L106" s="78" t="str">
        <f t="shared" ca="1" si="44"/>
        <v/>
      </c>
      <c r="M106" s="78">
        <f ca="1">IF(OR($A106=""),"",SUM(C106:L106))</f>
        <v>0</v>
      </c>
      <c r="N106" s="75">
        <f>IF(OR($A106=""),"",M58)</f>
        <v>0</v>
      </c>
    </row>
    <row r="107" spans="1:14" x14ac:dyDescent="0.35">
      <c r="A107" t="str">
        <f t="shared" si="43"/>
        <v xml:space="preserve">    Lower Basin</v>
      </c>
      <c r="B107" s="1"/>
      <c r="C107" s="78" t="str">
        <f t="shared" ca="1" si="44"/>
        <v/>
      </c>
      <c r="D107" s="78" t="str">
        <f t="shared" ca="1" si="44"/>
        <v/>
      </c>
      <c r="E107" s="78" t="str">
        <f t="shared" ca="1" si="44"/>
        <v/>
      </c>
      <c r="F107" s="78" t="str">
        <f t="shared" ca="1" si="44"/>
        <v/>
      </c>
      <c r="G107" s="78" t="str">
        <f t="shared" ca="1" si="44"/>
        <v/>
      </c>
      <c r="H107" s="78" t="str">
        <f t="shared" ca="1" si="44"/>
        <v/>
      </c>
      <c r="I107" s="78" t="str">
        <f t="shared" ca="1" si="44"/>
        <v/>
      </c>
      <c r="J107" s="78" t="str">
        <f t="shared" ca="1" si="44"/>
        <v/>
      </c>
      <c r="K107" s="78" t="str">
        <f t="shared" ca="1" si="44"/>
        <v/>
      </c>
      <c r="L107" s="78" t="str">
        <f t="shared" ca="1" si="44"/>
        <v/>
      </c>
      <c r="M107" s="78">
        <f t="shared" ref="M107:M111" ca="1" si="45">IF(OR($A107=""),"",SUM(C107:L107))</f>
        <v>0</v>
      </c>
      <c r="N107" s="75">
        <f>IF(OR($A107=""),"",M66)</f>
        <v>0</v>
      </c>
    </row>
    <row r="108" spans="1:14" x14ac:dyDescent="0.35">
      <c r="A108" t="str">
        <f t="shared" si="43"/>
        <v xml:space="preserve">    Mexico</v>
      </c>
      <c r="B108" s="1"/>
      <c r="C108" s="78" t="str">
        <f t="shared" ca="1" si="44"/>
        <v/>
      </c>
      <c r="D108" s="78" t="str">
        <f t="shared" ca="1" si="44"/>
        <v/>
      </c>
      <c r="E108" s="78" t="str">
        <f t="shared" ca="1" si="44"/>
        <v/>
      </c>
      <c r="F108" s="78" t="str">
        <f t="shared" ca="1" si="44"/>
        <v/>
      </c>
      <c r="G108" s="78" t="str">
        <f t="shared" ca="1" si="44"/>
        <v/>
      </c>
      <c r="H108" s="78" t="str">
        <f t="shared" ca="1" si="44"/>
        <v/>
      </c>
      <c r="I108" s="78" t="str">
        <f t="shared" ca="1" si="44"/>
        <v/>
      </c>
      <c r="J108" s="78" t="str">
        <f t="shared" ca="1" si="44"/>
        <v/>
      </c>
      <c r="K108" s="78" t="str">
        <f t="shared" ca="1" si="44"/>
        <v/>
      </c>
      <c r="L108" s="78" t="str">
        <f t="shared" ca="1" si="44"/>
        <v/>
      </c>
      <c r="M108" s="78">
        <f t="shared" ca="1" si="45"/>
        <v>0</v>
      </c>
      <c r="N108" s="75">
        <f>IF(OR($A108=""),"",M74)</f>
        <v>0</v>
      </c>
    </row>
    <row r="109" spans="1:14" x14ac:dyDescent="0.35">
      <c r="A109" t="str">
        <f t="shared" si="43"/>
        <v xml:space="preserve">    Mohave &amp; Havasu Evap &amp; ET</v>
      </c>
      <c r="B109" s="1"/>
      <c r="C109" s="78" t="str">
        <f t="shared" ca="1" si="44"/>
        <v/>
      </c>
      <c r="D109" s="78" t="str">
        <f t="shared" ca="1" si="44"/>
        <v/>
      </c>
      <c r="E109" s="78" t="str">
        <f t="shared" ca="1" si="44"/>
        <v/>
      </c>
      <c r="F109" s="78" t="str">
        <f t="shared" ca="1" si="44"/>
        <v/>
      </c>
      <c r="G109" s="78" t="str">
        <f t="shared" ca="1" si="44"/>
        <v/>
      </c>
      <c r="H109" s="78" t="str">
        <f t="shared" ca="1" si="44"/>
        <v/>
      </c>
      <c r="I109" s="78" t="str">
        <f t="shared" ca="1" si="44"/>
        <v/>
      </c>
      <c r="J109" s="78" t="str">
        <f t="shared" ca="1" si="44"/>
        <v/>
      </c>
      <c r="K109" s="78" t="str">
        <f t="shared" ca="1" si="44"/>
        <v/>
      </c>
      <c r="L109" s="78" t="str">
        <f t="shared" ca="1" si="44"/>
        <v/>
      </c>
      <c r="M109" s="78">
        <f t="shared" ca="1" si="45"/>
        <v>0</v>
      </c>
      <c r="N109" s="75">
        <f>IF(OR($A109=""),"",M82)</f>
        <v>0</v>
      </c>
    </row>
    <row r="110" spans="1:14" x14ac:dyDescent="0.35">
      <c r="A110" t="str">
        <f t="shared" si="43"/>
        <v xml:space="preserve">    Shared, Reserve</v>
      </c>
      <c r="B110" s="1"/>
      <c r="C110" s="78" t="str">
        <f t="shared" ca="1" si="44"/>
        <v/>
      </c>
      <c r="D110" s="78" t="str">
        <f t="shared" ca="1" si="44"/>
        <v/>
      </c>
      <c r="E110" s="78" t="str">
        <f t="shared" ca="1" si="44"/>
        <v/>
      </c>
      <c r="F110" s="78" t="str">
        <f t="shared" ca="1" si="44"/>
        <v/>
      </c>
      <c r="G110" s="78" t="str">
        <f t="shared" ca="1" si="44"/>
        <v/>
      </c>
      <c r="H110" s="78" t="str">
        <f t="shared" ca="1" si="44"/>
        <v/>
      </c>
      <c r="I110" s="78" t="str">
        <f t="shared" ca="1" si="44"/>
        <v/>
      </c>
      <c r="J110" s="78" t="str">
        <f t="shared" ca="1" si="44"/>
        <v/>
      </c>
      <c r="K110" s="78" t="str">
        <f t="shared" ca="1" si="44"/>
        <v/>
      </c>
      <c r="L110" s="78" t="str">
        <f t="shared" ca="1" si="44"/>
        <v/>
      </c>
      <c r="M110" s="78">
        <f t="shared" ca="1" si="45"/>
        <v>0</v>
      </c>
      <c r="N110" s="75">
        <f>IF(OR($A110=""),"",M90)</f>
        <v>0</v>
      </c>
    </row>
    <row r="111" spans="1:14" x14ac:dyDescent="0.35">
      <c r="A111" t="str">
        <f t="shared" si="43"/>
        <v/>
      </c>
      <c r="B111" s="1"/>
      <c r="C111" s="78" t="str">
        <f t="shared" ca="1" si="44"/>
        <v/>
      </c>
      <c r="D111" s="78" t="str">
        <f t="shared" ca="1" si="44"/>
        <v/>
      </c>
      <c r="E111" s="78" t="str">
        <f t="shared" ca="1" si="44"/>
        <v/>
      </c>
      <c r="F111" s="78" t="str">
        <f t="shared" ca="1" si="44"/>
        <v/>
      </c>
      <c r="G111" s="78" t="str">
        <f t="shared" ca="1" si="44"/>
        <v/>
      </c>
      <c r="H111" s="78" t="str">
        <f t="shared" ca="1" si="44"/>
        <v/>
      </c>
      <c r="I111" s="78" t="str">
        <f t="shared" ca="1" si="44"/>
        <v/>
      </c>
      <c r="J111" s="78" t="str">
        <f t="shared" ca="1" si="44"/>
        <v/>
      </c>
      <c r="K111" s="78" t="str">
        <f t="shared" ca="1" si="44"/>
        <v/>
      </c>
      <c r="L111" s="78" t="str">
        <f t="shared" ca="1" si="44"/>
        <v/>
      </c>
      <c r="M111" s="78" t="str">
        <f t="shared" si="45"/>
        <v/>
      </c>
      <c r="N111" s="75" t="str">
        <f>IF(OR($A111=""),"",M98)</f>
        <v/>
      </c>
    </row>
    <row r="112" spans="1:14" x14ac:dyDescent="0.35">
      <c r="A112" t="s">
        <v>146</v>
      </c>
      <c r="B112" s="1"/>
      <c r="C112" s="52" t="str">
        <f>IF(C$27&lt;&gt;"",SUM(C106:C111),"")</f>
        <v/>
      </c>
      <c r="D112" s="52" t="str">
        <f t="shared" ref="D112:L112" si="46">IF(D$27&lt;&gt;"",SUM(D106:D111),"")</f>
        <v/>
      </c>
      <c r="E112" s="52" t="str">
        <f t="shared" si="46"/>
        <v/>
      </c>
      <c r="F112" s="52" t="str">
        <f t="shared" si="46"/>
        <v/>
      </c>
      <c r="G112" s="52" t="str">
        <f t="shared" si="46"/>
        <v/>
      </c>
      <c r="H112" s="52" t="str">
        <f t="shared" si="46"/>
        <v/>
      </c>
      <c r="I112" s="52" t="str">
        <f t="shared" si="46"/>
        <v/>
      </c>
      <c r="J112" s="52" t="str">
        <f t="shared" si="46"/>
        <v/>
      </c>
      <c r="K112" s="52" t="str">
        <f t="shared" si="46"/>
        <v/>
      </c>
      <c r="L112" s="52" t="str">
        <f t="shared" si="4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7">IF(OR(C$27="",$A114=""),"",OFFSET(C$61,8*(ROW(B114)-ROW(B$114)),0))</f>
        <v/>
      </c>
      <c r="D114" s="78" t="str">
        <f t="shared" ca="1" si="47"/>
        <v/>
      </c>
      <c r="E114" s="78" t="str">
        <f t="shared" ca="1" si="47"/>
        <v/>
      </c>
      <c r="F114" s="78" t="str">
        <f t="shared" ca="1" si="47"/>
        <v/>
      </c>
      <c r="G114" s="78" t="str">
        <f t="shared" ca="1" si="47"/>
        <v/>
      </c>
      <c r="H114" s="78" t="str">
        <f t="shared" ca="1" si="47"/>
        <v/>
      </c>
      <c r="I114" s="78" t="str">
        <f t="shared" ca="1" si="47"/>
        <v/>
      </c>
      <c r="J114" s="78" t="str">
        <f t="shared" ca="1" si="47"/>
        <v/>
      </c>
      <c r="K114" s="78" t="str">
        <f t="shared" ca="1" si="47"/>
        <v/>
      </c>
      <c r="L114" s="78" t="str">
        <f t="shared" ca="1" si="47"/>
        <v/>
      </c>
    </row>
    <row r="115" spans="1:12" x14ac:dyDescent="0.35">
      <c r="A115" t="str">
        <f>IF(A7="","","    "&amp;A7&amp;" - Release from Mead")</f>
        <v xml:space="preserve">    Lower Basin - Release from Mead</v>
      </c>
      <c r="C115" s="78" t="str">
        <f t="shared" ca="1" si="47"/>
        <v/>
      </c>
      <c r="D115" s="78" t="str">
        <f t="shared" ca="1" si="47"/>
        <v/>
      </c>
      <c r="E115" s="78" t="str">
        <f t="shared" ca="1" si="47"/>
        <v/>
      </c>
      <c r="F115" s="78" t="str">
        <f t="shared" ca="1" si="47"/>
        <v/>
      </c>
      <c r="G115" s="78" t="str">
        <f t="shared" ca="1" si="47"/>
        <v/>
      </c>
      <c r="H115" s="78" t="str">
        <f t="shared" ca="1" si="47"/>
        <v/>
      </c>
      <c r="I115" s="78" t="str">
        <f t="shared" ca="1" si="47"/>
        <v/>
      </c>
      <c r="J115" s="78" t="str">
        <f t="shared" ca="1" si="47"/>
        <v/>
      </c>
      <c r="K115" s="78" t="str">
        <f t="shared" ca="1" si="47"/>
        <v/>
      </c>
      <c r="L115" s="78" t="str">
        <f t="shared" ca="1" si="47"/>
        <v/>
      </c>
    </row>
    <row r="116" spans="1:12" x14ac:dyDescent="0.35">
      <c r="A116" t="str">
        <f>IF(A8="","","    "&amp;A8&amp;" - Release from Mead")</f>
        <v xml:space="preserve">    Mexico - Release from Mead</v>
      </c>
      <c r="C116" s="78" t="str">
        <f t="shared" ca="1" si="47"/>
        <v/>
      </c>
      <c r="D116" s="78" t="str">
        <f t="shared" ca="1" si="47"/>
        <v/>
      </c>
      <c r="E116" s="78" t="str">
        <f t="shared" ca="1" si="47"/>
        <v/>
      </c>
      <c r="F116" s="78" t="str">
        <f t="shared" ca="1" si="47"/>
        <v/>
      </c>
      <c r="G116" s="78" t="str">
        <f t="shared" ca="1" si="47"/>
        <v/>
      </c>
      <c r="H116" s="78" t="str">
        <f t="shared" ca="1" si="47"/>
        <v/>
      </c>
      <c r="I116" s="78" t="str">
        <f t="shared" ca="1" si="47"/>
        <v/>
      </c>
      <c r="J116" s="78" t="str">
        <f t="shared" ca="1" si="47"/>
        <v/>
      </c>
      <c r="K116" s="78" t="str">
        <f t="shared" ca="1" si="47"/>
        <v/>
      </c>
      <c r="L116" s="78" t="str">
        <f t="shared" ca="1" si="47"/>
        <v/>
      </c>
    </row>
    <row r="117" spans="1:12" x14ac:dyDescent="0.35">
      <c r="A117" t="str">
        <f>IF(A9="","","    "&amp;A9&amp;" - Release from Mead")</f>
        <v xml:space="preserve">    Mohave &amp; Havasu Evap &amp; ET - Release from Mead</v>
      </c>
      <c r="C117" s="78" t="str">
        <f t="shared" ca="1" si="47"/>
        <v/>
      </c>
      <c r="D117" s="78" t="str">
        <f t="shared" ca="1" si="47"/>
        <v/>
      </c>
      <c r="E117" s="78" t="str">
        <f t="shared" ca="1" si="47"/>
        <v/>
      </c>
      <c r="F117" s="78" t="str">
        <f t="shared" ca="1" si="47"/>
        <v/>
      </c>
      <c r="G117" s="78" t="str">
        <f t="shared" ca="1" si="47"/>
        <v/>
      </c>
      <c r="H117" s="78" t="str">
        <f t="shared" ca="1" si="47"/>
        <v/>
      </c>
      <c r="I117" s="78" t="str">
        <f t="shared" ca="1" si="47"/>
        <v/>
      </c>
      <c r="J117" s="78" t="str">
        <f t="shared" ca="1" si="47"/>
        <v/>
      </c>
      <c r="K117" s="78" t="str">
        <f t="shared" ca="1" si="47"/>
        <v/>
      </c>
      <c r="L117" s="78" t="str">
        <f t="shared" ca="1" si="47"/>
        <v/>
      </c>
    </row>
    <row r="118" spans="1:12" x14ac:dyDescent="0.35">
      <c r="A118" t="str">
        <f>IF(A10="","","    "&amp;A10&amp;" - Release from Mead")</f>
        <v xml:space="preserve">    Shared, Reserve - Release from Mead</v>
      </c>
      <c r="C118" s="78" t="str">
        <f t="shared" ca="1" si="47"/>
        <v/>
      </c>
      <c r="D118" s="78" t="str">
        <f t="shared" ca="1" si="47"/>
        <v/>
      </c>
      <c r="E118" s="78" t="str">
        <f t="shared" ca="1" si="47"/>
        <v/>
      </c>
      <c r="F118" s="78" t="str">
        <f t="shared" ca="1" si="47"/>
        <v/>
      </c>
      <c r="G118" s="78" t="str">
        <f t="shared" ca="1" si="47"/>
        <v/>
      </c>
      <c r="H118" s="78" t="str">
        <f t="shared" ca="1" si="47"/>
        <v/>
      </c>
      <c r="I118" s="78" t="str">
        <f t="shared" ca="1" si="47"/>
        <v/>
      </c>
      <c r="J118" s="78" t="str">
        <f t="shared" ca="1" si="47"/>
        <v/>
      </c>
      <c r="K118" s="78" t="str">
        <f t="shared" ca="1" si="47"/>
        <v/>
      </c>
      <c r="L118" s="78" t="str">
        <f t="shared" ca="1" si="47"/>
        <v/>
      </c>
    </row>
    <row r="119" spans="1:12" x14ac:dyDescent="0.35">
      <c r="A119" t="str">
        <f>IF(A11="","","    "&amp;A11&amp;" - Release from Mead")</f>
        <v/>
      </c>
      <c r="C119" s="78" t="str">
        <f t="shared" ca="1" si="47"/>
        <v/>
      </c>
      <c r="D119" s="78" t="str">
        <f t="shared" ca="1" si="47"/>
        <v/>
      </c>
      <c r="E119" s="78" t="str">
        <f t="shared" ca="1" si="47"/>
        <v/>
      </c>
      <c r="F119" s="78" t="str">
        <f t="shared" ca="1" si="47"/>
        <v/>
      </c>
      <c r="G119" s="78" t="str">
        <f t="shared" ca="1" si="47"/>
        <v/>
      </c>
      <c r="H119" s="78" t="str">
        <f t="shared" ca="1" si="47"/>
        <v/>
      </c>
      <c r="I119" s="78" t="str">
        <f t="shared" ca="1" si="47"/>
        <v/>
      </c>
      <c r="J119" s="78" t="str">
        <f t="shared" ca="1" si="47"/>
        <v/>
      </c>
      <c r="K119" s="78" t="str">
        <f t="shared" ca="1" si="47"/>
        <v/>
      </c>
      <c r="L119" s="78"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IF(A6="","","    "&amp;A6)</f>
        <v xml:space="preserve">    Upper Basin</v>
      </c>
      <c r="C121" s="78" t="str">
        <f t="shared" ref="C121:L126" ca="1" si="49">IF(OR(C$27="",$A121=""),"",OFFSET(C$62,8*(ROW(B121)-ROW(B$121)),0))</f>
        <v/>
      </c>
      <c r="D121" s="78" t="str">
        <f t="shared" ca="1" si="49"/>
        <v/>
      </c>
      <c r="E121" s="78" t="str">
        <f t="shared" ca="1" si="49"/>
        <v/>
      </c>
      <c r="F121" s="78" t="str">
        <f t="shared" ca="1" si="49"/>
        <v/>
      </c>
      <c r="G121" s="78" t="str">
        <f t="shared" ca="1" si="49"/>
        <v/>
      </c>
      <c r="H121" s="78" t="str">
        <f t="shared" ca="1" si="49"/>
        <v/>
      </c>
      <c r="I121" s="78" t="str">
        <f t="shared" ca="1" si="49"/>
        <v/>
      </c>
      <c r="J121" s="78" t="str">
        <f t="shared" ca="1" si="49"/>
        <v/>
      </c>
      <c r="K121" s="78" t="str">
        <f t="shared" ca="1" si="49"/>
        <v/>
      </c>
      <c r="L121" s="78" t="str">
        <f t="shared" ca="1" si="49"/>
        <v/>
      </c>
    </row>
    <row r="122" spans="1:12" x14ac:dyDescent="0.35">
      <c r="A122" t="str">
        <f t="shared" si="48"/>
        <v xml:space="preserve">    Lower Basin</v>
      </c>
      <c r="C122" s="78" t="str">
        <f t="shared" ca="1" si="49"/>
        <v/>
      </c>
      <c r="D122" s="78" t="str">
        <f t="shared" ca="1" si="49"/>
        <v/>
      </c>
      <c r="E122" s="78" t="str">
        <f t="shared" ca="1" si="49"/>
        <v/>
      </c>
      <c r="F122" s="78" t="str">
        <f t="shared" ca="1" si="49"/>
        <v/>
      </c>
      <c r="G122" s="78" t="str">
        <f t="shared" ca="1" si="49"/>
        <v/>
      </c>
      <c r="H122" s="78" t="str">
        <f t="shared" ca="1" si="49"/>
        <v/>
      </c>
      <c r="I122" s="78" t="str">
        <f t="shared" ca="1" si="49"/>
        <v/>
      </c>
      <c r="J122" s="78" t="str">
        <f t="shared" ca="1" si="49"/>
        <v/>
      </c>
      <c r="K122" s="78" t="str">
        <f t="shared" ca="1" si="49"/>
        <v/>
      </c>
      <c r="L122" s="78" t="str">
        <f t="shared" ca="1" si="49"/>
        <v/>
      </c>
    </row>
    <row r="123" spans="1:12" x14ac:dyDescent="0.35">
      <c r="A123" t="str">
        <f t="shared" si="48"/>
        <v xml:space="preserve">    Mexico</v>
      </c>
      <c r="C123" s="78" t="str">
        <f t="shared" ca="1" si="49"/>
        <v/>
      </c>
      <c r="D123" s="78" t="str">
        <f t="shared" ca="1" si="49"/>
        <v/>
      </c>
      <c r="E123" s="78" t="str">
        <f t="shared" ca="1" si="49"/>
        <v/>
      </c>
      <c r="F123" s="78" t="str">
        <f t="shared" ca="1" si="49"/>
        <v/>
      </c>
      <c r="G123" s="78" t="str">
        <f t="shared" ca="1" si="49"/>
        <v/>
      </c>
      <c r="H123" s="78" t="str">
        <f t="shared" ca="1" si="49"/>
        <v/>
      </c>
      <c r="I123" s="78" t="str">
        <f t="shared" ca="1" si="49"/>
        <v/>
      </c>
      <c r="J123" s="78" t="str">
        <f t="shared" ca="1" si="49"/>
        <v/>
      </c>
      <c r="K123" s="78" t="str">
        <f t="shared" ca="1" si="49"/>
        <v/>
      </c>
      <c r="L123" s="78" t="str">
        <f t="shared" ca="1" si="49"/>
        <v/>
      </c>
    </row>
    <row r="124" spans="1:12" x14ac:dyDescent="0.35">
      <c r="A124" t="str">
        <f t="shared" si="48"/>
        <v xml:space="preserve">    Mohave &amp; Havasu Evap &amp; ET</v>
      </c>
      <c r="C124" s="78" t="str">
        <f t="shared" ca="1" si="49"/>
        <v/>
      </c>
      <c r="D124" s="78" t="str">
        <f t="shared" ca="1" si="49"/>
        <v/>
      </c>
      <c r="E124" s="78" t="str">
        <f t="shared" ca="1" si="49"/>
        <v/>
      </c>
      <c r="F124" s="78" t="str">
        <f t="shared" ca="1" si="49"/>
        <v/>
      </c>
      <c r="G124" s="78" t="str">
        <f t="shared" ca="1" si="49"/>
        <v/>
      </c>
      <c r="H124" s="78" t="str">
        <f t="shared" ca="1" si="49"/>
        <v/>
      </c>
      <c r="I124" s="78" t="str">
        <f t="shared" ca="1" si="49"/>
        <v/>
      </c>
      <c r="J124" s="78" t="str">
        <f t="shared" ca="1" si="49"/>
        <v/>
      </c>
      <c r="K124" s="78" t="str">
        <f t="shared" ca="1" si="49"/>
        <v/>
      </c>
      <c r="L124" s="78" t="str">
        <f t="shared" ca="1" si="49"/>
        <v/>
      </c>
    </row>
    <row r="125" spans="1:12" x14ac:dyDescent="0.35">
      <c r="A125" t="str">
        <f t="shared" si="48"/>
        <v xml:space="preserve">    Shared, Reserve</v>
      </c>
      <c r="C125" s="78" t="str">
        <f t="shared" ca="1" si="49"/>
        <v/>
      </c>
      <c r="D125" s="78" t="str">
        <f t="shared" ca="1" si="49"/>
        <v/>
      </c>
      <c r="E125" s="78" t="str">
        <f t="shared" ca="1" si="49"/>
        <v/>
      </c>
      <c r="F125" s="78" t="str">
        <f t="shared" ca="1" si="49"/>
        <v/>
      </c>
      <c r="G125" s="78" t="str">
        <f t="shared" ca="1" si="49"/>
        <v/>
      </c>
      <c r="H125" s="78" t="str">
        <f t="shared" ca="1" si="49"/>
        <v/>
      </c>
      <c r="I125" s="78" t="str">
        <f t="shared" ca="1" si="49"/>
        <v/>
      </c>
      <c r="J125" s="78" t="str">
        <f t="shared" ca="1" si="49"/>
        <v/>
      </c>
      <c r="K125" s="78" t="str">
        <f t="shared" ca="1" si="49"/>
        <v/>
      </c>
      <c r="L125" s="78" t="str">
        <f t="shared" ca="1" si="49"/>
        <v/>
      </c>
    </row>
    <row r="126" spans="1:12" x14ac:dyDescent="0.35">
      <c r="A126" t="str">
        <f t="shared" si="48"/>
        <v/>
      </c>
      <c r="C126" s="78" t="str">
        <f t="shared" ca="1" si="49"/>
        <v/>
      </c>
      <c r="D126" s="78" t="str">
        <f t="shared" ca="1" si="49"/>
        <v/>
      </c>
      <c r="E126" s="78" t="str">
        <f t="shared" ca="1" si="49"/>
        <v/>
      </c>
      <c r="F126" s="78" t="str">
        <f t="shared" ca="1" si="49"/>
        <v/>
      </c>
      <c r="G126" s="78" t="str">
        <f t="shared" ca="1" si="49"/>
        <v/>
      </c>
      <c r="H126" s="78" t="str">
        <f t="shared" ca="1" si="49"/>
        <v/>
      </c>
      <c r="I126" s="78" t="str">
        <f t="shared" ca="1" si="49"/>
        <v/>
      </c>
      <c r="J126" s="78" t="str">
        <f t="shared" ca="1" si="49"/>
        <v/>
      </c>
      <c r="K126" s="78" t="str">
        <f t="shared" ca="1" si="49"/>
        <v/>
      </c>
      <c r="L126" s="78" t="str">
        <f t="shared" ca="1" si="49"/>
        <v/>
      </c>
    </row>
    <row r="127" spans="1:12" x14ac:dyDescent="0.35">
      <c r="A127" s="1" t="s">
        <v>123</v>
      </c>
      <c r="B127" s="1"/>
      <c r="C127" s="14" t="str">
        <f>IF(C$27&lt;&gt;"",SUM(C121:C126),"")</f>
        <v/>
      </c>
      <c r="D127" s="14" t="str">
        <f t="shared" ref="D127:L127" si="50">IF(D$27&lt;&gt;"",SUM(D121:D126),"")</f>
        <v/>
      </c>
      <c r="E127" s="14" t="str">
        <f t="shared" si="50"/>
        <v/>
      </c>
      <c r="F127" s="14" t="str">
        <f t="shared" si="50"/>
        <v/>
      </c>
      <c r="G127" s="14" t="str">
        <f t="shared" si="50"/>
        <v/>
      </c>
      <c r="H127" s="14" t="str">
        <f t="shared" si="50"/>
        <v/>
      </c>
      <c r="I127" s="14" t="str">
        <f t="shared" si="50"/>
        <v/>
      </c>
      <c r="J127" s="14" t="str">
        <f t="shared" si="50"/>
        <v/>
      </c>
      <c r="K127" s="14" t="str">
        <f t="shared" si="50"/>
        <v/>
      </c>
      <c r="L127" s="14" t="str">
        <f t="shared" si="50"/>
        <v/>
      </c>
    </row>
    <row r="128" spans="1:12" x14ac:dyDescent="0.35">
      <c r="A128" s="1" t="s">
        <v>206</v>
      </c>
      <c r="B128" s="1"/>
      <c r="C128" s="87"/>
      <c r="D128" s="87"/>
      <c r="E128" s="87"/>
      <c r="F128" s="87"/>
      <c r="G128" s="87"/>
      <c r="H128" s="87"/>
      <c r="I128" s="87"/>
      <c r="J128" s="87"/>
      <c r="K128" s="87"/>
      <c r="L128" s="87"/>
    </row>
    <row r="129" spans="1:14" x14ac:dyDescent="0.35">
      <c r="A129" s="1" t="s">
        <v>202</v>
      </c>
      <c r="B129" s="1"/>
      <c r="C129" s="14" t="str">
        <f>IF(C27="","",C$128*C$127)</f>
        <v/>
      </c>
      <c r="D129" s="14" t="str">
        <f t="shared" ref="D129:L129" si="51">IF(D27="","",D$128*D$127)</f>
        <v/>
      </c>
      <c r="E129" s="14" t="str">
        <f t="shared" si="51"/>
        <v/>
      </c>
      <c r="F129" s="14" t="str">
        <f t="shared" si="51"/>
        <v/>
      </c>
      <c r="G129" s="14" t="str">
        <f t="shared" si="51"/>
        <v/>
      </c>
      <c r="H129" s="14" t="str">
        <f t="shared" si="51"/>
        <v/>
      </c>
      <c r="I129" s="14" t="str">
        <f t="shared" si="51"/>
        <v/>
      </c>
      <c r="J129" s="14" t="str">
        <f t="shared" si="51"/>
        <v/>
      </c>
      <c r="K129" s="14" t="str">
        <f t="shared" si="51"/>
        <v/>
      </c>
      <c r="L129" s="14" t="str">
        <f t="shared" si="51"/>
        <v/>
      </c>
    </row>
    <row r="130" spans="1:14" x14ac:dyDescent="0.35">
      <c r="A130" s="1" t="s">
        <v>203</v>
      </c>
      <c r="B130" s="1"/>
      <c r="C130" s="14" t="str">
        <f>IF(C28="","",(1-C$128)*C$127)</f>
        <v/>
      </c>
      <c r="D130" s="14" t="str">
        <f t="shared" ref="D130:L130" si="52">IF(D28="","",(1-D$128)*D$127)</f>
        <v/>
      </c>
      <c r="E130" s="14" t="str">
        <f t="shared" si="52"/>
        <v/>
      </c>
      <c r="F130" s="14" t="str">
        <f t="shared" si="52"/>
        <v/>
      </c>
      <c r="G130" s="14" t="str">
        <f t="shared" si="52"/>
        <v/>
      </c>
      <c r="H130" s="14" t="str">
        <f t="shared" si="52"/>
        <v/>
      </c>
      <c r="I130" s="14" t="str">
        <f t="shared" si="52"/>
        <v/>
      </c>
      <c r="J130" s="14" t="str">
        <f t="shared" si="52"/>
        <v/>
      </c>
      <c r="K130" s="14" t="str">
        <f t="shared" si="52"/>
        <v/>
      </c>
      <c r="L130" s="14" t="str">
        <f t="shared" si="52"/>
        <v/>
      </c>
    </row>
    <row r="131" spans="1:14" x14ac:dyDescent="0.35">
      <c r="A131" s="32" t="s">
        <v>305</v>
      </c>
      <c r="B131" s="1"/>
      <c r="C131" s="117" t="str">
        <f>IF(C$27&lt;&gt;"",VLOOKUP(C129*1000000,'Powell-Elevation-Area'!$B$5:$H$689,7),"")</f>
        <v/>
      </c>
      <c r="D131" s="117" t="str">
        <f>IF(D$27&lt;&gt;"",VLOOKUP(D129*1000000,'Powell-Elevation-Area'!$B$5:$H$689,7),"")</f>
        <v/>
      </c>
      <c r="E131" s="117" t="str">
        <f>IF(E$27&lt;&gt;"",VLOOKUP(E129*1000000,'Powell-Elevation-Area'!$B$5:$H$689,7),"")</f>
        <v/>
      </c>
      <c r="F131" s="117" t="str">
        <f>IF(F$27&lt;&gt;"",VLOOKUP(F129*1000000,'Powell-Elevation-Area'!$B$5:$H$689,7),"")</f>
        <v/>
      </c>
      <c r="G131" s="117" t="str">
        <f>IF(G$27&lt;&gt;"",VLOOKUP(G129*1000000,'Powell-Elevation-Area'!$B$5:$H$689,7),"")</f>
        <v/>
      </c>
      <c r="H131" s="117" t="str">
        <f>IF(H$27&lt;&gt;"",VLOOKUP(H129*1000000,'Powell-Elevation-Area'!$B$5:$H$689,7),"")</f>
        <v/>
      </c>
      <c r="I131" s="117" t="str">
        <f>IF(I$27&lt;&gt;"",VLOOKUP(I129*1000000,'Powell-Elevation-Area'!$B$5:$H$689,7),"")</f>
        <v/>
      </c>
      <c r="J131" s="117" t="str">
        <f>IF(J$27&lt;&gt;"",VLOOKUP(J129*1000000,'Powell-Elevation-Area'!$B$5:$H$689,7),"")</f>
        <v/>
      </c>
      <c r="K131" s="117" t="str">
        <f>IF(K$27&lt;&gt;"",VLOOKUP(K129*1000000,'Powell-Elevation-Area'!$B$5:$H$689,7),"")</f>
        <v/>
      </c>
      <c r="L131" s="117" t="str">
        <f>IF(L$27&lt;&gt;"",VLOOKUP(L129*1000000,'Powell-Elevation-Area'!$B$5:$H$689,7),"")</f>
        <v/>
      </c>
    </row>
    <row r="132" spans="1:14" x14ac:dyDescent="0.35">
      <c r="A132" s="32" t="s">
        <v>306</v>
      </c>
      <c r="B132" s="1"/>
      <c r="C132" s="117" t="str">
        <f>IF(C$27&lt;&gt;"",VLOOKUP(C130*1000000,'Mead-Elevation-Area'!$B$5:$H$689,7),"")</f>
        <v/>
      </c>
      <c r="D132" s="117" t="str">
        <f>IF(D$27&lt;&gt;"",VLOOKUP(D130*1000000,'Mead-Elevation-Area'!$B$5:$H$689,7),"")</f>
        <v/>
      </c>
      <c r="E132" s="117" t="str">
        <f>IF(E$27&lt;&gt;"",VLOOKUP(E130*1000000,'Mead-Elevation-Area'!$B$5:$H$689,7),"")</f>
        <v/>
      </c>
      <c r="F132" s="117" t="str">
        <f>IF(F$27&lt;&gt;"",VLOOKUP(F130*1000000,'Mead-Elevation-Area'!$B$5:$H$689,7),"")</f>
        <v/>
      </c>
      <c r="G132" s="117" t="str">
        <f>IF(G$27&lt;&gt;"",VLOOKUP(G130*1000000,'Mead-Elevation-Area'!$B$5:$H$689,7),"")</f>
        <v/>
      </c>
      <c r="H132" s="117" t="str">
        <f>IF(H$27&lt;&gt;"",VLOOKUP(H130*1000000,'Mead-Elevation-Area'!$B$5:$H$689,7),"")</f>
        <v/>
      </c>
      <c r="I132" s="117" t="str">
        <f>IF(I$27&lt;&gt;"",VLOOKUP(I130*1000000,'Mead-Elevation-Area'!$B$5:$H$689,7),"")</f>
        <v/>
      </c>
      <c r="J132" s="117" t="str">
        <f>IF(J$27&lt;&gt;"",VLOOKUP(J130*1000000,'Mead-Elevation-Area'!$B$5:$H$689,7),"")</f>
        <v/>
      </c>
      <c r="K132" s="117" t="str">
        <f>IF(K$27&lt;&gt;"",VLOOKUP(K130*1000000,'Mead-Elevation-Area'!$B$5:$H$689,7),"")</f>
        <v/>
      </c>
      <c r="L132" s="117" t="str">
        <f>IF(L$27&lt;&gt;"",VLOOKUP(L130*1000000,'Mead-Elevation-Area'!$B$5:$H$689,7),"")</f>
        <v/>
      </c>
    </row>
    <row r="133" spans="1:14" x14ac:dyDescent="0.35">
      <c r="A133" s="1" t="s">
        <v>319</v>
      </c>
      <c r="B133" s="1"/>
    </row>
    <row r="134" spans="1:14" x14ac:dyDescent="0.35">
      <c r="A134" s="32" t="s">
        <v>320</v>
      </c>
      <c r="B134" s="1"/>
      <c r="C134" s="14" t="str">
        <f>IF(C$27&lt;&gt;"",-C129+C37+C27-C61-VLOOKUP(C37*1000000,'Powell-Elevation-Area'!$B$5:$D$689,3)*$B$21/1000000,"")</f>
        <v/>
      </c>
      <c r="D134" s="14" t="str">
        <f>IF(D$27&lt;&gt;"",-D129+D37+D27-D61-VLOOKUP(D37*1000000,'Powell-Elevation-Area'!$B$5:$D$689,3)*$B$21/1000000,"")</f>
        <v/>
      </c>
      <c r="E134" s="14" t="str">
        <f>IF(E$27&lt;&gt;"",-E129+E37+E27-E61-VLOOKUP(E37*1000000,'Powell-Elevation-Area'!$B$5:$D$689,3)*$B$21/1000000,"")</f>
        <v/>
      </c>
      <c r="F134" s="14" t="str">
        <f>IF(F$27&lt;&gt;"",-F129+F37+F27-F61-VLOOKUP(F37*1000000,'Powell-Elevation-Area'!$B$5:$D$689,3)*$B$21/1000000,"")</f>
        <v/>
      </c>
      <c r="G134" s="14" t="str">
        <f>IF(G$27&lt;&gt;"",-G129+G37+G27-G61-VLOOKUP(G37*1000000,'Powell-Elevation-Area'!$B$5:$D$689,3)*$B$21/1000000,"")</f>
        <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327</v>
      </c>
      <c r="B135" s="1"/>
      <c r="C135" s="117" t="str">
        <f>IF(C$27&lt;&gt;"",VLOOKUP(C131,PowellReleaseTemperature!$A$5:$B$11,2),"")</f>
        <v/>
      </c>
      <c r="D135" s="117" t="str">
        <f>IF(D$27&lt;&gt;"",VLOOKUP(D131,PowellReleaseTemperature!$A$5:$B$11,2),"")</f>
        <v/>
      </c>
      <c r="E135" s="117" t="str">
        <f>IF(E$27&lt;&gt;"",VLOOKUP(E131,PowellReleaseTemperature!$A$5:$B$11,2),"")</f>
        <v/>
      </c>
      <c r="F135" s="117" t="str">
        <f>IF(F$27&lt;&gt;"",VLOOKUP(F131,PowellReleaseTemperature!$A$5:$B$11,2),"")</f>
        <v/>
      </c>
      <c r="G135" s="117" t="str">
        <f>IF(G$27&lt;&gt;"",VLOOKUP(G131,PowellReleaseTemperature!$A$5:$B$11,2),"")</f>
        <v/>
      </c>
      <c r="H135" s="117" t="str">
        <f>IF(H$27&lt;&gt;"",VLOOKUP(H131,PowellReleaseTemperature!$A$5:$B$11,2),"")</f>
        <v/>
      </c>
      <c r="I135" s="117" t="str">
        <f>IF(I$27&lt;&gt;"",VLOOKUP(I131,PowellReleaseTemperature!$A$5:$B$11,2),"")</f>
        <v/>
      </c>
      <c r="J135" s="117" t="str">
        <f>IF(J$27&lt;&gt;"",VLOOKUP(J131,PowellReleaseTemperature!$A$5:$B$11,2),"")</f>
        <v/>
      </c>
      <c r="K135" s="117" t="str">
        <f>IF(K$27&lt;&gt;"",VLOOKUP(K131,PowellReleaseTemperature!$A$5:$B$11,2),"")</f>
        <v/>
      </c>
      <c r="L135" s="117" t="str">
        <f>IF(L$27&lt;&gt;"",VLOOKUP(L131,PowellReleaseTemperature!$A$5:$B$11,2),"")</f>
        <v/>
      </c>
      <c r="N135" t="s">
        <v>326</v>
      </c>
    </row>
    <row r="136" spans="1:14" x14ac:dyDescent="0.35">
      <c r="C136" s="29"/>
    </row>
    <row r="137" spans="1:14" x14ac:dyDescent="0.35">
      <c r="A137" s="1" t="s">
        <v>125</v>
      </c>
      <c r="C137" s="12" t="str">
        <f>IF(C$27&lt;&gt;"",0.2,"")</f>
        <v/>
      </c>
      <c r="D137" s="12" t="str">
        <f t="shared" ref="D137:L137" si="53">IF(D$27&lt;&gt;"",0.2,"")</f>
        <v/>
      </c>
      <c r="E137" s="12" t="str">
        <f t="shared" si="53"/>
        <v/>
      </c>
      <c r="F137" s="12" t="str">
        <f t="shared" si="53"/>
        <v/>
      </c>
      <c r="G137" s="12" t="str">
        <f t="shared" si="53"/>
        <v/>
      </c>
      <c r="H137" s="12" t="str">
        <f t="shared" si="53"/>
        <v/>
      </c>
      <c r="I137" s="12" t="str">
        <f t="shared" si="53"/>
        <v/>
      </c>
      <c r="J137" s="12" t="str">
        <f t="shared" si="53"/>
        <v/>
      </c>
      <c r="K137" s="12" t="str">
        <f t="shared" si="53"/>
        <v/>
      </c>
      <c r="L137" s="12" t="str">
        <f t="shared" si="53"/>
        <v/>
      </c>
    </row>
    <row r="138" spans="1:14" x14ac:dyDescent="0.35">
      <c r="A138" t="s">
        <v>126</v>
      </c>
      <c r="C138" s="14" t="str">
        <f t="shared" ref="C138:L138" si="54">IF(C$27&lt;&gt;"",C115+C137,"")</f>
        <v/>
      </c>
      <c r="D138" s="14" t="str">
        <f t="shared" si="54"/>
        <v/>
      </c>
      <c r="E138" s="14" t="str">
        <f t="shared" si="54"/>
        <v/>
      </c>
      <c r="F138" s="14" t="str">
        <f t="shared" si="54"/>
        <v/>
      </c>
      <c r="G138" s="14" t="str">
        <f t="shared" si="54"/>
        <v/>
      </c>
      <c r="H138" s="14" t="str">
        <f t="shared" si="54"/>
        <v/>
      </c>
      <c r="I138" s="14" t="str">
        <f t="shared" si="54"/>
        <v/>
      </c>
      <c r="J138" s="14" t="str">
        <f t="shared" si="54"/>
        <v/>
      </c>
      <c r="K138" s="14" t="str">
        <f t="shared" si="54"/>
        <v/>
      </c>
      <c r="L138" s="14" t="str">
        <f t="shared" si="54"/>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D61">
    <cfRule type="cellIs" dxfId="288" priority="65" operator="greaterThan">
      <formula>$D$60</formula>
    </cfRule>
  </conditionalFormatting>
  <conditionalFormatting sqref="C61">
    <cfRule type="cellIs" dxfId="287" priority="63" operator="greaterThan">
      <formula>$C$60</formula>
    </cfRule>
  </conditionalFormatting>
  <conditionalFormatting sqref="E61">
    <cfRule type="cellIs" dxfId="286" priority="61" operator="greaterThan">
      <formula>$E$60</formula>
    </cfRule>
  </conditionalFormatting>
  <conditionalFormatting sqref="F61">
    <cfRule type="cellIs" dxfId="285" priority="60" operator="greaterThan">
      <formula>$F$60</formula>
    </cfRule>
  </conditionalFormatting>
  <conditionalFormatting sqref="G61">
    <cfRule type="cellIs" dxfId="284" priority="59" operator="greaterThan">
      <formula>$G$60</formula>
    </cfRule>
  </conditionalFormatting>
  <conditionalFormatting sqref="H61">
    <cfRule type="cellIs" dxfId="283" priority="58" operator="greaterThan">
      <formula>$H$60</formula>
    </cfRule>
  </conditionalFormatting>
  <conditionalFormatting sqref="I61">
    <cfRule type="cellIs" dxfId="282" priority="57" operator="greaterThan">
      <formula>$I$60</formula>
    </cfRule>
  </conditionalFormatting>
  <conditionalFormatting sqref="J61">
    <cfRule type="cellIs" dxfId="281" priority="56" operator="greaterThan">
      <formula>$J$60</formula>
    </cfRule>
  </conditionalFormatting>
  <conditionalFormatting sqref="K61">
    <cfRule type="cellIs" dxfId="280" priority="55" operator="greaterThan">
      <formula>$K$60</formula>
    </cfRule>
  </conditionalFormatting>
  <conditionalFormatting sqref="L61">
    <cfRule type="cellIs" dxfId="279" priority="54" operator="greaterThan">
      <formula>$L$60</formula>
    </cfRule>
  </conditionalFormatting>
  <conditionalFormatting sqref="C69">
    <cfRule type="cellIs" dxfId="278" priority="46" operator="greaterThan">
      <formula>$C$68</formula>
    </cfRule>
  </conditionalFormatting>
  <conditionalFormatting sqref="D69">
    <cfRule type="cellIs" dxfId="277" priority="45" operator="greaterThan">
      <formula>$D$68</formula>
    </cfRule>
  </conditionalFormatting>
  <conditionalFormatting sqref="E69">
    <cfRule type="cellIs" dxfId="276" priority="44" operator="greaterThan">
      <formula>$E$68</formula>
    </cfRule>
  </conditionalFormatting>
  <conditionalFormatting sqref="F69">
    <cfRule type="cellIs" dxfId="275" priority="43" operator="greaterThan">
      <formula>$F$68</formula>
    </cfRule>
  </conditionalFormatting>
  <conditionalFormatting sqref="G69">
    <cfRule type="cellIs" dxfId="274" priority="42" operator="greaterThan">
      <formula>$G$68</formula>
    </cfRule>
  </conditionalFormatting>
  <conditionalFormatting sqref="H69">
    <cfRule type="cellIs" dxfId="273" priority="41" operator="greaterThan">
      <formula>$H$68</formula>
    </cfRule>
  </conditionalFormatting>
  <conditionalFormatting sqref="I69">
    <cfRule type="cellIs" dxfId="272" priority="40" operator="greaterThan">
      <formula>$I$68</formula>
    </cfRule>
  </conditionalFormatting>
  <conditionalFormatting sqref="J69">
    <cfRule type="cellIs" dxfId="271" priority="39" operator="greaterThan">
      <formula>$J$68</formula>
    </cfRule>
  </conditionalFormatting>
  <conditionalFormatting sqref="K69">
    <cfRule type="cellIs" dxfId="270" priority="38" operator="greaterThan">
      <formula>$K$68</formula>
    </cfRule>
  </conditionalFormatting>
  <conditionalFormatting sqref="L69">
    <cfRule type="cellIs" dxfId="269" priority="37" operator="greaterThan">
      <formula>$L$68</formula>
    </cfRule>
  </conditionalFormatting>
  <conditionalFormatting sqref="C77">
    <cfRule type="cellIs" dxfId="268" priority="36" operator="greaterThan">
      <formula>$C$76</formula>
    </cfRule>
  </conditionalFormatting>
  <conditionalFormatting sqref="D77">
    <cfRule type="cellIs" dxfId="267" priority="35" operator="greaterThan">
      <formula>$D$76</formula>
    </cfRule>
  </conditionalFormatting>
  <conditionalFormatting sqref="E77">
    <cfRule type="cellIs" dxfId="266" priority="34" operator="greaterThan">
      <formula>$E$76</formula>
    </cfRule>
  </conditionalFormatting>
  <conditionalFormatting sqref="F77">
    <cfRule type="cellIs" dxfId="265" priority="33" operator="greaterThan">
      <formula>$F$76</formula>
    </cfRule>
  </conditionalFormatting>
  <conditionalFormatting sqref="G77">
    <cfRule type="cellIs" dxfId="264" priority="32" operator="greaterThan">
      <formula>$G$76</formula>
    </cfRule>
  </conditionalFormatting>
  <conditionalFormatting sqref="H77">
    <cfRule type="cellIs" dxfId="263" priority="31" operator="greaterThan">
      <formula>$H$76</formula>
    </cfRule>
  </conditionalFormatting>
  <conditionalFormatting sqref="I77">
    <cfRule type="cellIs" dxfId="262" priority="30" operator="greaterThan">
      <formula>$I$76</formula>
    </cfRule>
  </conditionalFormatting>
  <conditionalFormatting sqref="J77">
    <cfRule type="cellIs" dxfId="261" priority="29" operator="greaterThan">
      <formula>$J$76</formula>
    </cfRule>
  </conditionalFormatting>
  <conditionalFormatting sqref="K77">
    <cfRule type="cellIs" dxfId="260" priority="28" operator="greaterThan">
      <formula>$K$76</formula>
    </cfRule>
  </conditionalFormatting>
  <conditionalFormatting sqref="L77">
    <cfRule type="cellIs" dxfId="259" priority="27" operator="greaterThan">
      <formula>$L$76</formula>
    </cfRule>
  </conditionalFormatting>
  <conditionalFormatting sqref="C85:L85">
    <cfRule type="cellIs" dxfId="258" priority="26" operator="greaterThan">
      <formula>$C$84</formula>
    </cfRule>
  </conditionalFormatting>
  <conditionalFormatting sqref="C93">
    <cfRule type="cellIs" dxfId="257" priority="25" operator="greaterThan">
      <formula>$C$92</formula>
    </cfRule>
  </conditionalFormatting>
  <conditionalFormatting sqref="D93">
    <cfRule type="cellIs" dxfId="256" priority="24" operator="greaterThan">
      <formula>$D$92</formula>
    </cfRule>
  </conditionalFormatting>
  <conditionalFormatting sqref="E93">
    <cfRule type="cellIs" dxfId="255" priority="23" operator="greaterThan">
      <formula>$E$92</formula>
    </cfRule>
  </conditionalFormatting>
  <conditionalFormatting sqref="F93">
    <cfRule type="cellIs" dxfId="254" priority="22" operator="greaterThan">
      <formula>$F$92</formula>
    </cfRule>
  </conditionalFormatting>
  <conditionalFormatting sqref="G93">
    <cfRule type="cellIs" dxfId="253" priority="21" operator="greaterThan">
      <formula>$G$92</formula>
    </cfRule>
  </conditionalFormatting>
  <conditionalFormatting sqref="H93">
    <cfRule type="cellIs" dxfId="252" priority="20" operator="greaterThan">
      <formula>$H$92</formula>
    </cfRule>
  </conditionalFormatting>
  <conditionalFormatting sqref="I93">
    <cfRule type="cellIs" dxfId="251" priority="19" operator="greaterThan">
      <formula>$I$92</formula>
    </cfRule>
  </conditionalFormatting>
  <conditionalFormatting sqref="J93">
    <cfRule type="cellIs" dxfId="250" priority="18" operator="greaterThan">
      <formula>$J$92</formula>
    </cfRule>
  </conditionalFormatting>
  <conditionalFormatting sqref="K93">
    <cfRule type="cellIs" dxfId="249" priority="17" operator="greaterThan">
      <formula>$K$92</formula>
    </cfRule>
  </conditionalFormatting>
  <conditionalFormatting sqref="L93">
    <cfRule type="cellIs" dxfId="248" priority="16" operator="greaterThan">
      <formula>$L$92</formula>
    </cfRule>
  </conditionalFormatting>
  <conditionalFormatting sqref="C101">
    <cfRule type="cellIs" dxfId="247" priority="15" operator="greaterThan">
      <formula>$C$100</formula>
    </cfRule>
  </conditionalFormatting>
  <conditionalFormatting sqref="D101">
    <cfRule type="cellIs" dxfId="246" priority="14" operator="greaterThan">
      <formula>$D$100</formula>
    </cfRule>
  </conditionalFormatting>
  <conditionalFormatting sqref="E101">
    <cfRule type="cellIs" dxfId="245" priority="13" operator="greaterThan">
      <formula>$E$100</formula>
    </cfRule>
  </conditionalFormatting>
  <conditionalFormatting sqref="F101">
    <cfRule type="cellIs" dxfId="244" priority="12" operator="greaterThan">
      <formula>$F$100</formula>
    </cfRule>
  </conditionalFormatting>
  <conditionalFormatting sqref="G101">
    <cfRule type="cellIs" dxfId="243" priority="11" operator="greaterThan">
      <formula>$G$100</formula>
    </cfRule>
  </conditionalFormatting>
  <conditionalFormatting sqref="H101">
    <cfRule type="cellIs" dxfId="242" priority="10" operator="greaterThan">
      <formula>$H$100</formula>
    </cfRule>
  </conditionalFormatting>
  <conditionalFormatting sqref="I101">
    <cfRule type="cellIs" dxfId="241" priority="9" operator="greaterThan">
      <formula>$I$100</formula>
    </cfRule>
  </conditionalFormatting>
  <conditionalFormatting sqref="J101">
    <cfRule type="cellIs" dxfId="240" priority="8" operator="greaterThan">
      <formula>$J$100</formula>
    </cfRule>
  </conditionalFormatting>
  <conditionalFormatting sqref="K101">
    <cfRule type="cellIs" dxfId="239" priority="7" operator="greaterThan">
      <formula>$K$100</formula>
    </cfRule>
  </conditionalFormatting>
  <conditionalFormatting sqref="L101">
    <cfRule type="cellIs" dxfId="238"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4" id="{07F73B66-D5D7-48E3-BFE3-C46D62AE35E1}">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2" id="{51856275-C67A-494D-8999-32968763714F}">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3" id="{4FC82413-8CA6-466F-8356-7250FF84B1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2" id="{FDDA2E27-322E-4C79-B2F5-7BE490B384FB}">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1" id="{96C410E2-B353-4698-9148-E6950E845021}">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0" id="{076B8B40-27EB-4BF0-A0F6-AE944250E01E}">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49" id="{155B0F52-6A5A-4A97-8BD5-7BD71A1714FE}">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8" id="{13B7F938-E2C6-4199-8B29-F5536AD5A30B}">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7" id="{51E4A980-1527-411E-A50F-D74691EC0B73}">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ED783948-1DED-4ABD-BB55-606211B7705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ED1512ED-AF62-472F-81FA-A51F7C495E63}">
            <xm:f>PowellReleaseTemperature!$B$7</xm:f>
            <x14:dxf>
              <font>
                <color auto="1"/>
              </font>
              <fill>
                <patternFill>
                  <bgColor rgb="FFFF0000"/>
                </patternFill>
              </fill>
            </x14:dxf>
          </x14:cfRule>
          <x14:cfRule type="cellIs" priority="2" operator="equal" id="{6B5030BE-4A63-4258-A1F0-74BFEEB3C65D}">
            <xm:f>PowellReleaseTemperature!$B$8</xm:f>
            <x14:dxf>
              <font>
                <color rgb="FF9C0006"/>
              </font>
              <fill>
                <patternFill>
                  <bgColor rgb="FFFFC7CE"/>
                </patternFill>
              </fill>
            </x14:dxf>
          </x14:cfRule>
          <x14:cfRule type="cellIs" priority="3" operator="equal" id="{58F5EB0F-83BE-4CDE-B4EB-6B187F5B9833}">
            <xm:f>PowellReleaseTemperature!$B$9</xm:f>
            <x14:dxf>
              <font>
                <color auto="1"/>
              </font>
              <fill>
                <patternFill>
                  <bgColor theme="4" tint="0.39994506668294322"/>
                </patternFill>
              </fill>
            </x14:dxf>
          </x14:cfRule>
          <x14:cfRule type="cellIs" priority="4" operator="equal" id="{FA739986-B770-42B3-9D58-DE2A4C2A124D}">
            <xm:f>PowellReleaseTemperature!$B$10</xm:f>
            <x14:dxf>
              <font>
                <color auto="1"/>
              </font>
              <fill>
                <patternFill>
                  <bgColor theme="8" tint="-0.499984740745262"/>
                </patternFill>
              </fill>
            </x14:dxf>
          </x14:cfRule>
          <xm:sqref>C135:L135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0"/>
  <sheetViews>
    <sheetView topLeftCell="A46" zoomScale="150" zoomScaleNormal="150" workbookViewId="0">
      <selection activeCell="C48" sqref="C48:C53"/>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65" t="s">
        <v>152</v>
      </c>
      <c r="B3" s="165"/>
      <c r="C3" s="165"/>
      <c r="D3" s="165"/>
      <c r="E3" s="165"/>
      <c r="F3" s="165"/>
      <c r="G3" s="165"/>
      <c r="H3" s="73"/>
      <c r="I3" s="73"/>
      <c r="J3" s="73"/>
      <c r="K3" s="73"/>
    </row>
    <row r="4" spans="1:11" x14ac:dyDescent="0.35">
      <c r="A4" s="59" t="s">
        <v>38</v>
      </c>
      <c r="B4" s="59" t="s">
        <v>42</v>
      </c>
      <c r="C4" s="166" t="s">
        <v>43</v>
      </c>
      <c r="D4" s="167"/>
      <c r="E4" s="167"/>
      <c r="F4" s="167"/>
      <c r="G4" s="168"/>
    </row>
    <row r="5" spans="1:11" x14ac:dyDescent="0.35">
      <c r="A5" s="74" t="s">
        <v>51</v>
      </c>
      <c r="B5" s="74"/>
      <c r="C5" s="169"/>
      <c r="D5" s="169"/>
      <c r="E5" s="169"/>
      <c r="F5" s="169"/>
      <c r="G5" s="169"/>
    </row>
    <row r="6" spans="1:11" x14ac:dyDescent="0.35">
      <c r="A6" s="72" t="s">
        <v>39</v>
      </c>
      <c r="B6" s="72" t="s">
        <v>156</v>
      </c>
      <c r="C6" s="170" t="s">
        <v>200</v>
      </c>
      <c r="D6" s="170"/>
      <c r="E6" s="170"/>
      <c r="F6" s="170"/>
      <c r="G6" s="170"/>
    </row>
    <row r="7" spans="1:11" x14ac:dyDescent="0.35">
      <c r="A7" s="72" t="s">
        <v>40</v>
      </c>
      <c r="B7" s="72" t="s">
        <v>156</v>
      </c>
      <c r="C7" s="170" t="s">
        <v>199</v>
      </c>
      <c r="D7" s="170"/>
      <c r="E7" s="170"/>
      <c r="F7" s="170"/>
      <c r="G7" s="170"/>
    </row>
    <row r="8" spans="1:11" x14ac:dyDescent="0.35">
      <c r="A8" s="72" t="s">
        <v>41</v>
      </c>
      <c r="B8" s="72" t="s">
        <v>156</v>
      </c>
      <c r="C8" s="170" t="s">
        <v>201</v>
      </c>
      <c r="D8" s="170"/>
      <c r="E8" s="170"/>
      <c r="F8" s="170"/>
      <c r="G8" s="170"/>
    </row>
    <row r="9" spans="1:11" x14ac:dyDescent="0.35">
      <c r="A9" s="141" t="s">
        <v>160</v>
      </c>
      <c r="B9" s="141" t="s">
        <v>156</v>
      </c>
      <c r="C9" s="164" t="s">
        <v>187</v>
      </c>
      <c r="D9" s="164"/>
      <c r="E9" s="164"/>
      <c r="F9" s="164"/>
      <c r="G9" s="164"/>
    </row>
    <row r="10" spans="1:11" x14ac:dyDescent="0.35">
      <c r="A10" s="72"/>
      <c r="B10" s="72"/>
      <c r="C10" s="164"/>
      <c r="D10" s="164"/>
      <c r="E10" s="164"/>
      <c r="F10" s="164"/>
      <c r="G10" s="164"/>
    </row>
    <row r="11" spans="1:11" x14ac:dyDescent="0.35">
      <c r="A11" s="72"/>
      <c r="B11" s="72"/>
      <c r="C11" s="164"/>
      <c r="D11" s="164"/>
      <c r="E11" s="164"/>
      <c r="F11" s="164"/>
      <c r="G11" s="164"/>
    </row>
    <row r="12" spans="1:11" x14ac:dyDescent="0.35">
      <c r="A12" s="16"/>
      <c r="B12" s="2"/>
      <c r="C12"/>
    </row>
    <row r="13" spans="1:11" x14ac:dyDescent="0.35">
      <c r="A13" s="19" t="s">
        <v>45</v>
      </c>
      <c r="B13" s="159" t="s">
        <v>207</v>
      </c>
      <c r="C13" s="160"/>
      <c r="D13" s="160"/>
      <c r="E13" s="160"/>
    </row>
    <row r="14" spans="1:11" x14ac:dyDescent="0.35">
      <c r="B14" s="161" t="s">
        <v>188</v>
      </c>
      <c r="C14" s="161"/>
      <c r="D14" s="161"/>
      <c r="E14" s="161"/>
    </row>
    <row r="15" spans="1:11" x14ac:dyDescent="0.35">
      <c r="B15" s="162" t="s">
        <v>46</v>
      </c>
      <c r="C15" s="163"/>
      <c r="D15" s="163"/>
      <c r="E15" s="163"/>
    </row>
    <row r="17" spans="1:14" x14ac:dyDescent="0.35">
      <c r="A17" s="1" t="s">
        <v>53</v>
      </c>
      <c r="D17" s="20" t="s">
        <v>157</v>
      </c>
    </row>
    <row r="19" spans="1:14" x14ac:dyDescent="0.35">
      <c r="A19" s="1" t="s">
        <v>32</v>
      </c>
      <c r="B19" s="1" t="s">
        <v>110</v>
      </c>
      <c r="C19" s="13" t="s">
        <v>111</v>
      </c>
    </row>
    <row r="20" spans="1:14" x14ac:dyDescent="0.35">
      <c r="A20" t="s">
        <v>109</v>
      </c>
      <c r="B20" s="12">
        <v>5.73</v>
      </c>
      <c r="C20" s="12">
        <v>6</v>
      </c>
      <c r="D20" s="23" t="s">
        <v>112</v>
      </c>
    </row>
    <row r="21" spans="1:14" x14ac:dyDescent="0.35">
      <c r="A21" t="s">
        <v>141</v>
      </c>
      <c r="B21" s="12">
        <v>11</v>
      </c>
      <c r="C21" s="12">
        <v>10.1</v>
      </c>
      <c r="D21" s="11" t="s">
        <v>34</v>
      </c>
    </row>
    <row r="22" spans="1:14" x14ac:dyDescent="0.35">
      <c r="A22" t="s">
        <v>195</v>
      </c>
      <c r="B22" s="70">
        <v>3525</v>
      </c>
      <c r="C22" s="70">
        <v>1020</v>
      </c>
      <c r="D22" s="11"/>
    </row>
    <row r="23" spans="1:14" x14ac:dyDescent="0.35">
      <c r="A23" t="s">
        <v>178</v>
      </c>
      <c r="B23" s="12">
        <f>VLOOKUP(B22,'Powell-Elevation-Area'!$A$5:$B$689,2)/1000000</f>
        <v>5.9265762500000001</v>
      </c>
      <c r="C23" s="12">
        <f>VLOOKUP(C22,'Mead-Elevation-Area'!$A$5:$B$689,2)/1000000</f>
        <v>5.664593</v>
      </c>
      <c r="D23" s="11"/>
      <c r="E23" s="46"/>
    </row>
    <row r="25" spans="1:14" s="1" customFormat="1" x14ac:dyDescent="0.35">
      <c r="A25" s="55" t="s">
        <v>35</v>
      </c>
      <c r="B25" s="55" t="s">
        <v>48</v>
      </c>
      <c r="C25" s="56" t="s">
        <v>5</v>
      </c>
      <c r="D25" s="56" t="s">
        <v>6</v>
      </c>
      <c r="E25" s="56" t="s">
        <v>7</v>
      </c>
      <c r="F25" s="56" t="s">
        <v>8</v>
      </c>
      <c r="G25" s="56" t="s">
        <v>9</v>
      </c>
      <c r="H25" s="56" t="s">
        <v>10</v>
      </c>
      <c r="I25" s="56" t="s">
        <v>11</v>
      </c>
      <c r="J25" s="56" t="s">
        <v>12</v>
      </c>
      <c r="K25" s="56" t="s">
        <v>36</v>
      </c>
      <c r="L25" s="56" t="s">
        <v>37</v>
      </c>
      <c r="M25" s="56" t="s">
        <v>107</v>
      </c>
      <c r="N25" s="56" t="s">
        <v>175</v>
      </c>
    </row>
    <row r="26" spans="1:14" x14ac:dyDescent="0.35">
      <c r="A26" s="1" t="s">
        <v>44</v>
      </c>
      <c r="B26" s="1"/>
      <c r="C26" s="45">
        <v>11</v>
      </c>
      <c r="D26" s="45">
        <v>9</v>
      </c>
      <c r="E26" s="45">
        <v>8.1</v>
      </c>
      <c r="F26" s="45">
        <v>8.1</v>
      </c>
      <c r="G26" s="45">
        <v>8.1</v>
      </c>
      <c r="H26" s="45"/>
      <c r="I26" s="45"/>
      <c r="J26" s="45"/>
      <c r="K26" s="45"/>
      <c r="L26" s="45"/>
    </row>
    <row r="27" spans="1:14" x14ac:dyDescent="0.35">
      <c r="A27" s="1" t="s">
        <v>121</v>
      </c>
      <c r="B27" s="1"/>
      <c r="C27" s="12">
        <f>IF(C$26&lt;&gt;"",0.8,"")</f>
        <v>0.8</v>
      </c>
      <c r="D27" s="12">
        <f t="shared" ref="D27:L27" si="0">IF(D$26&lt;&gt;"",0.8,"")</f>
        <v>0.8</v>
      </c>
      <c r="E27" s="12">
        <f t="shared" si="0"/>
        <v>0.8</v>
      </c>
      <c r="F27" s="12">
        <f t="shared" si="0"/>
        <v>0.8</v>
      </c>
      <c r="G27" s="12">
        <f t="shared" si="0"/>
        <v>0.8</v>
      </c>
      <c r="H27" s="12" t="str">
        <f t="shared" si="0"/>
        <v/>
      </c>
      <c r="I27" s="12" t="str">
        <f t="shared" si="0"/>
        <v/>
      </c>
      <c r="J27" s="12" t="str">
        <f t="shared" si="0"/>
        <v/>
      </c>
      <c r="K27" s="12" t="str">
        <f t="shared" si="0"/>
        <v/>
      </c>
      <c r="L27" s="12" t="str">
        <f t="shared" si="0"/>
        <v/>
      </c>
    </row>
    <row r="28" spans="1:14" x14ac:dyDescent="0.35">
      <c r="A28" s="1" t="s">
        <v>331</v>
      </c>
      <c r="B28" s="1"/>
      <c r="C28" s="12">
        <f>IF(C$26&lt;&gt;"",0.6,"")</f>
        <v>0.6</v>
      </c>
      <c r="D28" s="12">
        <f t="shared" ref="D28:L28" si="1">IF(D$26&lt;&gt;"",0.6,"")</f>
        <v>0.6</v>
      </c>
      <c r="E28" s="12">
        <f t="shared" si="1"/>
        <v>0.6</v>
      </c>
      <c r="F28" s="12">
        <f t="shared" si="1"/>
        <v>0.6</v>
      </c>
      <c r="G28" s="12">
        <f t="shared" si="1"/>
        <v>0.6</v>
      </c>
      <c r="H28" s="12" t="str">
        <f t="shared" si="1"/>
        <v/>
      </c>
      <c r="I28" s="12" t="str">
        <f t="shared" si="1"/>
        <v/>
      </c>
      <c r="J28" s="12" t="str">
        <f t="shared" si="1"/>
        <v/>
      </c>
      <c r="K28" s="12" t="str">
        <f t="shared" si="1"/>
        <v/>
      </c>
      <c r="L28" s="12" t="str">
        <f t="shared" si="1"/>
        <v/>
      </c>
    </row>
    <row r="29" spans="1:14" x14ac:dyDescent="0.35">
      <c r="A29" s="1" t="s">
        <v>124</v>
      </c>
      <c r="B29" s="14">
        <f>SUM(B30:B35)-SUM(B21:C21)</f>
        <v>0</v>
      </c>
      <c r="C29" s="14">
        <f>IF(C$26&lt;&gt;"",SUM(B21:C21),"")</f>
        <v>21.1</v>
      </c>
      <c r="D29" s="14">
        <f ca="1">IF(D$26&lt;&gt;"",C127,"")</f>
        <v>19.278102320000027</v>
      </c>
      <c r="E29" s="14">
        <f t="shared" ref="E29:L29" ca="1" si="2">IF(E$26&lt;&gt;"",D127,"")</f>
        <v>16.611442566000601</v>
      </c>
      <c r="F29" s="14">
        <f t="shared" ca="1" si="2"/>
        <v>14.115209246000601</v>
      </c>
      <c r="G29" s="14">
        <f t="shared" ca="1" si="2"/>
        <v>13.099989028500001</v>
      </c>
      <c r="H29" s="14" t="str">
        <f t="shared" si="2"/>
        <v/>
      </c>
      <c r="I29" s="14" t="str">
        <f t="shared" si="2"/>
        <v/>
      </c>
      <c r="J29" s="14" t="str">
        <f t="shared" si="2"/>
        <v/>
      </c>
      <c r="K29" s="14" t="str">
        <f t="shared" si="2"/>
        <v/>
      </c>
      <c r="L29" s="14" t="str">
        <f t="shared" si="2"/>
        <v/>
      </c>
    </row>
    <row r="30" spans="1:14" x14ac:dyDescent="0.35">
      <c r="A30" t="str">
        <f>IF(A6="","","    "&amp;A6&amp;" Balance")</f>
        <v xml:space="preserve">    Upper Basin Balance</v>
      </c>
      <c r="B30" s="53">
        <f>B21-B23</f>
        <v>5.0734237499999999</v>
      </c>
      <c r="C30" s="14">
        <f>IF(OR(C$26="",$A30=""),"",B30)</f>
        <v>5.0734237499999999</v>
      </c>
      <c r="D30" s="14">
        <f ca="1">IF(OR(D$26="",$A30=""),"",C121)</f>
        <v>3.5040452368981789</v>
      </c>
      <c r="E30" s="14">
        <f t="shared" ref="E30:L30" ca="1" si="3">IF(OR(E$26="",$A30=""),"",D121)</f>
        <v>1.8046756171877996</v>
      </c>
      <c r="F30" s="14">
        <f t="shared" ca="1" si="3"/>
        <v>1.5073083708761699</v>
      </c>
      <c r="G30" s="14">
        <f t="shared" ca="1" si="3"/>
        <v>0.82025417022418101</v>
      </c>
      <c r="H30" s="14" t="str">
        <f t="shared" si="3"/>
        <v/>
      </c>
      <c r="I30" s="14" t="str">
        <f t="shared" si="3"/>
        <v/>
      </c>
      <c r="J30" s="14" t="str">
        <f t="shared" si="3"/>
        <v/>
      </c>
      <c r="K30" s="14" t="str">
        <f t="shared" si="3"/>
        <v/>
      </c>
      <c r="L30" s="14" t="str">
        <f t="shared" si="3"/>
        <v/>
      </c>
      <c r="N30" t="s">
        <v>180</v>
      </c>
    </row>
    <row r="31" spans="1:14" x14ac:dyDescent="0.35">
      <c r="A31" t="str">
        <f>IF(A7="","","    "&amp;A7&amp;" Balance")</f>
        <v xml:space="preserve">    Lower Basin Balance</v>
      </c>
      <c r="B31" s="53">
        <f>C21-C23-B32</f>
        <v>4.2614069999999993</v>
      </c>
      <c r="C31" s="14">
        <f t="shared" ref="C31:C35" si="4">IF(OR(C$26="",$A31=""),"",B31)</f>
        <v>4.2614069999999993</v>
      </c>
      <c r="D31" s="14">
        <f t="shared" ref="D31:L31" ca="1" si="5">IF(OR(D$26="",$A31=""),"",C122)</f>
        <v>4.0699815232907888</v>
      </c>
      <c r="E31" s="14">
        <f t="shared" ca="1" si="5"/>
        <v>2.8610195042827629</v>
      </c>
      <c r="F31" s="14">
        <f t="shared" ca="1" si="5"/>
        <v>0.86795057260783626</v>
      </c>
      <c r="G31" s="14">
        <f t="shared" ca="1" si="5"/>
        <v>0.63504403319325053</v>
      </c>
      <c r="H31" s="14" t="str">
        <f t="shared" si="5"/>
        <v/>
      </c>
      <c r="I31" s="14" t="str">
        <f t="shared" si="5"/>
        <v/>
      </c>
      <c r="J31" s="14" t="str">
        <f t="shared" si="5"/>
        <v/>
      </c>
      <c r="K31" s="14" t="str">
        <f t="shared" si="5"/>
        <v/>
      </c>
      <c r="L31" s="14" t="str">
        <f t="shared" si="5"/>
        <v/>
      </c>
      <c r="N31" t="s">
        <v>177</v>
      </c>
    </row>
    <row r="32" spans="1:14" x14ac:dyDescent="0.35">
      <c r="A32" t="str">
        <f>IF(A8="","","    "&amp;A8&amp;" Balance")</f>
        <v xml:space="preserve">    Mexico Balance</v>
      </c>
      <c r="B32" s="69">
        <v>0.17399999999999999</v>
      </c>
      <c r="C32" s="57">
        <f t="shared" si="4"/>
        <v>0.17399999999999999</v>
      </c>
      <c r="D32" s="57">
        <f t="shared" ref="D32:L32" ca="1" si="6">IF(OR(D$26="",$A32=""),"",C123)</f>
        <v>0.11290630981105854</v>
      </c>
      <c r="E32" s="57">
        <f t="shared" ca="1" si="6"/>
        <v>0.35457819453003792</v>
      </c>
      <c r="F32" s="57">
        <f t="shared" ca="1" si="6"/>
        <v>0.14878105251659535</v>
      </c>
      <c r="G32" s="57">
        <f t="shared" ca="1" si="6"/>
        <v>5.3521575082570605E-2</v>
      </c>
      <c r="H32" s="14" t="str">
        <f t="shared" si="6"/>
        <v/>
      </c>
      <c r="I32" s="14" t="str">
        <f t="shared" si="6"/>
        <v/>
      </c>
      <c r="J32" s="14" t="str">
        <f t="shared" si="6"/>
        <v/>
      </c>
      <c r="K32" s="14" t="str">
        <f t="shared" si="6"/>
        <v/>
      </c>
      <c r="L32" s="14" t="str">
        <f t="shared" si="6"/>
        <v/>
      </c>
      <c r="N32" t="s">
        <v>176</v>
      </c>
    </row>
    <row r="33" spans="1:14" x14ac:dyDescent="0.35">
      <c r="A33" t="str">
        <f>IF(A9="","","    "&amp;A9&amp;" Balance")</f>
        <v xml:space="preserve">    Shared, Reserve Balance</v>
      </c>
      <c r="B33" s="53">
        <f>SUM(B23:C23)</f>
        <v>11.59116925</v>
      </c>
      <c r="C33" s="14">
        <f t="shared" si="4"/>
        <v>11.59116925</v>
      </c>
      <c r="D33" s="14">
        <f t="shared" ref="D33:L33" ca="1" si="7">IF(OR(D$26="",$A33=""),"",C124)</f>
        <v>11.59116925</v>
      </c>
      <c r="E33" s="14">
        <f t="shared" ca="1" si="7"/>
        <v>11.59116925</v>
      </c>
      <c r="F33" s="14">
        <f t="shared" ca="1" si="7"/>
        <v>11.59116925</v>
      </c>
      <c r="G33" s="14">
        <f t="shared" ca="1" si="7"/>
        <v>11.59116925</v>
      </c>
      <c r="H33" s="14" t="str">
        <f t="shared" si="7"/>
        <v/>
      </c>
      <c r="I33" s="14" t="str">
        <f t="shared" si="7"/>
        <v/>
      </c>
      <c r="J33" s="14" t="str">
        <f t="shared" si="7"/>
        <v/>
      </c>
      <c r="K33" s="14" t="str">
        <f t="shared" si="7"/>
        <v/>
      </c>
      <c r="L33" s="14" t="str">
        <f t="shared" si="7"/>
        <v/>
      </c>
    </row>
    <row r="34" spans="1:14" x14ac:dyDescent="0.35">
      <c r="A34" t="str">
        <f>IF(A10="","","    "&amp;A10&amp;" Balance")</f>
        <v/>
      </c>
      <c r="B34" s="53"/>
      <c r="C34" s="14" t="str">
        <f t="shared" si="4"/>
        <v/>
      </c>
      <c r="D34" s="14" t="str">
        <f t="shared" ref="D34:L34" si="8">IF(OR(D$26="",$A34=""),"",C125)</f>
        <v/>
      </c>
      <c r="E34" s="14" t="str">
        <f t="shared" si="8"/>
        <v/>
      </c>
      <c r="F34" s="14" t="str">
        <f t="shared" si="8"/>
        <v/>
      </c>
      <c r="G34" s="14" t="str">
        <f t="shared" si="8"/>
        <v/>
      </c>
      <c r="H34" s="14" t="str">
        <f t="shared" si="8"/>
        <v/>
      </c>
      <c r="I34" s="14" t="str">
        <f t="shared" si="8"/>
        <v/>
      </c>
      <c r="J34" s="14" t="str">
        <f t="shared" si="8"/>
        <v/>
      </c>
      <c r="K34" s="14" t="str">
        <f t="shared" si="8"/>
        <v/>
      </c>
      <c r="L34" s="14" t="str">
        <f t="shared" si="8"/>
        <v/>
      </c>
      <c r="N34" t="s">
        <v>179</v>
      </c>
    </row>
    <row r="35" spans="1:14" x14ac:dyDescent="0.35">
      <c r="A35" t="str">
        <f>IF(A11="","","    "&amp;A11&amp;" Balance")</f>
        <v/>
      </c>
      <c r="B35" s="54"/>
      <c r="C35" s="14" t="str">
        <f t="shared" si="4"/>
        <v/>
      </c>
      <c r="D35" s="14" t="str">
        <f t="shared" ref="D35:L35" si="9">IF(OR(D$26="",$A35=""),"",C126)</f>
        <v/>
      </c>
      <c r="E35" s="14" t="str">
        <f t="shared" si="9"/>
        <v/>
      </c>
      <c r="F35" s="14" t="str">
        <f t="shared" si="9"/>
        <v/>
      </c>
      <c r="G35" s="14" t="str">
        <f t="shared" si="9"/>
        <v/>
      </c>
      <c r="H35" s="14" t="str">
        <f t="shared" si="9"/>
        <v/>
      </c>
      <c r="I35" s="14" t="str">
        <f t="shared" si="9"/>
        <v/>
      </c>
      <c r="J35" s="14" t="str">
        <f t="shared" si="9"/>
        <v/>
      </c>
      <c r="K35" s="14" t="str">
        <f t="shared" si="9"/>
        <v/>
      </c>
      <c r="L35" s="14" t="str">
        <f t="shared" si="9"/>
        <v/>
      </c>
    </row>
    <row r="36" spans="1:14" x14ac:dyDescent="0.35">
      <c r="A36" s="1" t="s">
        <v>205</v>
      </c>
      <c r="C36"/>
    </row>
    <row r="37" spans="1:14" x14ac:dyDescent="0.35">
      <c r="A37" t="s">
        <v>113</v>
      </c>
      <c r="C37" s="14">
        <f>IF(C$26&lt;&gt;"",B21,"")</f>
        <v>11</v>
      </c>
      <c r="D37" s="14">
        <f ca="1">IF(D$26&lt;&gt;"",C129,"")</f>
        <v>9.6390511600000135</v>
      </c>
      <c r="E37" s="14">
        <f t="shared" ref="E37:G37" ca="1" si="10">IF(E$26&lt;&gt;"",D129,"")</f>
        <v>10.797437667900391</v>
      </c>
      <c r="F37" s="14">
        <f t="shared" ca="1" si="10"/>
        <v>11.997927859100511</v>
      </c>
      <c r="G37" s="14">
        <f t="shared" ca="1" si="10"/>
        <v>6.5499945142500007</v>
      </c>
      <c r="H37" s="14" t="str">
        <f>IF(H26&lt;&gt;"",$B37*H$29,"")</f>
        <v/>
      </c>
      <c r="I37" s="14" t="str">
        <f>IF(I26&lt;&gt;"",$B37*I$29,"")</f>
        <v/>
      </c>
      <c r="J37" s="14" t="str">
        <f>IF(J26&lt;&gt;"",$B37*J$29,"")</f>
        <v/>
      </c>
      <c r="K37" s="14" t="str">
        <f>IF(K26&lt;&gt;"",$B37*K$29,"")</f>
        <v/>
      </c>
      <c r="L37" s="14" t="str">
        <f>IF(L26&lt;&gt;"",$B37*L$29,"")</f>
        <v/>
      </c>
    </row>
    <row r="38" spans="1:14" x14ac:dyDescent="0.35">
      <c r="A38" t="s">
        <v>114</v>
      </c>
      <c r="C38" s="14">
        <f>IF(C$26&lt;&gt;"",C21,"")</f>
        <v>10.1</v>
      </c>
      <c r="D38" s="14">
        <f ca="1">IF(D$26&lt;&gt;"",C130,"")</f>
        <v>9.6390511600000135</v>
      </c>
      <c r="E38" s="14">
        <f t="shared" ref="E38:G38" ca="1" si="11">IF(E$26&lt;&gt;"",D130,"")</f>
        <v>5.8140048981002099</v>
      </c>
      <c r="F38" s="14">
        <f t="shared" ca="1" si="11"/>
        <v>2.1172813869000904</v>
      </c>
      <c r="G38" s="14">
        <f t="shared" ca="1" si="11"/>
        <v>6.5499945142500007</v>
      </c>
      <c r="H38" s="14" t="str">
        <f>IF(H27&lt;&gt;"",$B38*H$29,"")</f>
        <v/>
      </c>
      <c r="I38" s="14" t="str">
        <f>IF(I27&lt;&gt;"",$B38*I$29,"")</f>
        <v/>
      </c>
      <c r="J38" s="14" t="str">
        <f>IF(J27&lt;&gt;"",$B38*J$29,"")</f>
        <v/>
      </c>
      <c r="K38" s="14" t="str">
        <f>IF(K27&lt;&gt;"",$B38*K$29,"")</f>
        <v/>
      </c>
      <c r="L38" s="14" t="str">
        <f>IF(L27&lt;&gt;"",$B38*L$29,"")</f>
        <v/>
      </c>
    </row>
    <row r="39" spans="1:14" x14ac:dyDescent="0.35">
      <c r="A39" s="1" t="s">
        <v>119</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0.81522021750060003</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IF(A6="","","    "&amp;A6&amp;" Share")</f>
        <v xml:space="preserve">    Upper Basin Share</v>
      </c>
      <c r="B40" s="1"/>
      <c r="C40" s="14">
        <f>IF(OR(C$26="",$A40=""),"",C$39*C30/C$29)</f>
        <v>0.24571184643515467</v>
      </c>
      <c r="D40" s="14">
        <f t="shared" ref="D40:L40" ca="1" si="12">IF(OR(D$26="",$A40=""),"",D$39*D30/D$29)</f>
        <v>0.17570295304371292</v>
      </c>
      <c r="E40" s="14">
        <f t="shared" ca="1" si="12"/>
        <v>9.7367246311629713E-2</v>
      </c>
      <c r="F40" s="14">
        <f t="shared" ca="1" si="12"/>
        <v>8.7054200651988961E-2</v>
      </c>
      <c r="G40" s="14">
        <f t="shared" ca="1" si="12"/>
        <v>4.8425832605302949E-2</v>
      </c>
      <c r="H40" s="14" t="str">
        <f t="shared" si="12"/>
        <v/>
      </c>
      <c r="I40" s="14" t="str">
        <f t="shared" si="12"/>
        <v/>
      </c>
      <c r="J40" s="14" t="str">
        <f t="shared" si="12"/>
        <v/>
      </c>
      <c r="K40" s="14" t="str">
        <f t="shared" si="12"/>
        <v/>
      </c>
      <c r="L40" s="14" t="str">
        <f t="shared" si="12"/>
        <v/>
      </c>
    </row>
    <row r="41" spans="1:14" x14ac:dyDescent="0.35">
      <c r="A41" t="str">
        <f>IF(A7="","","    "&amp;A7&amp;" Share")</f>
        <v xml:space="preserve">    Lower Basin Share</v>
      </c>
      <c r="B41" s="1"/>
      <c r="C41" s="14">
        <f>IF(OR(C$26="",$A41=""),"",C$39*C31/C$29)</f>
        <v>0.20638492544244763</v>
      </c>
      <c r="D41" s="14">
        <f ca="1">IF(OR(D$26="",$A41=""),"",D$39*D31/D$29)</f>
        <v>0.2040806337045358</v>
      </c>
      <c r="E41" s="14">
        <f ca="1">IF(OR(E$26="",$A41=""),"",E$39*E31/E$29)</f>
        <v>0.15435992381277225</v>
      </c>
      <c r="F41" s="14">
        <f ca="1">IF(OR(F$26="",$A41=""),"",F$39*F31/F$29)</f>
        <v>5.0128258267344739E-2</v>
      </c>
      <c r="G41" s="14">
        <f ca="1">IF(OR(G$26="",$A41=""),"",G$39*G31/G$29)</f>
        <v>3.7491471747114584E-2</v>
      </c>
      <c r="H41" s="14" t="str">
        <f>IF(OR(H$26="",$A41=""),"",H$39*H31/H$29)</f>
        <v/>
      </c>
      <c r="I41" s="14" t="str">
        <f>IF(OR(I$26="",$A41=""),"",I$39*I31/I$29)</f>
        <v/>
      </c>
      <c r="J41" s="14" t="str">
        <f>IF(OR(J$26="",$A41=""),"",J$39*J31/J$29)</f>
        <v/>
      </c>
      <c r="K41" s="14" t="str">
        <f>IF(OR(K$26="",$A41=""),"",K$39*K31/K$29)</f>
        <v/>
      </c>
      <c r="L41" s="14" t="str">
        <f>IF(OR(L$26="",$A41=""),"",L$39*L31/L$29)</f>
        <v/>
      </c>
    </row>
    <row r="42" spans="1:14" x14ac:dyDescent="0.35">
      <c r="A42" t="str">
        <f>IF(A8="","","    "&amp;A8&amp;" Share")</f>
        <v xml:space="preserve">    Mexico Share</v>
      </c>
      <c r="B42" s="1"/>
      <c r="C42" s="14">
        <f>IF(OR(C$26="",$A42=""),"",C$39*C32/C$29)</f>
        <v>8.4270235222746598E-3</v>
      </c>
      <c r="D42" s="14">
        <f ca="1">IF(OR(D$26="",$A42=""),"",D$39*D32/D$29)</f>
        <v>5.6614486143541122E-3</v>
      </c>
      <c r="E42" s="14">
        <f ca="1">IF(OR(E$26="",$A42=""),"",E$39*E32/E$29)</f>
        <v>1.9130475346776109E-2</v>
      </c>
      <c r="F42" s="14">
        <f ca="1">IF(OR(F$26="",$A42=""),"",F$39*F32/F$29)</f>
        <v>8.592810767358133E-3</v>
      </c>
      <c r="G42" s="14">
        <f ca="1">IF(OR(G$26="",$A42=""),"",G$39*G32/G$29)</f>
        <v>3.159785015189077E-3</v>
      </c>
      <c r="H42" s="14" t="str">
        <f>IF(OR(H$26="",$A42=""),"",H$39*H32/H$29)</f>
        <v/>
      </c>
      <c r="I42" s="14" t="str">
        <f>IF(OR(I$26="",$A42=""),"",I$39*I32/I$29)</f>
        <v/>
      </c>
      <c r="J42" s="14" t="str">
        <f>IF(OR(J$26="",$A42=""),"",J$39*J32/J$29)</f>
        <v/>
      </c>
      <c r="K42" s="14" t="str">
        <f>IF(OR(K$26="",$A42=""),"",K$39*K32/K$29)</f>
        <v/>
      </c>
      <c r="L42" s="14" t="str">
        <f>IF(OR(L$26="",$A42=""),"",L$39*L32/L$29)</f>
        <v/>
      </c>
    </row>
    <row r="43" spans="1:14" x14ac:dyDescent="0.35">
      <c r="A43" t="str">
        <f>IF(A9="","","    "&amp;A9&amp;" Share")</f>
        <v xml:space="preserve">    Shared, Reserve Share</v>
      </c>
      <c r="B43" s="1"/>
      <c r="C43" s="14">
        <f>IF(OR(C$26="",$A43=""),"",C$39*C33/C$29)</f>
        <v>0.56137388460009618</v>
      </c>
      <c r="D43" s="14">
        <f ca="1">IF(OR(D$26="",$A43=""),"",D$39*D33/D$29)</f>
        <v>0.58121471863682417</v>
      </c>
      <c r="E43" s="14">
        <f ca="1">IF(OR(E$26="",$A43=""),"",E$39*E33/E$29)</f>
        <v>0.62537567452882203</v>
      </c>
      <c r="F43" s="14">
        <f ca="1">IF(OR(F$26="",$A43=""),"",F$39*F33/F$29)</f>
        <v>0.66944494781390818</v>
      </c>
      <c r="G43" s="14">
        <f ca="1">IF(OR(G$26="",$A43=""),"",G$39*G33/G$29)</f>
        <v>0.68431474313239349</v>
      </c>
      <c r="H43" s="14" t="str">
        <f>IF(OR(H$26="",$A43=""),"",H$39*H33/H$29)</f>
        <v/>
      </c>
      <c r="I43" s="14" t="str">
        <f>IF(OR(I$26="",$A43=""),"",I$39*I33/I$29)</f>
        <v/>
      </c>
      <c r="J43" s="14" t="str">
        <f>IF(OR(J$26="",$A43=""),"",J$39*J33/J$29)</f>
        <v/>
      </c>
      <c r="K43" s="14" t="str">
        <f>IF(OR(K$26="",$A43=""),"",K$39*K33/K$29)</f>
        <v/>
      </c>
      <c r="L43" s="14" t="str">
        <f>IF(OR(L$26="",$A43=""),"",L$39*L33/L$29)</f>
        <v/>
      </c>
    </row>
    <row r="44" spans="1:14" x14ac:dyDescent="0.35">
      <c r="A44" t="str">
        <f>IF(A10="","","    "&amp;A10&amp;" Share")</f>
        <v/>
      </c>
      <c r="B44" s="1"/>
      <c r="C44" s="14" t="str">
        <f>IF(OR(C$26="",$A44=""),"",C$39*C34/C$29)</f>
        <v/>
      </c>
      <c r="D44" s="14" t="str">
        <f>IF(OR(D$26="",$A44=""),"",D$39*D34/D$29)</f>
        <v/>
      </c>
      <c r="E44" s="14" t="str">
        <f>IF(OR(E$26="",$A44=""),"",E$39*E34/E$29)</f>
        <v/>
      </c>
      <c r="F44" s="14" t="str">
        <f>IF(OR(F$26="",$A44=""),"",F$39*F34/F$29)</f>
        <v/>
      </c>
      <c r="G44" s="14" t="str">
        <f>IF(OR(G$26="",$A44=""),"",G$39*G34/G$29)</f>
        <v/>
      </c>
      <c r="H44" s="14" t="str">
        <f>IF(OR(H$26="",$A44=""),"",H$39*H34/H$29)</f>
        <v/>
      </c>
      <c r="I44" s="14" t="str">
        <f>IF(OR(I$26="",$A44=""),"",I$39*I34/I$29)</f>
        <v/>
      </c>
      <c r="J44" s="14" t="str">
        <f>IF(OR(J$26="",$A44=""),"",J$39*J34/J$29)</f>
        <v/>
      </c>
      <c r="K44" s="14" t="str">
        <f>IF(OR(K$26="",$A44=""),"",K$39*K34/K$29)</f>
        <v/>
      </c>
      <c r="L44" s="14" t="str">
        <f>IF(OR(L$26="",$A44=""),"",L$39*L34/L$29)</f>
        <v/>
      </c>
    </row>
    <row r="45" spans="1:14" x14ac:dyDescent="0.35">
      <c r="A45" t="str">
        <f>IF(A11="","","    "&amp;A11&amp;" Share")</f>
        <v/>
      </c>
      <c r="B45" s="1"/>
      <c r="C45" s="14" t="str">
        <f>IF(OR(C$26="",$A45=""),"",C$39*C35/C$29)</f>
        <v/>
      </c>
      <c r="D45" s="14" t="str">
        <f>IF(OR(D$26="",$A45=""),"",D$39*D35/D$29)</f>
        <v/>
      </c>
      <c r="E45" s="14" t="str">
        <f>IF(OR(E$26="",$A45=""),"",E$39*E35/E$29)</f>
        <v/>
      </c>
      <c r="F45" s="14" t="str">
        <f>IF(OR(F$26="",$A45=""),"",F$39*F35/F$29)</f>
        <v/>
      </c>
      <c r="G45" s="14" t="str">
        <f>IF(OR(G$26="",$A45=""),"",G$39*G35/G$29)</f>
        <v/>
      </c>
      <c r="H45" s="14" t="str">
        <f>IF(OR(H$26="",$A45=""),"",H$39*H35/H$29)</f>
        <v/>
      </c>
      <c r="I45" s="14" t="str">
        <f>IF(OR(I$26="",$A45=""),"",I$39*I35/I$29)</f>
        <v/>
      </c>
      <c r="J45" s="14" t="str">
        <f>IF(OR(J$26="",$A45=""),"",J$39*J35/J$29)</f>
        <v/>
      </c>
      <c r="K45" s="14" t="str">
        <f>IF(OR(K$26="",$A45=""),"",K$39*K35/K$29)</f>
        <v/>
      </c>
      <c r="L45" s="14" t="str">
        <f>IF(OR(L$26="",$A45=""),"",L$39*L35/L$29)</f>
        <v/>
      </c>
    </row>
    <row r="46" spans="1:14" x14ac:dyDescent="0.35">
      <c r="A46" s="1" t="s">
        <v>272</v>
      </c>
      <c r="B46" s="98"/>
      <c r="C46" s="50">
        <f>IF(C$26&lt;&gt;"",1.5-0.21/9/2-VLOOKUP(C38,LowerBasinCuts!$C$5:$P$13,13),"")</f>
        <v>1.4473333333333334</v>
      </c>
      <c r="D46" s="50">
        <f ca="1">IF(D$26&lt;&gt;"",1.5-0.21/9/2-VLOOKUP(D38,LowerBasinCuts!$C$5:$P$13,13),"")</f>
        <v>1.4473333333333334</v>
      </c>
      <c r="E46" s="50">
        <f ca="1">IF(E$26&lt;&gt;"",1.5-0.21/9/2-VLOOKUP(E38,LowerBasinCuts!$C$5:$P$13,13),"")</f>
        <v>1.2133333333333334</v>
      </c>
      <c r="F46" s="50">
        <f ca="1">IF(F$26&lt;&gt;"",1.5-0.21/9/2-VLOOKUP(F38,LowerBasinCuts!$C$5:$P$13,13),"")</f>
        <v>1.2133333333333334</v>
      </c>
      <c r="G46" s="50">
        <f ca="1">IF(G$26&lt;&gt;"",1.5-0.21/9/2-VLOOKUP(G38,LowerBasinCuts!$C$5:$P$13,13),"")</f>
        <v>1.3263333333333334</v>
      </c>
      <c r="H46" s="50" t="str">
        <f>IF(H$26&lt;&gt;"",1.5-0.21/9/2-VLOOKUP(H38,LowerBasinCuts!$C$5:$P$13,13),"")</f>
        <v/>
      </c>
      <c r="I46" s="50" t="str">
        <f>IF(I$26&lt;&gt;"",1.5-0.21/9/2-VLOOKUP(I38,LowerBasinCuts!$C$5:$P$13,13),"")</f>
        <v/>
      </c>
      <c r="J46" s="50" t="str">
        <f>IF(J$26&lt;&gt;"",1.5-0.21/9/2-VLOOKUP(J38,LowerBasinCuts!$C$5:$P$13,13),"")</f>
        <v/>
      </c>
      <c r="K46" s="50" t="str">
        <f>IF(K$26&lt;&gt;"",1.5-0.21/9/2-VLOOKUP(K38,LowerBasinCuts!$C$5:$P$13,13),"")</f>
        <v/>
      </c>
      <c r="L46" s="50" t="str">
        <f>IF(L$26&lt;&gt;"",1.5-0.21/9/2-VLOOKUP(L38,LowerBasinCuts!$C$5:$P$13,13),"")</f>
        <v/>
      </c>
    </row>
    <row r="47" spans="1:14" x14ac:dyDescent="0.35">
      <c r="A47" s="1" t="s">
        <v>332</v>
      </c>
      <c r="B47" s="1"/>
      <c r="C47" s="52">
        <f>IF(C26="","",SUM(C26:C27)-C28)</f>
        <v>11.200000000000001</v>
      </c>
      <c r="D47" s="52">
        <f t="shared" ref="D47:L47" si="13">IF(D26="","",SUM(D26:D27)-D28)</f>
        <v>9.2000000000000011</v>
      </c>
      <c r="E47" s="52">
        <f t="shared" si="13"/>
        <v>8.3000000000000007</v>
      </c>
      <c r="F47" s="52">
        <f t="shared" si="13"/>
        <v>8.3000000000000007</v>
      </c>
      <c r="G47" s="52">
        <f t="shared" si="13"/>
        <v>8.3000000000000007</v>
      </c>
      <c r="H47" s="52" t="str">
        <f t="shared" si="13"/>
        <v/>
      </c>
      <c r="I47" s="52" t="str">
        <f t="shared" si="13"/>
        <v/>
      </c>
      <c r="J47" s="52" t="str">
        <f t="shared" si="13"/>
        <v/>
      </c>
      <c r="K47" s="52" t="str">
        <f t="shared" si="13"/>
        <v/>
      </c>
      <c r="L47" s="52" t="str">
        <f t="shared" si="13"/>
        <v/>
      </c>
      <c r="M47" s="46"/>
      <c r="N47" s="46"/>
    </row>
    <row r="48" spans="1:14" x14ac:dyDescent="0.35">
      <c r="A48" t="str">
        <f>IF(A6="","","    To "&amp;A6)</f>
        <v xml:space="preserve">    To Upper Basin</v>
      </c>
      <c r="B48" s="24" t="s">
        <v>147</v>
      </c>
      <c r="C48" s="14">
        <f>IF(OR(C$26="",$A48=""),"",IF(C$26&gt;SUM(MIN($B49,C26-C50/2)+C50/2),C$26-SUM(MIN($B49,C26-C50/2)+C50/2),0))</f>
        <v>2.7763333333333335</v>
      </c>
      <c r="D48" s="14">
        <f t="shared" ref="D48:G48" ca="1" si="14">IF(OR(D$26="",$A48=""),"",IF(D$26&gt;SUM(MIN($B49,D26-D50/2)+D50/2),D$26-SUM(MIN($B49,D26-D50/2)+D50/2),0))</f>
        <v>0.77633333333333354</v>
      </c>
      <c r="E48" s="14">
        <f t="shared" ca="1" si="14"/>
        <v>0</v>
      </c>
      <c r="F48" s="14">
        <f t="shared" ca="1" si="14"/>
        <v>0</v>
      </c>
      <c r="G48" s="14">
        <f t="shared" ca="1" si="14"/>
        <v>0</v>
      </c>
      <c r="H48" s="14" t="str">
        <f>IF(OR(H$26="",$A48=""),"",IF(H$26&gt;SUM(H49+H50/2),H$26-SUM(H49+H50/2),0))</f>
        <v/>
      </c>
      <c r="I48" s="14" t="str">
        <f>IF(OR(I$26="",$A48=""),"",IF(I$26&gt;SUM(I49+I50/2),I$26-SUM(I49+I50/2),0))</f>
        <v/>
      </c>
      <c r="J48" s="14" t="str">
        <f>IF(OR(J$26="",$A48=""),"",IF(J$26&gt;SUM(J49+J50/2),J$26-SUM(J49+J50/2),0))</f>
        <v/>
      </c>
      <c r="K48" s="14" t="str">
        <f>IF(OR(K$26="",$A48=""),"",IF(K$26&gt;SUM(K49+K50/2),K$26-SUM(K49+K50/2),0))</f>
        <v/>
      </c>
      <c r="L48" s="14" t="str">
        <f>IF(OR(L$26="",$A48=""),"",IF(L$26&gt;SUM(L49+L50/2),L$26-SUM(L49+L50/2),0))</f>
        <v/>
      </c>
      <c r="M48" s="29"/>
      <c r="N48" s="29"/>
    </row>
    <row r="49" spans="1:14" x14ac:dyDescent="0.35">
      <c r="A49" t="str">
        <f>IF(A7="","","    To "&amp;A7)</f>
        <v xml:space="preserve">    To Lower Basin</v>
      </c>
      <c r="B49" s="44">
        <f>7.5</f>
        <v>7.5</v>
      </c>
      <c r="C49" s="14">
        <f>IF(OR(C$26="",$A49=""),"",C27-C28-C51-C50/2+MIN($B49,C26-C50/2))</f>
        <v>6.4149594487332369</v>
      </c>
      <c r="D49" s="14">
        <f t="shared" ref="D49:L49" ca="1" si="15">IF(OR(D$26="",$A49=""),"",D27-D28-D51-D50/2+MIN($B49,D26-D50/2))</f>
        <v>6.3951186146965089</v>
      </c>
      <c r="E49" s="14">
        <f t="shared" ca="1" si="15"/>
        <v>6.4612909921378447</v>
      </c>
      <c r="F49" s="14">
        <f t="shared" ca="1" si="15"/>
        <v>6.4172217188527583</v>
      </c>
      <c r="G49" s="14">
        <f t="shared" ca="1" si="15"/>
        <v>6.289351923534273</v>
      </c>
      <c r="H49" s="14" t="str">
        <f t="shared" si="15"/>
        <v/>
      </c>
      <c r="I49" s="14" t="str">
        <f t="shared" si="15"/>
        <v/>
      </c>
      <c r="J49" s="14" t="str">
        <f t="shared" si="15"/>
        <v/>
      </c>
      <c r="K49" s="14" t="str">
        <f t="shared" si="15"/>
        <v/>
      </c>
      <c r="L49" s="14" t="str">
        <f t="shared" si="15"/>
        <v/>
      </c>
      <c r="M49" s="29"/>
      <c r="N49" s="29"/>
    </row>
    <row r="50" spans="1:14" x14ac:dyDescent="0.35">
      <c r="A50" t="str">
        <f>IF(A8="","","    To "&amp;A8)</f>
        <v xml:space="preserve">    To Mexico</v>
      </c>
      <c r="B50" s="44" t="s">
        <v>191</v>
      </c>
      <c r="C50" s="14">
        <f>IF(OR(C$26="",$A50=""),"",IF(C$47&gt;SUM(C51:C52,C46),C46,C$47-SUM(C51:C52)))</f>
        <v>1.4473333333333334</v>
      </c>
      <c r="D50" s="14">
        <f t="shared" ref="D50:L50" ca="1" si="16">IF(OR(D$26="",$A50=""),"",IF(D$47&gt;SUM(D51:D52,D46),D46,D$47-SUM(D51:D52)))</f>
        <v>1.4473333333333334</v>
      </c>
      <c r="E50" s="14">
        <f t="shared" ca="1" si="16"/>
        <v>1.2133333333333334</v>
      </c>
      <c r="F50" s="14">
        <f t="shared" ca="1" si="16"/>
        <v>1.2133333333333334</v>
      </c>
      <c r="G50" s="14">
        <f t="shared" ca="1" si="16"/>
        <v>1.3263333333333334</v>
      </c>
      <c r="H50" s="14" t="str">
        <f t="shared" si="16"/>
        <v/>
      </c>
      <c r="I50" s="14" t="str">
        <f t="shared" si="16"/>
        <v/>
      </c>
      <c r="J50" s="14" t="str">
        <f t="shared" si="16"/>
        <v/>
      </c>
      <c r="K50" s="14" t="str">
        <f t="shared" si="16"/>
        <v/>
      </c>
      <c r="L50" s="14" t="str">
        <f t="shared" si="16"/>
        <v/>
      </c>
      <c r="M50" s="29"/>
      <c r="N50" s="29"/>
    </row>
    <row r="51" spans="1:14" x14ac:dyDescent="0.35">
      <c r="A51" t="str">
        <f>IF(A9="","","    To "&amp;A9)</f>
        <v xml:space="preserve">    To Shared, Reserve</v>
      </c>
      <c r="B51" s="44" t="s">
        <v>190</v>
      </c>
      <c r="C51" s="14">
        <f>IF(OR(C$26="",$A51=""),"",IF(C$47&gt;C43,C43,C47))</f>
        <v>0.56137388460009618</v>
      </c>
      <c r="D51" s="14">
        <f t="shared" ref="D51:L51" ca="1" si="17">IF(OR(D$26="",$A51=""),"",IF(D$47&gt;D43,D43,D47))</f>
        <v>0.58121471863682417</v>
      </c>
      <c r="E51" s="14">
        <f t="shared" ca="1" si="17"/>
        <v>0.62537567452882203</v>
      </c>
      <c r="F51" s="14">
        <f t="shared" ca="1" si="17"/>
        <v>0.66944494781390818</v>
      </c>
      <c r="G51" s="14">
        <f t="shared" ca="1" si="17"/>
        <v>0.68431474313239349</v>
      </c>
      <c r="H51" s="14" t="str">
        <f t="shared" si="17"/>
        <v/>
      </c>
      <c r="I51" s="14" t="str">
        <f t="shared" si="17"/>
        <v/>
      </c>
      <c r="J51" s="14" t="str">
        <f t="shared" si="17"/>
        <v/>
      </c>
      <c r="K51" s="14" t="str">
        <f t="shared" si="17"/>
        <v/>
      </c>
      <c r="L51" s="14" t="str">
        <f t="shared" si="17"/>
        <v/>
      </c>
      <c r="M51" s="29"/>
      <c r="N51" s="29"/>
    </row>
    <row r="52" spans="1:14" x14ac:dyDescent="0.35">
      <c r="A52" t="str">
        <f>IF(A10="","","    To "&amp;A10)</f>
        <v/>
      </c>
      <c r="B52" s="44"/>
      <c r="C52" s="14"/>
      <c r="D52" s="14"/>
      <c r="E52" s="14"/>
      <c r="F52" s="14"/>
      <c r="G52" s="14"/>
      <c r="H52" s="14"/>
      <c r="I52" s="14"/>
      <c r="J52" s="14"/>
      <c r="K52" s="14"/>
      <c r="L52" s="14"/>
      <c r="M52" s="29"/>
      <c r="N52" s="29"/>
    </row>
    <row r="53" spans="1:14" x14ac:dyDescent="0.35">
      <c r="A53" t="str">
        <f>IF(A11="","","    To "&amp;A11)</f>
        <v/>
      </c>
      <c r="B53" s="44"/>
      <c r="C53" s="57"/>
      <c r="D53" s="57"/>
      <c r="E53" s="57"/>
      <c r="F53" s="57"/>
      <c r="G53" s="57"/>
      <c r="H53" s="57"/>
      <c r="I53" s="57"/>
      <c r="J53" s="57"/>
      <c r="K53" s="57"/>
      <c r="L53" s="57"/>
      <c r="M53" s="29"/>
      <c r="N53" s="29"/>
    </row>
    <row r="54" spans="1:14" x14ac:dyDescent="0.35">
      <c r="C54" s="46"/>
      <c r="D54" s="46"/>
      <c r="E54" s="46"/>
      <c r="F54" s="46"/>
      <c r="G54" s="46"/>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v>0.6</v>
      </c>
      <c r="D57" s="25">
        <v>-0.6</v>
      </c>
      <c r="E57" s="25">
        <v>-1.8</v>
      </c>
      <c r="F57" s="25">
        <f>-F73</f>
        <v>-0.1</v>
      </c>
      <c r="G57" s="25"/>
      <c r="H57" s="25"/>
      <c r="I57" s="25"/>
      <c r="J57" s="25"/>
      <c r="K57" s="25"/>
      <c r="L57" s="25"/>
      <c r="M57" s="78">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76">
        <f>1000*C57</f>
        <v>600</v>
      </c>
      <c r="D58" s="76">
        <f>1000*D57</f>
        <v>-600</v>
      </c>
      <c r="E58" s="76">
        <f>-1.6*1000-0.2*1500</f>
        <v>-1900</v>
      </c>
      <c r="F58" s="25">
        <f>-F74</f>
        <v>-150</v>
      </c>
      <c r="G58" s="76"/>
      <c r="H58" s="76"/>
      <c r="I58" s="76"/>
      <c r="J58" s="76"/>
      <c r="K58" s="76"/>
      <c r="L58" s="76"/>
      <c r="M58" s="7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18">IF(OR(C$26="",$A59=""),"",C$112)</f>
        <v>0</v>
      </c>
      <c r="D59" s="78">
        <f t="shared" ca="1" si="18"/>
        <v>0</v>
      </c>
      <c r="E59" s="78">
        <f t="shared" ca="1" si="18"/>
        <v>5.5511151231257827E-17</v>
      </c>
      <c r="F59" s="78">
        <f t="shared" ca="1" si="18"/>
        <v>0</v>
      </c>
      <c r="G59" s="78">
        <f t="shared" ca="1" si="18"/>
        <v>0</v>
      </c>
      <c r="H59" s="78" t="str">
        <f t="shared" si="18"/>
        <v/>
      </c>
      <c r="I59" s="78" t="str">
        <f t="shared" si="18"/>
        <v/>
      </c>
      <c r="J59" s="78" t="str">
        <f t="shared" si="18"/>
        <v/>
      </c>
      <c r="K59" s="78" t="str">
        <f t="shared" si="18"/>
        <v/>
      </c>
      <c r="L59" s="78" t="str">
        <f t="shared" si="18"/>
        <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7.0040452368981789</v>
      </c>
      <c r="D60" s="14">
        <f t="shared" ref="D60:L60" ca="1" si="19">IF(OR(D$26="",$A60=""),"",D30+D48-D40-D57)</f>
        <v>4.7046756171877995</v>
      </c>
      <c r="E60" s="14">
        <f t="shared" ca="1" si="19"/>
        <v>3.5073083708761699</v>
      </c>
      <c r="F60" s="14">
        <f t="shared" ca="1" si="19"/>
        <v>1.520254170224181</v>
      </c>
      <c r="G60" s="14">
        <f t="shared" ca="1" si="19"/>
        <v>0.77182833761887804</v>
      </c>
      <c r="H60" s="14" t="str">
        <f t="shared" si="19"/>
        <v/>
      </c>
      <c r="I60" s="14" t="str">
        <f t="shared" si="19"/>
        <v/>
      </c>
      <c r="J60" s="14" t="str">
        <f t="shared" si="19"/>
        <v/>
      </c>
      <c r="K60" s="14" t="str">
        <f t="shared" si="19"/>
        <v/>
      </c>
      <c r="L60" s="14" t="str">
        <f t="shared" si="1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3.5</v>
      </c>
      <c r="D61" s="43">
        <v>2.9</v>
      </c>
      <c r="E61" s="43">
        <v>2</v>
      </c>
      <c r="F61" s="43">
        <v>0.7</v>
      </c>
      <c r="G61" s="43">
        <v>0.3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IF(OR(C$26="",$A62=""),"",C60-C61)</f>
        <v>3.5040452368981789</v>
      </c>
      <c r="D62" s="77">
        <f t="shared" ref="D62:L62" ca="1" si="20">IF(OR(D$26="",$A62=""),"",D60-D61)</f>
        <v>1.8046756171877996</v>
      </c>
      <c r="E62" s="77">
        <f t="shared" ca="1" si="20"/>
        <v>1.5073083708761699</v>
      </c>
      <c r="F62" s="77">
        <f t="shared" ca="1" si="20"/>
        <v>0.82025417022418101</v>
      </c>
      <c r="G62" s="77">
        <f t="shared" ca="1" si="20"/>
        <v>0.47182833761887805</v>
      </c>
      <c r="H62" s="77" t="str">
        <f t="shared" si="20"/>
        <v/>
      </c>
      <c r="I62" s="77" t="str">
        <f t="shared" si="20"/>
        <v/>
      </c>
      <c r="J62" s="77" t="str">
        <f t="shared" si="20"/>
        <v/>
      </c>
      <c r="K62" s="77" t="str">
        <f t="shared" si="20"/>
        <v/>
      </c>
      <c r="L62" s="77" t="str">
        <f t="shared" si="20"/>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f>-C57</f>
        <v>-0.6</v>
      </c>
      <c r="D65" s="25">
        <f t="shared" ref="D65" si="21">-D57</f>
        <v>0.6</v>
      </c>
      <c r="E65" s="25">
        <v>1.6</v>
      </c>
      <c r="F65" s="25"/>
      <c r="G65" s="25"/>
      <c r="H65" s="25"/>
      <c r="I65" s="25"/>
      <c r="J65" s="25"/>
      <c r="K65" s="25"/>
      <c r="L65" s="25"/>
      <c r="M65" s="78">
        <f>SUM(C65:L65)</f>
        <v>1.6</v>
      </c>
      <c r="N65" t="str">
        <f>IF(A65="","",N57)</f>
        <v>Add if multiple transactions, e.g.: 0.5 + 0.25</v>
      </c>
    </row>
    <row r="66" spans="1:14" x14ac:dyDescent="0.35">
      <c r="A66" s="32" t="str">
        <f>IF(A65="","","   Cash Intake(+) and Payments(-) [$ Mill]")</f>
        <v xml:space="preserve">   Cash Intake(+) and Payments(-) [$ Mill]</v>
      </c>
      <c r="C66" s="76">
        <f>-C58</f>
        <v>-600</v>
      </c>
      <c r="D66" s="76">
        <f t="shared" ref="D66" si="22">-D58</f>
        <v>600</v>
      </c>
      <c r="E66" s="76">
        <f>1000*E65</f>
        <v>1600</v>
      </c>
      <c r="F66" s="76"/>
      <c r="G66" s="76"/>
      <c r="H66" s="76"/>
      <c r="I66" s="76"/>
      <c r="J66" s="76"/>
      <c r="K66" s="76"/>
      <c r="L66" s="76"/>
      <c r="M66" s="75">
        <f>SUM(C66:L66)</f>
        <v>1600</v>
      </c>
      <c r="N66" t="str">
        <f t="shared" ref="N66:N70" si="23">IF(A66="","",N58)</f>
        <v>Add if multiple transactions, e.g.: $350*0.5 + $450*0.25</v>
      </c>
    </row>
    <row r="67" spans="1:14" x14ac:dyDescent="0.35">
      <c r="A67" s="32" t="str">
        <f>IF(A66="","","   Volume all players (should be zero)")</f>
        <v xml:space="preserve">   Volume all players (should be zero)</v>
      </c>
      <c r="C67" s="78">
        <f t="shared" ref="C67:M67" ca="1" si="24">IF(OR(C$26="",$A67=""),"",C$112)</f>
        <v>0</v>
      </c>
      <c r="D67" s="78">
        <f t="shared" ca="1" si="24"/>
        <v>0</v>
      </c>
      <c r="E67" s="78">
        <f t="shared" ca="1" si="24"/>
        <v>5.5511151231257827E-17</v>
      </c>
      <c r="F67" s="78">
        <f t="shared" ca="1" si="24"/>
        <v>0</v>
      </c>
      <c r="G67" s="78">
        <f t="shared" ca="1" si="24"/>
        <v>0</v>
      </c>
      <c r="H67" s="78" t="str">
        <f t="shared" si="24"/>
        <v/>
      </c>
      <c r="I67" s="78" t="str">
        <f t="shared" si="24"/>
        <v/>
      </c>
      <c r="J67" s="78" t="str">
        <f t="shared" si="24"/>
        <v/>
      </c>
      <c r="K67" s="78" t="str">
        <f t="shared" si="24"/>
        <v/>
      </c>
      <c r="L67" s="78" t="str">
        <f t="shared" si="24"/>
        <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11.069981523290789</v>
      </c>
      <c r="D68" s="14">
        <f t="shared" ca="1" si="25"/>
        <v>9.6610195042827627</v>
      </c>
      <c r="E68" s="14">
        <f t="shared" ca="1" si="25"/>
        <v>7.5679505726078364</v>
      </c>
      <c r="F68" s="14">
        <f t="shared" ca="1" si="25"/>
        <v>7.2350440331932502</v>
      </c>
      <c r="G68" s="14">
        <f t="shared" ca="1" si="25"/>
        <v>6.8869044849804091</v>
      </c>
      <c r="H68" s="14" t="str">
        <f t="shared" si="25"/>
        <v/>
      </c>
      <c r="I68" s="14" t="str">
        <f t="shared" si="25"/>
        <v/>
      </c>
      <c r="J68" s="14" t="str">
        <f t="shared" si="25"/>
        <v/>
      </c>
      <c r="K68" s="14" t="str">
        <f t="shared" si="25"/>
        <v/>
      </c>
      <c r="L68" s="14" t="str">
        <f t="shared" si="25"/>
        <v/>
      </c>
      <c r="N68" t="str">
        <f t="shared" si="23"/>
        <v>Available water = Account Balance + Available Inflow - Evaporation + Sales - Purchases</v>
      </c>
    </row>
    <row r="69" spans="1:14" x14ac:dyDescent="0.35">
      <c r="A69" s="1" t="str">
        <f>IF(A68="","","   Account Withdraw [maf]")</f>
        <v xml:space="preserve">   Account Withdraw [maf]</v>
      </c>
      <c r="C69" s="43">
        <v>7</v>
      </c>
      <c r="D69" s="43">
        <v>6.8</v>
      </c>
      <c r="E69" s="43">
        <v>6.7</v>
      </c>
      <c r="F69" s="43">
        <v>6.6</v>
      </c>
      <c r="G69" s="43">
        <v>6.6</v>
      </c>
      <c r="H69" s="43"/>
      <c r="I69" s="43"/>
      <c r="J69" s="43"/>
      <c r="K69" s="43"/>
      <c r="L69" s="43"/>
      <c r="N69" t="str">
        <f t="shared" si="23"/>
        <v>Must be less than Available water</v>
      </c>
    </row>
    <row r="70" spans="1:14" x14ac:dyDescent="0.35">
      <c r="A70" s="32" t="str">
        <f>IF(A69="","","   End of Year Balance [maf]")</f>
        <v xml:space="preserve">   End of Year Balance [maf]</v>
      </c>
      <c r="C70" s="77">
        <f>IF(OR(C$26="",$A70=""),"",C68-C69)</f>
        <v>4.0699815232907888</v>
      </c>
      <c r="D70" s="77">
        <f t="shared" ref="D70:L70" ca="1" si="26">IF(OR(D$26="",$A70=""),"",D68-D69)</f>
        <v>2.8610195042827629</v>
      </c>
      <c r="E70" s="77">
        <f t="shared" ca="1" si="26"/>
        <v>0.86795057260783626</v>
      </c>
      <c r="F70" s="77">
        <f t="shared" ca="1" si="26"/>
        <v>0.63504403319325053</v>
      </c>
      <c r="G70" s="77">
        <f t="shared" ca="1" si="26"/>
        <v>0.28690448498040944</v>
      </c>
      <c r="H70" s="77" t="str">
        <f t="shared" si="26"/>
        <v/>
      </c>
      <c r="I70" s="77" t="str">
        <f t="shared" si="26"/>
        <v/>
      </c>
      <c r="J70" s="77" t="str">
        <f t="shared" si="26"/>
        <v/>
      </c>
      <c r="K70" s="77" t="str">
        <f t="shared" si="26"/>
        <v/>
      </c>
      <c r="L70" s="77" t="str">
        <f t="shared" si="26"/>
        <v/>
      </c>
      <c r="N70" t="str">
        <f t="shared" si="23"/>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v>0.2</v>
      </c>
      <c r="F73" s="25">
        <v>0.1</v>
      </c>
      <c r="G73" s="25"/>
      <c r="H73" s="25"/>
      <c r="I73" s="25"/>
      <c r="J73" s="25"/>
      <c r="K73" s="25"/>
      <c r="L73" s="25"/>
      <c r="M73" s="78">
        <f>SUM(C73:L73)</f>
        <v>0.30000000000000004</v>
      </c>
      <c r="N73" t="str">
        <f>IF(A73="","",N65)</f>
        <v>Add if multiple transactions, e.g.: 0.5 + 0.25</v>
      </c>
    </row>
    <row r="74" spans="1:14" x14ac:dyDescent="0.35">
      <c r="A74" s="32" t="str">
        <f>IF(A73="","","   Cash Intake(+) and Payments(-) [$ Mill]")</f>
        <v xml:space="preserve">   Cash Intake(+) and Payments(-) [$ Mill]</v>
      </c>
      <c r="C74" s="76"/>
      <c r="D74" s="76"/>
      <c r="E74" s="76">
        <f>1500*E73</f>
        <v>300</v>
      </c>
      <c r="F74" s="76">
        <f>1500*F73</f>
        <v>150</v>
      </c>
      <c r="G74" s="76"/>
      <c r="H74" s="76"/>
      <c r="I74" s="76"/>
      <c r="J74" s="76"/>
      <c r="K74" s="76"/>
      <c r="L74" s="76"/>
      <c r="M74" s="75">
        <f>SUM(C74:L74)</f>
        <v>450</v>
      </c>
      <c r="N74" t="str">
        <f t="shared" ref="N74:N78" si="27">IF(A74="","",N66)</f>
        <v>Add if multiple transactions, e.g.: $350*0.5 + $450*0.25</v>
      </c>
    </row>
    <row r="75" spans="1:14" x14ac:dyDescent="0.35">
      <c r="A75" s="32" t="str">
        <f>IF(A74="","","   Volume all players (should be zero)")</f>
        <v xml:space="preserve">   Volume all players (should be zero)</v>
      </c>
      <c r="C75" s="78">
        <f t="shared" ref="C75:M75" ca="1" si="28">IF(OR(C$26="",$A75=""),"",C$112)</f>
        <v>0</v>
      </c>
      <c r="D75" s="78">
        <f t="shared" ca="1" si="28"/>
        <v>0</v>
      </c>
      <c r="E75" s="78">
        <f t="shared" ca="1" si="28"/>
        <v>5.5511151231257827E-17</v>
      </c>
      <c r="F75" s="78">
        <f t="shared" ca="1" si="28"/>
        <v>0</v>
      </c>
      <c r="G75" s="78">
        <f t="shared" ca="1" si="28"/>
        <v>0</v>
      </c>
      <c r="H75" s="78" t="str">
        <f t="shared" si="28"/>
        <v/>
      </c>
      <c r="I75" s="78" t="str">
        <f t="shared" si="28"/>
        <v/>
      </c>
      <c r="J75" s="78" t="str">
        <f t="shared" si="28"/>
        <v/>
      </c>
      <c r="K75" s="78" t="str">
        <f t="shared" si="28"/>
        <v/>
      </c>
      <c r="L75" s="78" t="str">
        <f t="shared" si="28"/>
        <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1.5545781945300379</v>
      </c>
      <c r="E76" s="14">
        <f t="shared" ca="1" si="29"/>
        <v>1.3487810525165953</v>
      </c>
      <c r="F76" s="14">
        <f ca="1">IF(OR(F$26="",$A76=""),"",F32+F50-F42-F73)</f>
        <v>1.2535215750825706</v>
      </c>
      <c r="G76" s="14">
        <f t="shared" ca="1" si="29"/>
        <v>1.376695123400715</v>
      </c>
      <c r="H76" s="14" t="str">
        <f t="shared" si="29"/>
        <v/>
      </c>
      <c r="I76" s="14" t="str">
        <f t="shared" si="29"/>
        <v/>
      </c>
      <c r="J76" s="14" t="str">
        <f t="shared" si="29"/>
        <v/>
      </c>
      <c r="K76" s="14" t="str">
        <f t="shared" si="29"/>
        <v/>
      </c>
      <c r="L76" s="14" t="str">
        <f t="shared" si="29"/>
        <v/>
      </c>
      <c r="N76" t="str">
        <f t="shared" si="27"/>
        <v>Available water = Account Balance + Available Inflow - Evaporation + Sales - Purchases</v>
      </c>
    </row>
    <row r="77" spans="1:14" x14ac:dyDescent="0.35">
      <c r="A77" s="1" t="str">
        <f>IF(A76="","","   Account Withdraw [maf]")</f>
        <v xml:space="preserve">   Account Withdraw [maf]</v>
      </c>
      <c r="C77" s="43">
        <v>1.5</v>
      </c>
      <c r="D77" s="43">
        <v>1.2</v>
      </c>
      <c r="E77" s="43">
        <v>1.2</v>
      </c>
      <c r="F77" s="43">
        <v>1.2</v>
      </c>
      <c r="G77" s="43">
        <v>1.2</v>
      </c>
      <c r="H77" s="43"/>
      <c r="I77" s="43"/>
      <c r="J77" s="43"/>
      <c r="K77" s="43"/>
      <c r="L77" s="43"/>
      <c r="N77" t="str">
        <f t="shared" si="27"/>
        <v>Must be less than Available water</v>
      </c>
    </row>
    <row r="78" spans="1:14" x14ac:dyDescent="0.35">
      <c r="A78" s="32" t="str">
        <f>IF(A77="","","   End of Year Balance [maf]")</f>
        <v xml:space="preserve">   End of Year Balance [maf]</v>
      </c>
      <c r="C78" s="77">
        <f>IF(OR(C$26="",$A78=""),"",C76-C77)</f>
        <v>0.11290630981105854</v>
      </c>
      <c r="D78" s="77">
        <f t="shared" ref="D78:L78" ca="1" si="30">IF(OR(D$26="",$A78=""),"",D76-D77)</f>
        <v>0.35457819453003792</v>
      </c>
      <c r="E78" s="77">
        <f t="shared" ca="1" si="30"/>
        <v>0.14878105251659535</v>
      </c>
      <c r="F78" s="77">
        <f t="shared" ca="1" si="30"/>
        <v>5.3521575082570605E-2</v>
      </c>
      <c r="G78" s="77">
        <f t="shared" ca="1" si="30"/>
        <v>0.17669512340071503</v>
      </c>
      <c r="H78" s="77" t="str">
        <f t="shared" si="30"/>
        <v/>
      </c>
      <c r="I78" s="77" t="str">
        <f t="shared" si="30"/>
        <v/>
      </c>
      <c r="J78" s="77" t="str">
        <f t="shared" si="30"/>
        <v/>
      </c>
      <c r="K78" s="77" t="str">
        <f t="shared" si="30"/>
        <v/>
      </c>
      <c r="L78" s="77" t="str">
        <f t="shared" si="30"/>
        <v/>
      </c>
      <c r="N78" t="str">
        <f t="shared" si="27"/>
        <v>Available water - Account Withdraw</v>
      </c>
    </row>
    <row r="79" spans="1:14" x14ac:dyDescent="0.35">
      <c r="C79"/>
    </row>
    <row r="80" spans="1:14" x14ac:dyDescent="0.35">
      <c r="A80" s="79" t="str">
        <f>IF(A$9="","[Unused]",A9)</f>
        <v>Shared, Reserve</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1">IF(A82="","",N74)</f>
        <v>Add if multiple transactions, e.g.: $350*0.5 + $450*0.25</v>
      </c>
    </row>
    <row r="83" spans="1:14" x14ac:dyDescent="0.35">
      <c r="A83" s="32" t="str">
        <f>IF(A82="","","   Volume all players (should be zero)")</f>
        <v xml:space="preserve">   Volume all players (should be zero)</v>
      </c>
      <c r="C83" s="78">
        <f t="shared" ref="C83:M83" ca="1" si="32">IF(OR(C$26="",$A83=""),"",C$112)</f>
        <v>0</v>
      </c>
      <c r="D83" s="78">
        <f t="shared" ca="1" si="32"/>
        <v>0</v>
      </c>
      <c r="E83" s="78">
        <f t="shared" ca="1" si="32"/>
        <v>5.5511151231257827E-17</v>
      </c>
      <c r="F83" s="78">
        <f t="shared" ca="1" si="32"/>
        <v>0</v>
      </c>
      <c r="G83" s="78">
        <f t="shared" ca="1" si="32"/>
        <v>0</v>
      </c>
      <c r="H83" s="78" t="str">
        <f t="shared" si="32"/>
        <v/>
      </c>
      <c r="I83" s="78" t="str">
        <f t="shared" si="32"/>
        <v/>
      </c>
      <c r="J83" s="78" t="str">
        <f t="shared" si="32"/>
        <v/>
      </c>
      <c r="K83" s="78" t="str">
        <f t="shared" si="32"/>
        <v/>
      </c>
      <c r="L83" s="78" t="str">
        <f t="shared" si="32"/>
        <v/>
      </c>
      <c r="M83" t="str">
        <f t="shared" si="32"/>
        <v/>
      </c>
      <c r="N83" t="str">
        <f t="shared" si="31"/>
        <v>If non-zero, players need to change amount(s)</v>
      </c>
    </row>
    <row r="84" spans="1:14" x14ac:dyDescent="0.35">
      <c r="A84" s="1" t="str">
        <f>IF(A82="","","   Available Water [maf]")</f>
        <v xml:space="preserve">   Available Water [maf]</v>
      </c>
      <c r="C84" s="14">
        <f>IF(OR(C$26="",$A84=""),"",C33+C51-C43-C81)</f>
        <v>11.59116925</v>
      </c>
      <c r="D84" s="14">
        <f ca="1">IF(OR(D$26="",$A84=""),"",D33+D51-D43-D81)</f>
        <v>11.59116925</v>
      </c>
      <c r="E84" s="14">
        <f ca="1">IF(OR(E$26="",$A84=""),"",E33+E51-E43-E81)</f>
        <v>11.59116925</v>
      </c>
      <c r="F84" s="14">
        <f ca="1">IF(OR(F$26="",$A84=""),"",F33+F51-F43-F81)</f>
        <v>11.59116925</v>
      </c>
      <c r="G84" s="14">
        <f ca="1">IF(OR(G$26="",$A84=""),"",G33+G51-G43-G81)</f>
        <v>11.59116925</v>
      </c>
      <c r="H84" s="14" t="str">
        <f>IF(OR(H$26="",$A84=""),"",H33+H51-H43-H81)</f>
        <v/>
      </c>
      <c r="I84" s="14" t="str">
        <f>IF(OR(I$26="",$A84=""),"",I33+I51-I43-I81)</f>
        <v/>
      </c>
      <c r="J84" s="14" t="str">
        <f>IF(OR(J$26="",$A84=""),"",J33+J51-J43-J81)</f>
        <v/>
      </c>
      <c r="K84" s="14" t="str">
        <f>IF(OR(K$26="",$A84=""),"",K33+K51-K43-K81)</f>
        <v/>
      </c>
      <c r="L84" s="14" t="str">
        <f>IF(OR(L$26="",$A84=""),"",L33+L51-L43-L81)</f>
        <v/>
      </c>
      <c r="N84" t="str">
        <f t="shared" si="31"/>
        <v>Available water = Account Balance + Available Inflow - Evaporation + Sales - Purchases</v>
      </c>
    </row>
    <row r="85" spans="1:14" x14ac:dyDescent="0.35">
      <c r="A85" s="1" t="str">
        <f>IF(A84="","","   Account Withdraw [maf]")</f>
        <v xml:space="preserve">   Account Withdraw [maf]</v>
      </c>
      <c r="C85" s="43"/>
      <c r="D85" s="43"/>
      <c r="E85" s="43"/>
      <c r="F85" s="43"/>
      <c r="G85" s="43"/>
      <c r="H85" s="43"/>
      <c r="I85" s="43"/>
      <c r="J85" s="43"/>
      <c r="K85" s="43"/>
      <c r="L85" s="43"/>
      <c r="N85" t="str">
        <f t="shared" si="31"/>
        <v>Must be less than Available water</v>
      </c>
    </row>
    <row r="86" spans="1:14" x14ac:dyDescent="0.35">
      <c r="A86" s="32" t="str">
        <f>IF(A85="","","   End of Year Balance [maf]")</f>
        <v xml:space="preserve">   End of Year Balance [maf]</v>
      </c>
      <c r="C86" s="77">
        <f>IF(OR(C$26="",$A86=""),"",C84-C85)</f>
        <v>11.59116925</v>
      </c>
      <c r="D86" s="77">
        <f t="shared" ref="D86" ca="1" si="33">IF(OR(D$26="",$A86=""),"",D84-D85)</f>
        <v>11.59116925</v>
      </c>
      <c r="E86" s="77">
        <f t="shared" ref="E86" ca="1" si="34">IF(OR(E$26="",$A86=""),"",E84-E85)</f>
        <v>11.59116925</v>
      </c>
      <c r="F86" s="77">
        <f t="shared" ref="F86" ca="1" si="35">IF(OR(F$26="",$A86=""),"",F84-F85)</f>
        <v>11.59116925</v>
      </c>
      <c r="G86" s="77">
        <f t="shared" ref="G86" ca="1" si="36">IF(OR(G$26="",$A86=""),"",G84-G85)</f>
        <v>11.59116925</v>
      </c>
      <c r="H86" s="77" t="str">
        <f t="shared" ref="H86" si="37">IF(OR(H$26="",$A86=""),"",H84-H85)</f>
        <v/>
      </c>
      <c r="I86" s="77" t="str">
        <f t="shared" ref="I86" si="38">IF(OR(I$26="",$A86=""),"",I84-I85)</f>
        <v/>
      </c>
      <c r="J86" s="77" t="str">
        <f t="shared" ref="J86" si="39">IF(OR(J$26="",$A86=""),"",J84-J85)</f>
        <v/>
      </c>
      <c r="K86" s="77" t="str">
        <f t="shared" ref="K86" si="40">IF(OR(K$26="",$A86=""),"",K84-K85)</f>
        <v/>
      </c>
      <c r="L86" s="77" t="str">
        <f t="shared" ref="L86" si="41">IF(OR(L$26="",$A86=""),"",L84-L85)</f>
        <v/>
      </c>
      <c r="N86" t="str">
        <f t="shared" si="31"/>
        <v>Available water - Account Withdraw</v>
      </c>
    </row>
    <row r="87" spans="1:14" x14ac:dyDescent="0.35">
      <c r="C87"/>
    </row>
    <row r="88" spans="1:14" x14ac:dyDescent="0.35">
      <c r="A88" s="79" t="str">
        <f>IF(A$10="","[Unused]",A10)</f>
        <v>[Unused]</v>
      </c>
      <c r="B88" s="80"/>
      <c r="C88" s="80"/>
      <c r="D88" s="80"/>
      <c r="E88" s="80"/>
      <c r="F88" s="80"/>
      <c r="G88" s="80"/>
      <c r="H88" s="80"/>
      <c r="I88" s="80"/>
      <c r="J88" s="80"/>
      <c r="K88" s="80"/>
      <c r="L88" s="80"/>
      <c r="M88" s="81" t="s">
        <v>107</v>
      </c>
      <c r="N88" s="79" t="s">
        <v>175</v>
      </c>
    </row>
    <row r="89" spans="1:14" x14ac:dyDescent="0.35">
      <c r="A89" s="32" t="str">
        <f>IF(A88="[Unused]","","   Volume of Sales(+) and Purchases(-) [maf]")</f>
        <v/>
      </c>
      <c r="C89" s="25"/>
      <c r="D89" s="25"/>
      <c r="E89" s="25"/>
      <c r="F89" s="25"/>
      <c r="G89" s="25"/>
      <c r="H89" s="25"/>
      <c r="I89" s="25"/>
      <c r="J89" s="25"/>
      <c r="K89" s="25"/>
      <c r="L89" s="25"/>
      <c r="M89" s="78">
        <f>SUM(C89:L89)</f>
        <v>0</v>
      </c>
      <c r="N89" t="str">
        <f>IF(A89="","",N81)</f>
        <v/>
      </c>
    </row>
    <row r="90" spans="1:14" x14ac:dyDescent="0.35">
      <c r="A90" s="32" t="str">
        <f>IF(A89="","","   Cash Intake(+) and Payments(-) [$ Mill]")</f>
        <v/>
      </c>
      <c r="C90" s="76"/>
      <c r="D90" s="76"/>
      <c r="E90" s="76"/>
      <c r="F90" s="76"/>
      <c r="G90" s="76"/>
      <c r="H90" s="76"/>
      <c r="I90" s="76"/>
      <c r="J90" s="76"/>
      <c r="K90" s="76"/>
      <c r="L90" s="76"/>
      <c r="M90" s="75">
        <f>SUM(C90:L90)</f>
        <v>0</v>
      </c>
      <c r="N90" t="str">
        <f t="shared" ref="N90:N94" si="42">IF(A90="","",N82)</f>
        <v/>
      </c>
    </row>
    <row r="91" spans="1:14" x14ac:dyDescent="0.35">
      <c r="A91" s="32" t="str">
        <f>IF(A90="","","   Volume all players (should be zero)")</f>
        <v/>
      </c>
      <c r="C91" s="78" t="str">
        <f t="shared" ref="C91:M91" si="43">IF(OR(C$26="",$A91=""),"",C$112)</f>
        <v/>
      </c>
      <c r="D91" s="78" t="str">
        <f t="shared" si="43"/>
        <v/>
      </c>
      <c r="E91" s="78" t="str">
        <f t="shared" si="43"/>
        <v/>
      </c>
      <c r="F91" s="78" t="str">
        <f t="shared" si="43"/>
        <v/>
      </c>
      <c r="G91" s="78" t="str">
        <f t="shared" si="43"/>
        <v/>
      </c>
      <c r="H91" s="78" t="str">
        <f t="shared" si="43"/>
        <v/>
      </c>
      <c r="I91" s="78" t="str">
        <f t="shared" si="43"/>
        <v/>
      </c>
      <c r="J91" s="78" t="str">
        <f t="shared" si="43"/>
        <v/>
      </c>
      <c r="K91" s="78" t="str">
        <f t="shared" si="43"/>
        <v/>
      </c>
      <c r="L91" s="78" t="str">
        <f t="shared" si="43"/>
        <v/>
      </c>
      <c r="M91" t="str">
        <f t="shared" si="43"/>
        <v/>
      </c>
      <c r="N91" t="str">
        <f t="shared" si="42"/>
        <v/>
      </c>
    </row>
    <row r="92" spans="1:14" x14ac:dyDescent="0.35">
      <c r="A92" s="1" t="str">
        <f>IF(A90="","","   Available Water [maf]")</f>
        <v/>
      </c>
      <c r="C92" s="14" t="str">
        <f t="shared" ref="C92:L92" si="44">IF(OR(C$26="",$A92=""),"",C34+C52-C44-C89)</f>
        <v/>
      </c>
      <c r="D92" s="14" t="str">
        <f t="shared" si="44"/>
        <v/>
      </c>
      <c r="E92" s="14" t="str">
        <f t="shared" si="44"/>
        <v/>
      </c>
      <c r="F92" s="14" t="str">
        <f t="shared" si="44"/>
        <v/>
      </c>
      <c r="G92" s="14" t="str">
        <f t="shared" si="44"/>
        <v/>
      </c>
      <c r="H92" s="14" t="str">
        <f t="shared" si="44"/>
        <v/>
      </c>
      <c r="I92" s="14" t="str">
        <f t="shared" si="44"/>
        <v/>
      </c>
      <c r="J92" s="14" t="str">
        <f t="shared" si="44"/>
        <v/>
      </c>
      <c r="K92" s="14" t="str">
        <f t="shared" si="44"/>
        <v/>
      </c>
      <c r="L92" s="14" t="str">
        <f t="shared" si="44"/>
        <v/>
      </c>
      <c r="N92" t="str">
        <f t="shared" si="42"/>
        <v/>
      </c>
    </row>
    <row r="93" spans="1:14" x14ac:dyDescent="0.35">
      <c r="A93" s="1" t="str">
        <f>IF(A92="","","   Account Withdraw [maf]")</f>
        <v/>
      </c>
      <c r="C93" s="43"/>
      <c r="D93" s="43"/>
      <c r="E93" s="43"/>
      <c r="F93" s="43"/>
      <c r="G93" s="43"/>
      <c r="H93" s="43"/>
      <c r="I93" s="43"/>
      <c r="J93" s="43"/>
      <c r="K93" s="43"/>
      <c r="L93" s="43"/>
      <c r="N93" t="str">
        <f t="shared" si="42"/>
        <v/>
      </c>
    </row>
    <row r="94" spans="1:14" x14ac:dyDescent="0.35">
      <c r="A94" s="32" t="str">
        <f>IF(A93="","","   End of Year Balance [maf]")</f>
        <v/>
      </c>
      <c r="C94" s="77" t="str">
        <f>IF(OR(C$26="",$A94=""),"",C92-C93)</f>
        <v/>
      </c>
      <c r="D94" s="77" t="str">
        <f t="shared" ref="D94" si="45">IF(OR(D$26="",$A94=""),"",D92-D93)</f>
        <v/>
      </c>
      <c r="E94" s="77" t="str">
        <f t="shared" ref="E94" si="46">IF(OR(E$26="",$A94=""),"",E92-E93)</f>
        <v/>
      </c>
      <c r="F94" s="77" t="str">
        <f t="shared" ref="F94" si="47">IF(OR(F$26="",$A94=""),"",F92-F93)</f>
        <v/>
      </c>
      <c r="G94" s="77" t="str">
        <f t="shared" ref="G94" si="48">IF(OR(G$26="",$A94=""),"",G92-G93)</f>
        <v/>
      </c>
      <c r="H94" s="77" t="str">
        <f t="shared" ref="H94" si="49">IF(OR(H$26="",$A94=""),"",H92-H93)</f>
        <v/>
      </c>
      <c r="I94" s="77" t="str">
        <f t="shared" ref="I94" si="50">IF(OR(I$26="",$A94=""),"",I92-I93)</f>
        <v/>
      </c>
      <c r="J94" s="77" t="str">
        <f t="shared" ref="J94" si="51">IF(OR(J$26="",$A94=""),"",J92-J93)</f>
        <v/>
      </c>
      <c r="K94" s="77" t="str">
        <f t="shared" ref="K94" si="52">IF(OR(K$26="",$A94=""),"",K92-K93)</f>
        <v/>
      </c>
      <c r="L94" s="77" t="str">
        <f t="shared" ref="L94" si="53">IF(OR(L$26="",$A94=""),"",L92-L93)</f>
        <v/>
      </c>
      <c r="N94" t="str">
        <f t="shared" si="42"/>
        <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54">IF(A98="","",N90)</f>
        <v/>
      </c>
    </row>
    <row r="99" spans="1:14" x14ac:dyDescent="0.35">
      <c r="A99" s="32" t="str">
        <f>IF(A98="","","   Volume all players (should be zero)")</f>
        <v/>
      </c>
      <c r="C99" s="78" t="str">
        <f t="shared" ref="C99:M99" si="55">IF(OR(C$26="",$A99=""),"",C$112)</f>
        <v/>
      </c>
      <c r="D99" s="78" t="str">
        <f t="shared" si="55"/>
        <v/>
      </c>
      <c r="E99" s="78" t="str">
        <f t="shared" si="55"/>
        <v/>
      </c>
      <c r="F99" s="78" t="str">
        <f t="shared" si="55"/>
        <v/>
      </c>
      <c r="G99" s="78" t="str">
        <f t="shared" si="55"/>
        <v/>
      </c>
      <c r="H99" s="78" t="str">
        <f t="shared" si="55"/>
        <v/>
      </c>
      <c r="I99" s="78" t="str">
        <f t="shared" si="55"/>
        <v/>
      </c>
      <c r="J99" s="78" t="str">
        <f t="shared" si="55"/>
        <v/>
      </c>
      <c r="K99" s="78" t="str">
        <f t="shared" si="55"/>
        <v/>
      </c>
      <c r="L99" s="78" t="str">
        <f t="shared" si="55"/>
        <v/>
      </c>
      <c r="M99" t="str">
        <f t="shared" si="55"/>
        <v/>
      </c>
      <c r="N99" t="str">
        <f t="shared" si="54"/>
        <v/>
      </c>
    </row>
    <row r="100" spans="1:14" x14ac:dyDescent="0.35">
      <c r="A100" s="1" t="str">
        <f>IF(A98="","","   Available Water [maf]")</f>
        <v/>
      </c>
      <c r="C100" s="14" t="str">
        <f t="shared" ref="C100:L100" si="56">IF(OR(C$26="",$A100=""),"",C35+C53-C45-C97)</f>
        <v/>
      </c>
      <c r="D100" s="14" t="str">
        <f t="shared" si="56"/>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c>
      <c r="C101" s="43"/>
      <c r="D101" s="43"/>
      <c r="E101" s="43"/>
      <c r="F101" s="43"/>
      <c r="G101" s="43"/>
      <c r="H101" s="43"/>
      <c r="I101" s="43"/>
      <c r="J101" s="43"/>
      <c r="K101" s="43"/>
      <c r="L101" s="43"/>
      <c r="N101" t="str">
        <f t="shared" si="54"/>
        <v/>
      </c>
    </row>
    <row r="102" spans="1:14" x14ac:dyDescent="0.35">
      <c r="A102" s="32" t="str">
        <f>IF(A101="","","   End of Year Balance [maf]")</f>
        <v/>
      </c>
      <c r="C102" s="77" t="str">
        <f>IF(OR(C$26="",$A102=""),"",C100-C101)</f>
        <v/>
      </c>
      <c r="D102" s="77" t="str">
        <f t="shared" ref="D102" si="57">IF(OR(D$26="",$A102=""),"",D100-D101)</f>
        <v/>
      </c>
      <c r="E102" s="77" t="str">
        <f t="shared" ref="E102" si="58">IF(OR(E$26="",$A102=""),"",E100-E101)</f>
        <v/>
      </c>
      <c r="F102" s="77" t="str">
        <f t="shared" ref="F102" si="59">IF(OR(F$26="",$A102=""),"",F100-F101)</f>
        <v/>
      </c>
      <c r="G102" s="77" t="str">
        <f t="shared" ref="G102" si="60">IF(OR(G$26="",$A102=""),"",G100-G101)</f>
        <v/>
      </c>
      <c r="H102" s="77" t="str">
        <f t="shared" ref="H102" si="61">IF(OR(H$26="",$A102=""),"",H100-H101)</f>
        <v/>
      </c>
      <c r="I102" s="77" t="str">
        <f t="shared" ref="I102" si="62">IF(OR(I$26="",$A102=""),"",I100-I101)</f>
        <v/>
      </c>
      <c r="J102" s="77" t="str">
        <f t="shared" ref="J102" si="63">IF(OR(J$26="",$A102=""),"",J100-J101)</f>
        <v/>
      </c>
      <c r="K102" s="77" t="str">
        <f t="shared" ref="K102" si="64">IF(OR(K$26="",$A102=""),"",K100-K101)</f>
        <v/>
      </c>
      <c r="L102" s="77" t="str">
        <f t="shared" ref="L102" si="65">IF(OR(L$26="",$A102=""),"",L100-L101)</f>
        <v/>
      </c>
      <c r="N102" t="str">
        <f t="shared" si="54"/>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IF(A6="","","    "&amp;A6)</f>
        <v xml:space="preserve">    Upper Basin</v>
      </c>
      <c r="B106" s="1"/>
      <c r="C106" s="78">
        <f t="shared" ref="C106:L106" ca="1" si="66">IF(OR(C$26="",$A106=""),"",OFFSET(C$57,8*(ROW(B106)-ROW(B$106)),0))</f>
        <v>0.6</v>
      </c>
      <c r="D106" s="78">
        <f t="shared" ca="1" si="66"/>
        <v>-0.6</v>
      </c>
      <c r="E106" s="78">
        <f t="shared" ca="1" si="66"/>
        <v>-1.8</v>
      </c>
      <c r="F106" s="78">
        <f t="shared" ca="1" si="66"/>
        <v>-0.1</v>
      </c>
      <c r="G106" s="78">
        <f t="shared" ca="1" si="66"/>
        <v>0</v>
      </c>
      <c r="H106" s="78" t="str">
        <f t="shared" ca="1" si="66"/>
        <v/>
      </c>
      <c r="I106" s="78" t="str">
        <f t="shared" ca="1" si="66"/>
        <v/>
      </c>
      <c r="J106" s="78" t="str">
        <f t="shared" ca="1" si="66"/>
        <v/>
      </c>
      <c r="K106" s="78" t="str">
        <f t="shared" ca="1" si="66"/>
        <v/>
      </c>
      <c r="L106" s="78" t="str">
        <f t="shared" ca="1" si="66"/>
        <v/>
      </c>
      <c r="M106" s="78">
        <f ca="1">IF(OR($A106=""),"",SUM(C106:L106))</f>
        <v>-1.9000000000000001</v>
      </c>
      <c r="N106" s="75">
        <f>IF(OR($A106=""),"",M58)</f>
        <v>-2050</v>
      </c>
    </row>
    <row r="107" spans="1:14" x14ac:dyDescent="0.35">
      <c r="A107" t="str">
        <f>IF(A7="","","    "&amp;A7)</f>
        <v xml:space="preserve">    Lower Basin</v>
      </c>
      <c r="B107" s="1"/>
      <c r="C107" s="78">
        <f t="shared" ref="C107:L107" ca="1" si="67">IF(OR(C$26="",$A107=""),"",OFFSET(C$57,8*(ROW(B107)-ROW(B$106)),0))</f>
        <v>-0.6</v>
      </c>
      <c r="D107" s="78">
        <f t="shared" ca="1" si="67"/>
        <v>0.6</v>
      </c>
      <c r="E107" s="78">
        <f t="shared" ca="1" si="67"/>
        <v>1.6</v>
      </c>
      <c r="F107" s="78">
        <f t="shared" ca="1" si="67"/>
        <v>0</v>
      </c>
      <c r="G107" s="78">
        <f t="shared" ca="1" si="67"/>
        <v>0</v>
      </c>
      <c r="H107" s="78" t="str">
        <f t="shared" ca="1" si="67"/>
        <v/>
      </c>
      <c r="I107" s="78" t="str">
        <f t="shared" ca="1" si="67"/>
        <v/>
      </c>
      <c r="J107" s="78" t="str">
        <f t="shared" ca="1" si="67"/>
        <v/>
      </c>
      <c r="K107" s="78" t="str">
        <f t="shared" ca="1" si="67"/>
        <v/>
      </c>
      <c r="L107" s="78" t="str">
        <f t="shared" ca="1" si="67"/>
        <v/>
      </c>
      <c r="M107" s="78">
        <f t="shared" ref="M107:M111" ca="1" si="68">IF(OR($A107=""),"",SUM(C107:L107))</f>
        <v>1.6</v>
      </c>
      <c r="N107" s="75">
        <f>IF(OR($A107=""),"",M66)</f>
        <v>1600</v>
      </c>
    </row>
    <row r="108" spans="1:14" x14ac:dyDescent="0.35">
      <c r="A108" t="str">
        <f>IF(A8="","","    "&amp;A8)</f>
        <v xml:space="preserve">    Mexico</v>
      </c>
      <c r="B108" s="1"/>
      <c r="C108" s="78">
        <f t="shared" ref="C108:L108" ca="1" si="69">IF(OR(C$26="",$A108=""),"",OFFSET(C$57,8*(ROW(B108)-ROW(B$106)),0))</f>
        <v>0</v>
      </c>
      <c r="D108" s="78">
        <f t="shared" ca="1" si="69"/>
        <v>0</v>
      </c>
      <c r="E108" s="78">
        <f t="shared" ca="1" si="69"/>
        <v>0.2</v>
      </c>
      <c r="F108" s="78">
        <f t="shared" ca="1" si="69"/>
        <v>0.1</v>
      </c>
      <c r="G108" s="78">
        <f t="shared" ca="1" si="69"/>
        <v>0</v>
      </c>
      <c r="H108" s="78" t="str">
        <f t="shared" ca="1" si="69"/>
        <v/>
      </c>
      <c r="I108" s="78" t="str">
        <f t="shared" ca="1" si="69"/>
        <v/>
      </c>
      <c r="J108" s="78" t="str">
        <f t="shared" ca="1" si="69"/>
        <v/>
      </c>
      <c r="K108" s="78" t="str">
        <f t="shared" ca="1" si="69"/>
        <v/>
      </c>
      <c r="L108" s="78" t="str">
        <f t="shared" ca="1" si="69"/>
        <v/>
      </c>
      <c r="M108" s="78">
        <f t="shared" ca="1" si="68"/>
        <v>0.30000000000000004</v>
      </c>
      <c r="N108" s="75">
        <f>IF(OR($A108=""),"",M74)</f>
        <v>450</v>
      </c>
    </row>
    <row r="109" spans="1:14" x14ac:dyDescent="0.35">
      <c r="A109" t="str">
        <f>IF(A9="","","    "&amp;A9)</f>
        <v xml:space="preserve">    Shared, Reserve</v>
      </c>
      <c r="B109" s="1"/>
      <c r="C109" s="78">
        <f t="shared" ref="C109:L109" ca="1" si="70">IF(OR(C$26="",$A109=""),"",OFFSET(C$57,8*(ROW(B109)-ROW(B$106)),0))</f>
        <v>0</v>
      </c>
      <c r="D109" s="78">
        <f t="shared" ca="1" si="70"/>
        <v>0</v>
      </c>
      <c r="E109" s="78">
        <f t="shared" ca="1" si="70"/>
        <v>0</v>
      </c>
      <c r="F109" s="78">
        <f t="shared" ca="1" si="70"/>
        <v>0</v>
      </c>
      <c r="G109" s="78">
        <f t="shared" ca="1" si="70"/>
        <v>0</v>
      </c>
      <c r="H109" s="78" t="str">
        <f t="shared" ca="1" si="70"/>
        <v/>
      </c>
      <c r="I109" s="78" t="str">
        <f t="shared" ca="1" si="70"/>
        <v/>
      </c>
      <c r="J109" s="78" t="str">
        <f t="shared" ca="1" si="70"/>
        <v/>
      </c>
      <c r="K109" s="78" t="str">
        <f t="shared" ca="1" si="70"/>
        <v/>
      </c>
      <c r="L109" s="78" t="str">
        <f t="shared" ca="1" si="70"/>
        <v/>
      </c>
      <c r="M109" s="78">
        <f t="shared" ca="1" si="68"/>
        <v>0</v>
      </c>
      <c r="N109" s="75">
        <f>IF(OR($A109=""),"",M82)</f>
        <v>0</v>
      </c>
    </row>
    <row r="110" spans="1:14" x14ac:dyDescent="0.35">
      <c r="A110" t="str">
        <f>IF(A10="","","    "&amp;A10)</f>
        <v/>
      </c>
      <c r="B110" s="1"/>
      <c r="C110" s="78" t="str">
        <f t="shared" ref="C110:L110" ca="1" si="71">IF(OR(C$26="",$A110=""),"",OFFSET(C$57,8*(ROW(B110)-ROW(B$106)),0))</f>
        <v/>
      </c>
      <c r="D110" s="78" t="str">
        <f t="shared" ca="1" si="71"/>
        <v/>
      </c>
      <c r="E110" s="78" t="str">
        <f t="shared" ca="1" si="71"/>
        <v/>
      </c>
      <c r="F110" s="78" t="str">
        <f t="shared" ca="1" si="71"/>
        <v/>
      </c>
      <c r="G110" s="78" t="str">
        <f t="shared" ca="1" si="71"/>
        <v/>
      </c>
      <c r="H110" s="78" t="str">
        <f t="shared" ca="1" si="71"/>
        <v/>
      </c>
      <c r="I110" s="78" t="str">
        <f t="shared" ca="1" si="71"/>
        <v/>
      </c>
      <c r="J110" s="78" t="str">
        <f t="shared" ca="1" si="71"/>
        <v/>
      </c>
      <c r="K110" s="78" t="str">
        <f t="shared" ca="1" si="71"/>
        <v/>
      </c>
      <c r="L110" s="78" t="str">
        <f t="shared" ca="1" si="71"/>
        <v/>
      </c>
      <c r="M110" s="78" t="str">
        <f t="shared" si="68"/>
        <v/>
      </c>
      <c r="N110" s="75" t="str">
        <f>IF(OR($A110=""),"",M90)</f>
        <v/>
      </c>
    </row>
    <row r="111" spans="1:14" x14ac:dyDescent="0.35">
      <c r="A111" t="str">
        <f>IF(A11="","","    "&amp;A11)</f>
        <v/>
      </c>
      <c r="B111" s="1"/>
      <c r="C111" s="78" t="str">
        <f t="shared" ref="C111:L111" ca="1" si="72">IF(OR(C$26="",$A111=""),"",OFFSET(C$57,8*(ROW(B111)-ROW(B$106)),0))</f>
        <v/>
      </c>
      <c r="D111" s="78" t="str">
        <f t="shared" ca="1" si="72"/>
        <v/>
      </c>
      <c r="E111" s="78" t="str">
        <f t="shared" ca="1" si="72"/>
        <v/>
      </c>
      <c r="F111" s="78" t="str">
        <f t="shared" ca="1" si="72"/>
        <v/>
      </c>
      <c r="G111" s="78" t="str">
        <f t="shared" ca="1" si="72"/>
        <v/>
      </c>
      <c r="H111" s="78" t="str">
        <f t="shared" ca="1" si="72"/>
        <v/>
      </c>
      <c r="I111" s="78" t="str">
        <f t="shared" ca="1" si="72"/>
        <v/>
      </c>
      <c r="J111" s="78" t="str">
        <f t="shared" ca="1" si="72"/>
        <v/>
      </c>
      <c r="K111" s="78" t="str">
        <f t="shared" ca="1" si="72"/>
        <v/>
      </c>
      <c r="L111" s="78" t="str">
        <f t="shared" ca="1" si="72"/>
        <v/>
      </c>
      <c r="M111" s="78" t="str">
        <f t="shared" si="68"/>
        <v/>
      </c>
      <c r="N111" s="75" t="str">
        <f>IF(OR($A111=""),"",M98)</f>
        <v/>
      </c>
    </row>
    <row r="112" spans="1:14" x14ac:dyDescent="0.35">
      <c r="A112" t="s">
        <v>146</v>
      </c>
      <c r="B112" s="1"/>
      <c r="C112" s="52">
        <f ca="1">IF(C$26&lt;&gt;"",SUM(C106:C111),"")</f>
        <v>0</v>
      </c>
      <c r="D112" s="52">
        <f t="shared" ref="D112:L112" ca="1" si="73">IF(D$26&lt;&gt;"",SUM(D106:D111),"")</f>
        <v>0</v>
      </c>
      <c r="E112" s="178">
        <f t="shared" ca="1" si="73"/>
        <v>5.5511151231257827E-17</v>
      </c>
      <c r="F112" s="52">
        <f t="shared" ca="1" si="73"/>
        <v>0</v>
      </c>
      <c r="G112" s="52">
        <f t="shared" ca="1" si="73"/>
        <v>0</v>
      </c>
      <c r="H112" s="52" t="str">
        <f t="shared" si="73"/>
        <v/>
      </c>
      <c r="I112" s="52" t="str">
        <f t="shared" si="73"/>
        <v/>
      </c>
      <c r="J112" s="52" t="str">
        <f t="shared" si="73"/>
        <v/>
      </c>
      <c r="K112" s="52" t="str">
        <f t="shared" si="73"/>
        <v/>
      </c>
      <c r="L112" s="52" t="str">
        <f t="shared" si="73"/>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74">IF(OR(C$26="",$A114=""),"",OFFSET(C$61,8*(ROW(B114)-ROW(B$114)),0))</f>
        <v>3.5</v>
      </c>
      <c r="D114" s="78">
        <f t="shared" ca="1" si="74"/>
        <v>2.9</v>
      </c>
      <c r="E114" s="78">
        <f t="shared" ca="1" si="74"/>
        <v>2</v>
      </c>
      <c r="F114" s="78">
        <f t="shared" ca="1" si="74"/>
        <v>0.7</v>
      </c>
      <c r="G114" s="78">
        <f t="shared" ca="1" si="74"/>
        <v>0.3</v>
      </c>
      <c r="H114" s="78" t="str">
        <f t="shared" ca="1" si="74"/>
        <v/>
      </c>
      <c r="I114" s="78" t="str">
        <f t="shared" ca="1" si="74"/>
        <v/>
      </c>
      <c r="J114" s="78" t="str">
        <f t="shared" ca="1" si="74"/>
        <v/>
      </c>
      <c r="K114" s="78" t="str">
        <f t="shared" ca="1" si="74"/>
        <v/>
      </c>
      <c r="L114" s="78" t="str">
        <f t="shared" ca="1" si="74"/>
        <v/>
      </c>
    </row>
    <row r="115" spans="1:12" x14ac:dyDescent="0.35">
      <c r="A115" t="str">
        <f>IF(A7="","","    "&amp;A7&amp;" - Release from Mead")</f>
        <v xml:space="preserve">    Lower Basin - Release from Mead</v>
      </c>
      <c r="C115" s="78">
        <f t="shared" ref="C115:L115" ca="1" si="75">IF(OR(C$26="",$A115=""),"",OFFSET(C$61,8*(ROW(B115)-ROW(B$114)),0))</f>
        <v>7</v>
      </c>
      <c r="D115" s="78">
        <f t="shared" ca="1" si="75"/>
        <v>6.8</v>
      </c>
      <c r="E115" s="78">
        <f t="shared" ca="1" si="75"/>
        <v>6.7</v>
      </c>
      <c r="F115" s="78">
        <f t="shared" ca="1" si="75"/>
        <v>6.6</v>
      </c>
      <c r="G115" s="78">
        <f t="shared" ca="1" si="75"/>
        <v>6.6</v>
      </c>
      <c r="H115" s="78" t="str">
        <f t="shared" ca="1" si="75"/>
        <v/>
      </c>
      <c r="I115" s="78" t="str">
        <f t="shared" ca="1" si="75"/>
        <v/>
      </c>
      <c r="J115" s="78" t="str">
        <f t="shared" ca="1" si="75"/>
        <v/>
      </c>
      <c r="K115" s="78" t="str">
        <f t="shared" ca="1" si="75"/>
        <v/>
      </c>
      <c r="L115" s="78" t="str">
        <f t="shared" ca="1" si="75"/>
        <v/>
      </c>
    </row>
    <row r="116" spans="1:12" x14ac:dyDescent="0.35">
      <c r="A116" t="str">
        <f>IF(A8="","","    "&amp;A8&amp;" - Release from Mead")</f>
        <v xml:space="preserve">    Mexico - Release from Mead</v>
      </c>
      <c r="C116" s="78">
        <f t="shared" ref="C116:L116" ca="1" si="76">IF(OR(C$26="",$A116=""),"",OFFSET(C$61,8*(ROW(B116)-ROW(B$114)),0))</f>
        <v>1.5</v>
      </c>
      <c r="D116" s="78">
        <f t="shared" ca="1" si="76"/>
        <v>1.2</v>
      </c>
      <c r="E116" s="78">
        <f t="shared" ca="1" si="76"/>
        <v>1.2</v>
      </c>
      <c r="F116" s="78">
        <f t="shared" ca="1" si="76"/>
        <v>1.2</v>
      </c>
      <c r="G116" s="78">
        <f t="shared" ca="1" si="76"/>
        <v>1.2</v>
      </c>
      <c r="H116" s="78" t="str">
        <f t="shared" ca="1" si="76"/>
        <v/>
      </c>
      <c r="I116" s="78" t="str">
        <f t="shared" ca="1" si="76"/>
        <v/>
      </c>
      <c r="J116" s="78" t="str">
        <f t="shared" ca="1" si="76"/>
        <v/>
      </c>
      <c r="K116" s="78" t="str">
        <f t="shared" ca="1" si="76"/>
        <v/>
      </c>
      <c r="L116" s="78" t="str">
        <f t="shared" ca="1" si="76"/>
        <v/>
      </c>
    </row>
    <row r="117" spans="1:12" x14ac:dyDescent="0.35">
      <c r="A117" t="str">
        <f>IF(A9="","","    "&amp;A9&amp;" - Release from Mead")</f>
        <v xml:space="preserve">    Shared, Reserve - Release from Mead</v>
      </c>
      <c r="C117" s="78">
        <f t="shared" ref="C117:L117" ca="1" si="77">IF(OR(C$26="",$A117=""),"",OFFSET(C$61,8*(ROW(B117)-ROW(B$114)),0))</f>
        <v>0</v>
      </c>
      <c r="D117" s="78">
        <f t="shared" ca="1" si="77"/>
        <v>0</v>
      </c>
      <c r="E117" s="78">
        <f t="shared" ca="1" si="77"/>
        <v>0</v>
      </c>
      <c r="F117" s="78">
        <f t="shared" ca="1" si="77"/>
        <v>0</v>
      </c>
      <c r="G117" s="78">
        <f t="shared" ca="1" si="77"/>
        <v>0</v>
      </c>
      <c r="H117" s="78" t="str">
        <f t="shared" ca="1" si="77"/>
        <v/>
      </c>
      <c r="I117" s="78" t="str">
        <f t="shared" ca="1" si="77"/>
        <v/>
      </c>
      <c r="J117" s="78" t="str">
        <f t="shared" ca="1" si="77"/>
        <v/>
      </c>
      <c r="K117" s="78" t="str">
        <f t="shared" ca="1" si="77"/>
        <v/>
      </c>
      <c r="L117" s="78" t="str">
        <f t="shared" ca="1" si="77"/>
        <v/>
      </c>
    </row>
    <row r="118" spans="1:12" x14ac:dyDescent="0.35">
      <c r="A118" t="str">
        <f>IF(A10="","","    "&amp;A10&amp;" - Release from Mead")</f>
        <v/>
      </c>
      <c r="C118" s="78" t="str">
        <f t="shared" ref="C118:L118" ca="1" si="78">IF(OR(C$26="",$A118=""),"",OFFSET(C$61,8*(ROW(B118)-ROW(B$114)),0))</f>
        <v/>
      </c>
      <c r="D118" s="78" t="str">
        <f t="shared" ca="1" si="78"/>
        <v/>
      </c>
      <c r="E118" s="78" t="str">
        <f t="shared" ca="1" si="78"/>
        <v/>
      </c>
      <c r="F118" s="78" t="str">
        <f t="shared" ca="1" si="78"/>
        <v/>
      </c>
      <c r="G118" s="78" t="str">
        <f t="shared" ca="1" si="78"/>
        <v/>
      </c>
      <c r="H118" s="78" t="str">
        <f t="shared" ca="1" si="78"/>
        <v/>
      </c>
      <c r="I118" s="78" t="str">
        <f t="shared" ca="1" si="78"/>
        <v/>
      </c>
      <c r="J118" s="78" t="str">
        <f t="shared" ca="1" si="78"/>
        <v/>
      </c>
      <c r="K118" s="78" t="str">
        <f t="shared" ca="1" si="78"/>
        <v/>
      </c>
      <c r="L118" s="78" t="str">
        <f t="shared" ca="1" si="78"/>
        <v/>
      </c>
    </row>
    <row r="119" spans="1:12" x14ac:dyDescent="0.35">
      <c r="A119" t="str">
        <f>IF(A11="","","    "&amp;A11&amp;" - Release from Mead")</f>
        <v/>
      </c>
      <c r="C119" s="78" t="str">
        <f t="shared" ref="C119:L119" ca="1" si="79">IF(OR(C$26="",$A119=""),"",OFFSET(C$61,8*(ROW(B119)-ROW(B$114)),0))</f>
        <v/>
      </c>
      <c r="D119" s="78" t="str">
        <f t="shared" ca="1" si="79"/>
        <v/>
      </c>
      <c r="E119" s="78" t="str">
        <f t="shared" ca="1" si="79"/>
        <v/>
      </c>
      <c r="F119" s="78" t="str">
        <f t="shared" ca="1" si="79"/>
        <v/>
      </c>
      <c r="G119" s="78" t="str">
        <f t="shared" ca="1" si="79"/>
        <v/>
      </c>
      <c r="H119" s="78" t="str">
        <f t="shared" ca="1" si="79"/>
        <v/>
      </c>
      <c r="I119" s="78" t="str">
        <f t="shared" ca="1" si="79"/>
        <v/>
      </c>
      <c r="J119" s="78" t="str">
        <f t="shared" ca="1" si="79"/>
        <v/>
      </c>
      <c r="K119" s="78" t="str">
        <f t="shared" ca="1" si="79"/>
        <v/>
      </c>
      <c r="L119" s="78" t="str">
        <f t="shared" ca="1" si="79"/>
        <v/>
      </c>
    </row>
    <row r="120" spans="1:12" x14ac:dyDescent="0.35">
      <c r="A120" s="1" t="s">
        <v>139</v>
      </c>
      <c r="B120" s="1"/>
      <c r="D120" s="2"/>
      <c r="E120" s="2"/>
      <c r="F120" s="2"/>
      <c r="G120" s="2"/>
      <c r="H120" s="2"/>
      <c r="I120" s="2"/>
      <c r="J120" s="2"/>
      <c r="K120" s="2"/>
      <c r="L120" s="2"/>
    </row>
    <row r="121" spans="1:12" x14ac:dyDescent="0.35">
      <c r="A121" t="str">
        <f>IF(A6="","","    "&amp;A6)</f>
        <v xml:space="preserve">    Upper Basin</v>
      </c>
      <c r="C121" s="78">
        <f t="shared" ref="C121:L121" ca="1" si="80">IF(OR(C$26="",$A121=""),"",OFFSET(C$62,8*(ROW(B121)-ROW(B$121)),0))</f>
        <v>3.5040452368981789</v>
      </c>
      <c r="D121" s="78">
        <f t="shared" ca="1" si="80"/>
        <v>1.8046756171877996</v>
      </c>
      <c r="E121" s="78">
        <f t="shared" ca="1" si="80"/>
        <v>1.5073083708761699</v>
      </c>
      <c r="F121" s="78">
        <f t="shared" ca="1" si="80"/>
        <v>0.82025417022418101</v>
      </c>
      <c r="G121" s="78">
        <f t="shared" ca="1" si="80"/>
        <v>0.47182833761887805</v>
      </c>
      <c r="H121" s="78" t="str">
        <f t="shared" ca="1" si="80"/>
        <v/>
      </c>
      <c r="I121" s="78" t="str">
        <f t="shared" ca="1" si="80"/>
        <v/>
      </c>
      <c r="J121" s="78" t="str">
        <f t="shared" ca="1" si="80"/>
        <v/>
      </c>
      <c r="K121" s="78" t="str">
        <f t="shared" ca="1" si="80"/>
        <v/>
      </c>
      <c r="L121" s="78" t="str">
        <f t="shared" ca="1" si="80"/>
        <v/>
      </c>
    </row>
    <row r="122" spans="1:12" x14ac:dyDescent="0.35">
      <c r="A122" t="str">
        <f>IF(A7="","","    "&amp;A7)</f>
        <v xml:space="preserve">    Lower Basin</v>
      </c>
      <c r="C122" s="78">
        <f t="shared" ref="C122:L122" ca="1" si="81">IF(OR(C$26="",$A122=""),"",OFFSET(C$62,8*(ROW(B122)-ROW(B$121)),0))</f>
        <v>4.0699815232907888</v>
      </c>
      <c r="D122" s="78">
        <f t="shared" ca="1" si="81"/>
        <v>2.8610195042827629</v>
      </c>
      <c r="E122" s="78">
        <f t="shared" ca="1" si="81"/>
        <v>0.86795057260783626</v>
      </c>
      <c r="F122" s="78">
        <f t="shared" ca="1" si="81"/>
        <v>0.63504403319325053</v>
      </c>
      <c r="G122" s="78">
        <f t="shared" ca="1" si="81"/>
        <v>0.28690448498040944</v>
      </c>
      <c r="H122" s="78" t="str">
        <f t="shared" ca="1" si="81"/>
        <v/>
      </c>
      <c r="I122" s="78" t="str">
        <f t="shared" ca="1" si="81"/>
        <v/>
      </c>
      <c r="J122" s="78" t="str">
        <f t="shared" ca="1" si="81"/>
        <v/>
      </c>
      <c r="K122" s="78" t="str">
        <f t="shared" ca="1" si="81"/>
        <v/>
      </c>
      <c r="L122" s="78" t="str">
        <f t="shared" ca="1" si="81"/>
        <v/>
      </c>
    </row>
    <row r="123" spans="1:12" x14ac:dyDescent="0.35">
      <c r="A123" t="str">
        <f>IF(A8="","","    "&amp;A8)</f>
        <v xml:space="preserve">    Mexico</v>
      </c>
      <c r="C123" s="78">
        <f t="shared" ref="C123:L123" ca="1" si="82">IF(OR(C$26="",$A123=""),"",OFFSET(C$62,8*(ROW(B123)-ROW(B$121)),0))</f>
        <v>0.11290630981105854</v>
      </c>
      <c r="D123" s="78">
        <f t="shared" ca="1" si="82"/>
        <v>0.35457819453003792</v>
      </c>
      <c r="E123" s="78">
        <f t="shared" ca="1" si="82"/>
        <v>0.14878105251659535</v>
      </c>
      <c r="F123" s="78">
        <f t="shared" ca="1" si="82"/>
        <v>5.3521575082570605E-2</v>
      </c>
      <c r="G123" s="78">
        <f t="shared" ca="1" si="82"/>
        <v>0.17669512340071503</v>
      </c>
      <c r="H123" s="78" t="str">
        <f t="shared" ca="1" si="82"/>
        <v/>
      </c>
      <c r="I123" s="78" t="str">
        <f t="shared" ca="1" si="82"/>
        <v/>
      </c>
      <c r="J123" s="78" t="str">
        <f t="shared" ca="1" si="82"/>
        <v/>
      </c>
      <c r="K123" s="78" t="str">
        <f t="shared" ca="1" si="82"/>
        <v/>
      </c>
      <c r="L123" s="78" t="str">
        <f t="shared" ca="1" si="82"/>
        <v/>
      </c>
    </row>
    <row r="124" spans="1:12" x14ac:dyDescent="0.35">
      <c r="A124" t="str">
        <f>IF(A9="","","    "&amp;A9)</f>
        <v xml:space="preserve">    Shared, Reserve</v>
      </c>
      <c r="C124" s="78">
        <f t="shared" ref="C124:L124" ca="1" si="83">IF(OR(C$26="",$A124=""),"",OFFSET(C$62,8*(ROW(B124)-ROW(B$121)),0))</f>
        <v>11.59116925</v>
      </c>
      <c r="D124" s="78">
        <f t="shared" ca="1" si="83"/>
        <v>11.59116925</v>
      </c>
      <c r="E124" s="78">
        <f t="shared" ca="1" si="83"/>
        <v>11.59116925</v>
      </c>
      <c r="F124" s="78">
        <f t="shared" ca="1" si="83"/>
        <v>11.59116925</v>
      </c>
      <c r="G124" s="78">
        <f t="shared" ca="1" si="83"/>
        <v>11.59116925</v>
      </c>
      <c r="H124" s="78" t="str">
        <f t="shared" ca="1" si="83"/>
        <v/>
      </c>
      <c r="I124" s="78" t="str">
        <f t="shared" ca="1" si="83"/>
        <v/>
      </c>
      <c r="J124" s="78" t="str">
        <f t="shared" ca="1" si="83"/>
        <v/>
      </c>
      <c r="K124" s="78" t="str">
        <f t="shared" ca="1" si="83"/>
        <v/>
      </c>
      <c r="L124" s="78" t="str">
        <f t="shared" ca="1" si="83"/>
        <v/>
      </c>
    </row>
    <row r="125" spans="1:12" x14ac:dyDescent="0.35">
      <c r="A125" t="str">
        <f>IF(A10="","","    "&amp;A10)</f>
        <v/>
      </c>
      <c r="C125" s="78" t="str">
        <f t="shared" ref="C125:L125" ca="1" si="84">IF(OR(C$26="",$A125=""),"",OFFSET(C$62,8*(ROW(B125)-ROW(B$121)),0))</f>
        <v/>
      </c>
      <c r="D125" s="78" t="str">
        <f t="shared" ca="1" si="84"/>
        <v/>
      </c>
      <c r="E125" s="78" t="str">
        <f t="shared" ca="1" si="84"/>
        <v/>
      </c>
      <c r="F125" s="78" t="str">
        <f t="shared" ca="1" si="84"/>
        <v/>
      </c>
      <c r="G125" s="78" t="str">
        <f t="shared" ca="1" si="84"/>
        <v/>
      </c>
      <c r="H125" s="78" t="str">
        <f t="shared" ca="1" si="84"/>
        <v/>
      </c>
      <c r="I125" s="78" t="str">
        <f t="shared" ca="1" si="84"/>
        <v/>
      </c>
      <c r="J125" s="78" t="str">
        <f t="shared" ca="1" si="84"/>
        <v/>
      </c>
      <c r="K125" s="78" t="str">
        <f t="shared" ca="1" si="84"/>
        <v/>
      </c>
      <c r="L125" s="78" t="str">
        <f t="shared" ca="1" si="84"/>
        <v/>
      </c>
    </row>
    <row r="126" spans="1:12" x14ac:dyDescent="0.35">
      <c r="A126" t="str">
        <f>IF(A11="","","    "&amp;A11)</f>
        <v/>
      </c>
      <c r="C126" s="78" t="str">
        <f t="shared" ref="C126:L126" ca="1" si="85">IF(OR(C$26="",$A126=""),"",OFFSET(C$62,8*(ROW(B126)-ROW(B$121)),0))</f>
        <v/>
      </c>
      <c r="D126" s="78" t="str">
        <f t="shared" ca="1" si="85"/>
        <v/>
      </c>
      <c r="E126" s="78" t="str">
        <f t="shared" ca="1" si="85"/>
        <v/>
      </c>
      <c r="F126" s="78" t="str">
        <f t="shared" ca="1" si="85"/>
        <v/>
      </c>
      <c r="G126" s="78" t="str">
        <f t="shared" ca="1" si="85"/>
        <v/>
      </c>
      <c r="H126" s="78" t="str">
        <f t="shared" ca="1" si="85"/>
        <v/>
      </c>
      <c r="I126" s="78" t="str">
        <f t="shared" ca="1" si="85"/>
        <v/>
      </c>
      <c r="J126" s="78" t="str">
        <f t="shared" ca="1" si="85"/>
        <v/>
      </c>
      <c r="K126" s="78" t="str">
        <f t="shared" ca="1" si="85"/>
        <v/>
      </c>
      <c r="L126" s="78" t="str">
        <f t="shared" ca="1" si="85"/>
        <v/>
      </c>
    </row>
    <row r="127" spans="1:12" x14ac:dyDescent="0.35">
      <c r="A127" s="1" t="s">
        <v>123</v>
      </c>
      <c r="B127" s="1"/>
      <c r="C127" s="14">
        <f ca="1">IF(C$26&lt;&gt;"",SUM(C121:C126),"")</f>
        <v>19.278102320000027</v>
      </c>
      <c r="D127" s="14">
        <f t="shared" ref="D127:L127" ca="1" si="86">IF(D$26&lt;&gt;"",SUM(D121:D126),"")</f>
        <v>16.611442566000601</v>
      </c>
      <c r="E127" s="14">
        <f t="shared" ca="1" si="86"/>
        <v>14.115209246000601</v>
      </c>
      <c r="F127" s="14">
        <f t="shared" ca="1" si="86"/>
        <v>13.099989028500001</v>
      </c>
      <c r="G127" s="14">
        <f t="shared" ca="1" si="86"/>
        <v>12.526597196000003</v>
      </c>
      <c r="H127" s="14" t="str">
        <f t="shared" si="86"/>
        <v/>
      </c>
      <c r="I127" s="14" t="str">
        <f t="shared" si="86"/>
        <v/>
      </c>
      <c r="J127" s="14" t="str">
        <f t="shared" si="86"/>
        <v/>
      </c>
      <c r="K127" s="14" t="str">
        <f t="shared" si="86"/>
        <v/>
      </c>
      <c r="L127" s="14" t="str">
        <f t="shared" si="86"/>
        <v/>
      </c>
    </row>
    <row r="128" spans="1:12" x14ac:dyDescent="0.35">
      <c r="A128" s="1" t="s">
        <v>206</v>
      </c>
      <c r="B128" s="1"/>
      <c r="C128" s="87">
        <v>0.5</v>
      </c>
      <c r="D128" s="87">
        <v>0.65</v>
      </c>
      <c r="E128" s="87">
        <v>0.85</v>
      </c>
      <c r="F128" s="87">
        <v>0.5</v>
      </c>
      <c r="G128" s="87">
        <v>0.5</v>
      </c>
      <c r="H128" s="87"/>
      <c r="I128" s="87"/>
      <c r="J128" s="87"/>
      <c r="K128" s="87"/>
      <c r="L128" s="87"/>
    </row>
    <row r="129" spans="1:14" x14ac:dyDescent="0.35">
      <c r="A129" s="1" t="s">
        <v>202</v>
      </c>
      <c r="B129" s="1"/>
      <c r="C129" s="14">
        <f ca="1">IF(C26="","",C$128*C$127)</f>
        <v>9.6390511600000135</v>
      </c>
      <c r="D129" s="14">
        <f t="shared" ref="D129:L129" ca="1" si="87">IF(D26="","",D$128*D$127)</f>
        <v>10.797437667900391</v>
      </c>
      <c r="E129" s="14">
        <f t="shared" ca="1" si="87"/>
        <v>11.997927859100511</v>
      </c>
      <c r="F129" s="14">
        <f t="shared" ca="1" si="87"/>
        <v>6.5499945142500007</v>
      </c>
      <c r="G129" s="14">
        <f t="shared" ca="1" si="87"/>
        <v>6.2632985980000013</v>
      </c>
      <c r="H129" s="14" t="str">
        <f t="shared" si="87"/>
        <v/>
      </c>
      <c r="I129" s="14" t="str">
        <f t="shared" si="87"/>
        <v/>
      </c>
      <c r="J129" s="14" t="str">
        <f t="shared" si="87"/>
        <v/>
      </c>
      <c r="K129" s="14" t="str">
        <f t="shared" si="87"/>
        <v/>
      </c>
      <c r="L129" s="14" t="str">
        <f t="shared" si="87"/>
        <v/>
      </c>
    </row>
    <row r="130" spans="1:14" x14ac:dyDescent="0.35">
      <c r="A130" s="1" t="s">
        <v>203</v>
      </c>
      <c r="B130" s="1"/>
      <c r="C130" s="14">
        <f ca="1">IF(C27="","",(1-C$128)*C$127)</f>
        <v>9.6390511600000135</v>
      </c>
      <c r="D130" s="14">
        <f t="shared" ref="D130:L130" ca="1" si="88">IF(D27="","",(1-D$128)*D$127)</f>
        <v>5.8140048981002099</v>
      </c>
      <c r="E130" s="14">
        <f t="shared" ca="1" si="88"/>
        <v>2.1172813869000904</v>
      </c>
      <c r="F130" s="14">
        <f t="shared" ca="1" si="88"/>
        <v>6.5499945142500007</v>
      </c>
      <c r="G130" s="14">
        <f t="shared" ca="1" si="88"/>
        <v>6.2632985980000013</v>
      </c>
      <c r="H130" s="14" t="str">
        <f t="shared" si="88"/>
        <v/>
      </c>
      <c r="I130" s="14" t="str">
        <f t="shared" si="88"/>
        <v/>
      </c>
      <c r="J130" s="14" t="str">
        <f t="shared" si="88"/>
        <v/>
      </c>
      <c r="K130" s="14" t="str">
        <f t="shared" si="88"/>
        <v/>
      </c>
      <c r="L130" s="14" t="str">
        <f t="shared" si="88"/>
        <v/>
      </c>
    </row>
    <row r="131" spans="1:14" x14ac:dyDescent="0.35">
      <c r="A131" s="32" t="s">
        <v>305</v>
      </c>
      <c r="B131" s="1"/>
      <c r="C131" s="117">
        <f ca="1">IF(C$26&lt;&gt;"",VLOOKUP(C129*1000000,'Powell-Elevation-Area'!$B$5:$H$689,7),"")</f>
        <v>3576</v>
      </c>
      <c r="D131" s="117">
        <f ca="1">IF(D$26&lt;&gt;"",VLOOKUP(D129*1000000,'Powell-Elevation-Area'!$B$5:$H$689,7),"")</f>
        <v>3589.5</v>
      </c>
      <c r="E131" s="117">
        <f ca="1">IF(E$26&lt;&gt;"",VLOOKUP(E129*1000000,'Powell-Elevation-Area'!$B$5:$H$689,7),"")</f>
        <v>3602.5</v>
      </c>
      <c r="F131" s="117">
        <f ca="1">IF(F$26&lt;&gt;"",VLOOKUP(F129*1000000,'Powell-Elevation-Area'!$B$5:$H$689,7),"")</f>
        <v>3534.5</v>
      </c>
      <c r="G131" s="117">
        <f ca="1">IF(G$26&lt;&gt;"",VLOOKUP(G129*1000000,'Powell-Elevation-Area'!$B$5:$H$689,7),"")</f>
        <v>3530</v>
      </c>
      <c r="H131" s="117" t="str">
        <f>IF(H$26&lt;&gt;"",VLOOKUP(H129*1000000,'Powell-Elevation-Area'!$B$5:$H$689,7),"")</f>
        <v/>
      </c>
      <c r="I131" s="117" t="str">
        <f>IF(I$26&lt;&gt;"",VLOOKUP(I129*1000000,'Powell-Elevation-Area'!$B$5:$H$689,7),"")</f>
        <v/>
      </c>
      <c r="J131" s="117" t="str">
        <f>IF(J$26&lt;&gt;"",VLOOKUP(J129*1000000,'Powell-Elevation-Area'!$B$5:$H$689,7),"")</f>
        <v/>
      </c>
      <c r="K131" s="117" t="str">
        <f>IF(K$26&lt;&gt;"",VLOOKUP(K129*1000000,'Powell-Elevation-Area'!$B$5:$H$689,7),"")</f>
        <v/>
      </c>
      <c r="L131" s="117" t="str">
        <f>IF(L$26&lt;&gt;"",VLOOKUP(L129*1000000,'Powell-Elevation-Area'!$B$5:$H$689,7),"")</f>
        <v/>
      </c>
    </row>
    <row r="132" spans="1:14" x14ac:dyDescent="0.35">
      <c r="A132" s="32" t="s">
        <v>306</v>
      </c>
      <c r="B132" s="1"/>
      <c r="C132" s="117">
        <f ca="1">IF(C$26&lt;&gt;"",VLOOKUP(C130*1000000,'Mead-Elevation-Area'!$B$5:$H$689,7),"")</f>
        <v>1075</v>
      </c>
      <c r="D132" s="117">
        <f ca="1">IF(D$26&lt;&gt;"",VLOOKUP(D130*1000000,'Mead-Elevation-Area'!$B$5:$H$689,7),"")</f>
        <v>1022</v>
      </c>
      <c r="E132" s="117">
        <f ca="1">IF(E$26&lt;&gt;"",VLOOKUP(E130*1000000,'Mead-Elevation-Area'!$B$5:$H$689,7),"")</f>
        <v>952.5</v>
      </c>
      <c r="F132" s="117">
        <f ca="1">IF(F$26&lt;&gt;"",VLOOKUP(F130*1000000,'Mead-Elevation-Area'!$B$5:$H$689,7),"")</f>
        <v>1033.5</v>
      </c>
      <c r="G132" s="117">
        <f ca="1">IF(G$26&lt;&gt;"",VLOOKUP(G130*1000000,'Mead-Elevation-Area'!$B$5:$H$689,7),"")</f>
        <v>1029</v>
      </c>
      <c r="H132" s="117" t="str">
        <f>IF(H$26&lt;&gt;"",VLOOKUP(H130*1000000,'Mead-Elevation-Area'!$B$5:$H$689,7),"")</f>
        <v/>
      </c>
      <c r="I132" s="117" t="str">
        <f>IF(I$26&lt;&gt;"",VLOOKUP(I130*1000000,'Mead-Elevation-Area'!$B$5:$H$689,7),"")</f>
        <v/>
      </c>
      <c r="J132" s="117" t="str">
        <f>IF(J$26&lt;&gt;"",VLOOKUP(J130*1000000,'Mead-Elevation-Area'!$B$5:$H$689,7),"")</f>
        <v/>
      </c>
      <c r="K132" s="117" t="str">
        <f>IF(K$26&lt;&gt;"",VLOOKUP(K130*1000000,'Mead-Elevation-Area'!$B$5:$H$689,7),"")</f>
        <v/>
      </c>
      <c r="L132" s="117" t="str">
        <f>IF(L$26&lt;&gt;"",VLOOKUP(L130*1000000,'Mead-Elevation-Area'!$B$5:$H$689,7),"")</f>
        <v/>
      </c>
    </row>
    <row r="133" spans="1:14" x14ac:dyDescent="0.35">
      <c r="A133" s="1" t="s">
        <v>319</v>
      </c>
      <c r="B133" s="1"/>
    </row>
    <row r="134" spans="1:14" x14ac:dyDescent="0.35">
      <c r="A134" s="32" t="s">
        <v>320</v>
      </c>
      <c r="B134" s="1"/>
      <c r="C134" s="14">
        <f ca="1">IF(C$26&lt;&gt;"",-C129+C37+C26-C61-VLOOKUP(C37*1000000,'Powell-Elevation-Area'!$B$5:$D$689,3)*$B$20/1000000,"")</f>
        <v>8.3380519599994134</v>
      </c>
      <c r="D134" s="14">
        <f ca="1">IF(D$26&lt;&gt;"",-D129+D37+D26-D61-VLOOKUP(D37*1000000,'Powell-Elevation-Area'!$B$5:$D$689,3)*$B$20/1000000,"")</f>
        <v>4.4618417381001949</v>
      </c>
      <c r="E134" s="14">
        <f ca="1">IF(E$26&lt;&gt;"",-E129+E37+E26-E61-VLOOKUP(E37*1000000,'Powell-Elevation-Area'!$B$5:$D$689,3)*$B$20/1000000,"")</f>
        <v>4.3821824887998808</v>
      </c>
      <c r="F134" s="14">
        <f ca="1">IF(F$26&lt;&gt;"",-F129+F37+F26-F61-VLOOKUP(F37*1000000,'Powell-Elevation-Area'!$B$5:$D$689,3)*$B$20/1000000,"")</f>
        <v>12.293815127350511</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204</v>
      </c>
    </row>
    <row r="135" spans="1:14" x14ac:dyDescent="0.35">
      <c r="A135" s="32" t="s">
        <v>321</v>
      </c>
      <c r="B135" s="1"/>
      <c r="C135" s="117" t="str">
        <f ca="1">IF(C$26&lt;&gt;"",VLOOKUP(C131,PowellReleaseTemperature!$A$5:$B$11,2),"")</f>
        <v>&lt; 18</v>
      </c>
      <c r="D135" s="117" t="str">
        <f ca="1">IF(D$26&lt;&gt;"",VLOOKUP(D131,PowellReleaseTemperature!$A$5:$B$11,2),"")</f>
        <v>&lt; 18</v>
      </c>
      <c r="E135" s="117" t="str">
        <f ca="1">IF(E$26&lt;&gt;"",VLOOKUP(E131,PowellReleaseTemperature!$A$5:$B$11,2),"")</f>
        <v>&lt; 15</v>
      </c>
      <c r="F135" s="117" t="str">
        <f ca="1">IF(F$26&lt;&gt;"",VLOOKUP(F131,PowellReleaseTemperature!$A$5:$B$11,2),"")</f>
        <v>&lt; 18</v>
      </c>
      <c r="G135" s="117" t="str">
        <f ca="1">IF(G$26&lt;&gt;"",VLOOKUP(G131,PowellReleaseTemperature!$A$5:$B$11,2),"")</f>
        <v>&lt; 18</v>
      </c>
      <c r="H135" s="117" t="str">
        <f>IF(H$26&lt;&gt;"",VLOOKUP(H131,PowellReleaseTemperature!$A$5:$B$11,2),"")</f>
        <v/>
      </c>
      <c r="I135" s="117" t="str">
        <f>IF(I$26&lt;&gt;"",VLOOKUP(I131,PowellReleaseTemperature!$A$5:$B$11,2),"")</f>
        <v/>
      </c>
      <c r="J135" s="117" t="str">
        <f>IF(J$26&lt;&gt;"",VLOOKUP(J131,PowellReleaseTemperature!$A$5:$B$11,2),"")</f>
        <v/>
      </c>
      <c r="K135" s="117" t="str">
        <f>IF(K$26&lt;&gt;"",VLOOKUP(K131,PowellReleaseTemperature!$A$5:$B$11,2),"")</f>
        <v/>
      </c>
      <c r="L135" s="117" t="str">
        <f>IF(L$26&lt;&gt;"",VLOOKUP(L131,PowellReleaseTemperature!$A$5:$B$11,2),"")</f>
        <v/>
      </c>
      <c r="N135" t="s">
        <v>326</v>
      </c>
    </row>
    <row r="136" spans="1:14" x14ac:dyDescent="0.35">
      <c r="C136" s="29"/>
    </row>
    <row r="137" spans="1:14" x14ac:dyDescent="0.35">
      <c r="A137" s="1" t="s">
        <v>125</v>
      </c>
      <c r="C137" s="12">
        <f>IF(C$26&lt;&gt;"",0.2,"")</f>
        <v>0.2</v>
      </c>
      <c r="D137" s="12">
        <f t="shared" ref="D137:L137" si="89">IF(D$26&lt;&gt;"",0.2,"")</f>
        <v>0.2</v>
      </c>
      <c r="E137" s="12">
        <f t="shared" si="89"/>
        <v>0.2</v>
      </c>
      <c r="F137" s="12">
        <f t="shared" si="89"/>
        <v>0.2</v>
      </c>
      <c r="G137" s="12">
        <f t="shared" si="89"/>
        <v>0.2</v>
      </c>
      <c r="H137" s="12" t="str">
        <f t="shared" si="89"/>
        <v/>
      </c>
      <c r="I137" s="12" t="str">
        <f t="shared" si="89"/>
        <v/>
      </c>
      <c r="J137" s="12" t="str">
        <f t="shared" si="89"/>
        <v/>
      </c>
      <c r="K137" s="12" t="str">
        <f t="shared" si="89"/>
        <v/>
      </c>
      <c r="L137" s="12" t="str">
        <f t="shared" si="89"/>
        <v/>
      </c>
    </row>
    <row r="138" spans="1:14" x14ac:dyDescent="0.35">
      <c r="A138" t="s">
        <v>126</v>
      </c>
      <c r="C138" s="14">
        <f t="shared" ref="C138:L138" ca="1" si="90">IF(C$26&lt;&gt;"",C115+C137,"")</f>
        <v>7.2</v>
      </c>
      <c r="D138" s="14">
        <f t="shared" ca="1" si="90"/>
        <v>7</v>
      </c>
      <c r="E138" s="14">
        <f t="shared" ca="1" si="90"/>
        <v>6.9</v>
      </c>
      <c r="F138" s="14">
        <f t="shared" ca="1" si="90"/>
        <v>6.8</v>
      </c>
      <c r="G138" s="14">
        <f t="shared" ca="1" si="90"/>
        <v>6.8</v>
      </c>
      <c r="H138" s="14" t="str">
        <f t="shared" si="90"/>
        <v/>
      </c>
      <c r="I138" s="14" t="str">
        <f t="shared" si="90"/>
        <v/>
      </c>
      <c r="J138" s="14" t="str">
        <f t="shared" si="90"/>
        <v/>
      </c>
      <c r="K138" s="14" t="str">
        <f t="shared" si="90"/>
        <v/>
      </c>
      <c r="L138" s="14" t="str">
        <f t="shared" si="90"/>
        <v/>
      </c>
    </row>
    <row r="140" spans="1:14" x14ac:dyDescent="0.35">
      <c r="D140" s="18"/>
    </row>
  </sheetData>
  <mergeCells count="12">
    <mergeCell ref="B13:E13"/>
    <mergeCell ref="B14:E14"/>
    <mergeCell ref="B15:E15"/>
    <mergeCell ref="C9:G9"/>
    <mergeCell ref="C10:G10"/>
    <mergeCell ref="C11:G11"/>
    <mergeCell ref="A3:G3"/>
    <mergeCell ref="C4:G4"/>
    <mergeCell ref="C5:G5"/>
    <mergeCell ref="C6:G6"/>
    <mergeCell ref="C7:G7"/>
    <mergeCell ref="C8:G8"/>
  </mergeCells>
  <conditionalFormatting sqref="D61">
    <cfRule type="cellIs" dxfId="233" priority="83" operator="greaterThan">
      <formula>$D$60</formula>
    </cfRule>
  </conditionalFormatting>
  <conditionalFormatting sqref="C61">
    <cfRule type="cellIs" dxfId="232" priority="72" operator="greaterThan">
      <formula>$C$60</formula>
    </cfRule>
  </conditionalFormatting>
  <conditionalFormatting sqref="E61">
    <cfRule type="cellIs" dxfId="231" priority="70" operator="greaterThan">
      <formula>$E$60</formula>
    </cfRule>
  </conditionalFormatting>
  <conditionalFormatting sqref="F61">
    <cfRule type="cellIs" dxfId="230" priority="69" operator="greaterThan">
      <formula>$F$60</formula>
    </cfRule>
  </conditionalFormatting>
  <conditionalFormatting sqref="G61">
    <cfRule type="cellIs" dxfId="229" priority="68" operator="greaterThan">
      <formula>$G$60</formula>
    </cfRule>
  </conditionalFormatting>
  <conditionalFormatting sqref="H61">
    <cfRule type="cellIs" dxfId="228" priority="67" operator="greaterThan">
      <formula>$H$60</formula>
    </cfRule>
  </conditionalFormatting>
  <conditionalFormatting sqref="I61">
    <cfRule type="cellIs" dxfId="227" priority="66" operator="greaterThan">
      <formula>$I$60</formula>
    </cfRule>
  </conditionalFormatting>
  <conditionalFormatting sqref="J61">
    <cfRule type="cellIs" dxfId="226" priority="65" operator="greaterThan">
      <formula>$J$60</formula>
    </cfRule>
  </conditionalFormatting>
  <conditionalFormatting sqref="K61">
    <cfRule type="cellIs" dxfId="225" priority="64" operator="greaterThan">
      <formula>$K$60</formula>
    </cfRule>
  </conditionalFormatting>
  <conditionalFormatting sqref="L61">
    <cfRule type="cellIs" dxfId="224" priority="63" operator="greaterThan">
      <formula>$L$60</formula>
    </cfRule>
  </conditionalFormatting>
  <conditionalFormatting sqref="C69">
    <cfRule type="cellIs" dxfId="223" priority="55" operator="greaterThan">
      <formula>$C$68</formula>
    </cfRule>
  </conditionalFormatting>
  <conditionalFormatting sqref="D69">
    <cfRule type="cellIs" dxfId="222" priority="54" operator="greaterThan">
      <formula>$D$68</formula>
    </cfRule>
  </conditionalFormatting>
  <conditionalFormatting sqref="E69">
    <cfRule type="cellIs" dxfId="221" priority="53" operator="greaterThan">
      <formula>$E$68</formula>
    </cfRule>
  </conditionalFormatting>
  <conditionalFormatting sqref="F69">
    <cfRule type="cellIs" dxfId="220" priority="52" operator="greaterThan">
      <formula>$F$68</formula>
    </cfRule>
  </conditionalFormatting>
  <conditionalFormatting sqref="G69">
    <cfRule type="cellIs" dxfId="219" priority="51" operator="greaterThan">
      <formula>$G$68</formula>
    </cfRule>
  </conditionalFormatting>
  <conditionalFormatting sqref="H69">
    <cfRule type="cellIs" dxfId="218" priority="50" operator="greaterThan">
      <formula>$H$68</formula>
    </cfRule>
  </conditionalFormatting>
  <conditionalFormatting sqref="I69">
    <cfRule type="cellIs" dxfId="217" priority="49" operator="greaterThan">
      <formula>$I$68</formula>
    </cfRule>
  </conditionalFormatting>
  <conditionalFormatting sqref="J69">
    <cfRule type="cellIs" dxfId="216" priority="48" operator="greaterThan">
      <formula>$J$68</formula>
    </cfRule>
  </conditionalFormatting>
  <conditionalFormatting sqref="K69">
    <cfRule type="cellIs" dxfId="215" priority="47" operator="greaterThan">
      <formula>$K$68</formula>
    </cfRule>
  </conditionalFormatting>
  <conditionalFormatting sqref="L69">
    <cfRule type="cellIs" dxfId="214" priority="46" operator="greaterThan">
      <formula>$L$68</formula>
    </cfRule>
  </conditionalFormatting>
  <conditionalFormatting sqref="C77">
    <cfRule type="cellIs" dxfId="213" priority="45" operator="greaterThan">
      <formula>$C$76</formula>
    </cfRule>
  </conditionalFormatting>
  <conditionalFormatting sqref="D77">
    <cfRule type="cellIs" dxfId="212" priority="44" operator="greaterThan">
      <formula>$D$76</formula>
    </cfRule>
  </conditionalFormatting>
  <conditionalFormatting sqref="E77">
    <cfRule type="cellIs" dxfId="211" priority="43" operator="greaterThan">
      <formula>$E$76</formula>
    </cfRule>
  </conditionalFormatting>
  <conditionalFormatting sqref="F77">
    <cfRule type="cellIs" dxfId="210" priority="42" operator="greaterThan">
      <formula>$F$76</formula>
    </cfRule>
  </conditionalFormatting>
  <conditionalFormatting sqref="G77">
    <cfRule type="cellIs" dxfId="209" priority="41" operator="greaterThan">
      <formula>$G$76</formula>
    </cfRule>
  </conditionalFormatting>
  <conditionalFormatting sqref="H77">
    <cfRule type="cellIs" dxfId="208" priority="40" operator="greaterThan">
      <formula>$H$76</formula>
    </cfRule>
  </conditionalFormatting>
  <conditionalFormatting sqref="I77">
    <cfRule type="cellIs" dxfId="207" priority="39" operator="greaterThan">
      <formula>$I$76</formula>
    </cfRule>
  </conditionalFormatting>
  <conditionalFormatting sqref="J77">
    <cfRule type="cellIs" dxfId="206" priority="38" operator="greaterThan">
      <formula>$J$76</formula>
    </cfRule>
  </conditionalFormatting>
  <conditionalFormatting sqref="K77">
    <cfRule type="cellIs" dxfId="205" priority="37" operator="greaterThan">
      <formula>$K$76</formula>
    </cfRule>
  </conditionalFormatting>
  <conditionalFormatting sqref="L77">
    <cfRule type="cellIs" dxfId="204" priority="36" operator="greaterThan">
      <formula>$L$76</formula>
    </cfRule>
  </conditionalFormatting>
  <conditionalFormatting sqref="C85:L85">
    <cfRule type="cellIs" dxfId="203" priority="35" operator="greaterThan">
      <formula>$C$84</formula>
    </cfRule>
  </conditionalFormatting>
  <conditionalFormatting sqref="C93">
    <cfRule type="cellIs" dxfId="193" priority="25" operator="greaterThan">
      <formula>$C$92</formula>
    </cfRule>
  </conditionalFormatting>
  <conditionalFormatting sqref="D93">
    <cfRule type="cellIs" dxfId="192" priority="24" operator="greaterThan">
      <formula>$D$92</formula>
    </cfRule>
  </conditionalFormatting>
  <conditionalFormatting sqref="E93">
    <cfRule type="cellIs" dxfId="191" priority="23" operator="greaterThan">
      <formula>$E$92</formula>
    </cfRule>
  </conditionalFormatting>
  <conditionalFormatting sqref="F93">
    <cfRule type="cellIs" dxfId="190" priority="22" operator="greaterThan">
      <formula>$F$92</formula>
    </cfRule>
  </conditionalFormatting>
  <conditionalFormatting sqref="G93">
    <cfRule type="cellIs" dxfId="189" priority="21" operator="greaterThan">
      <formula>$G$92</formula>
    </cfRule>
  </conditionalFormatting>
  <conditionalFormatting sqref="H93">
    <cfRule type="cellIs" dxfId="188" priority="20" operator="greaterThan">
      <formula>$H$92</formula>
    </cfRule>
  </conditionalFormatting>
  <conditionalFormatting sqref="I93">
    <cfRule type="cellIs" dxfId="187" priority="19" operator="greaterThan">
      <formula>$I$92</formula>
    </cfRule>
  </conditionalFormatting>
  <conditionalFormatting sqref="J93">
    <cfRule type="cellIs" dxfId="186" priority="18" operator="greaterThan">
      <formula>$J$92</formula>
    </cfRule>
  </conditionalFormatting>
  <conditionalFormatting sqref="K93">
    <cfRule type="cellIs" dxfId="185" priority="17" operator="greaterThan">
      <formula>$K$92</formula>
    </cfRule>
  </conditionalFormatting>
  <conditionalFormatting sqref="L93">
    <cfRule type="cellIs" dxfId="184" priority="16" operator="greaterThan">
      <formula>$L$92</formula>
    </cfRule>
  </conditionalFormatting>
  <conditionalFormatting sqref="C101">
    <cfRule type="cellIs" dxfId="183" priority="15" operator="greaterThan">
      <formula>$C$100</formula>
    </cfRule>
  </conditionalFormatting>
  <conditionalFormatting sqref="D101">
    <cfRule type="cellIs" dxfId="182" priority="14" operator="greaterThan">
      <formula>$D$100</formula>
    </cfRule>
  </conditionalFormatting>
  <conditionalFormatting sqref="E101">
    <cfRule type="cellIs" dxfId="181" priority="13" operator="greaterThan">
      <formula>$E$100</formula>
    </cfRule>
  </conditionalFormatting>
  <conditionalFormatting sqref="F101">
    <cfRule type="cellIs" dxfId="180" priority="12" operator="greaterThan">
      <formula>$F$100</formula>
    </cfRule>
  </conditionalFormatting>
  <conditionalFormatting sqref="G101">
    <cfRule type="cellIs" dxfId="179" priority="11" operator="greaterThan">
      <formula>$G$100</formula>
    </cfRule>
  </conditionalFormatting>
  <conditionalFormatting sqref="H101">
    <cfRule type="cellIs" dxfId="178" priority="10" operator="greaterThan">
      <formula>$H$100</formula>
    </cfRule>
  </conditionalFormatting>
  <conditionalFormatting sqref="I101">
    <cfRule type="cellIs" dxfId="177" priority="9" operator="greaterThan">
      <formula>$I$100</formula>
    </cfRule>
  </conditionalFormatting>
  <conditionalFormatting sqref="J101">
    <cfRule type="cellIs" dxfId="176" priority="8" operator="greaterThan">
      <formula>$J$100</formula>
    </cfRule>
  </conditionalFormatting>
  <conditionalFormatting sqref="K101">
    <cfRule type="cellIs" dxfId="175" priority="7" operator="greaterThan">
      <formula>$K$100</formula>
    </cfRule>
  </conditionalFormatting>
  <conditionalFormatting sqref="L101">
    <cfRule type="cellIs" dxfId="174"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3"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71"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62"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61"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60"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9"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2DE96102-C57C-4F35-85CF-CB3027D7D3F7}">
            <xm:f>PowellReleaseTemperature!$B$7</xm:f>
            <x14:dxf>
              <font>
                <color auto="1"/>
              </font>
              <fill>
                <patternFill>
                  <bgColor rgb="FFFF0000"/>
                </patternFill>
              </fill>
            </x14:dxf>
          </x14:cfRule>
          <x14:cfRule type="cellIs" priority="2" operator="equal" id="{E0FB28DA-4CF0-4796-9A28-87B66DC3D74A}">
            <xm:f>PowellReleaseTemperature!$B$8</xm:f>
            <x14:dxf>
              <font>
                <color rgb="FF9C0006"/>
              </font>
              <fill>
                <patternFill>
                  <bgColor rgb="FFFFC7CE"/>
                </patternFill>
              </fill>
            </x14:dxf>
          </x14:cfRule>
          <x14:cfRule type="cellIs" priority="3" operator="equal" id="{97A4B0A8-9414-453C-B131-D6D738665FAB}">
            <xm:f>PowellReleaseTemperature!$B$9</xm:f>
            <x14:dxf>
              <font>
                <color auto="1"/>
              </font>
              <fill>
                <patternFill>
                  <bgColor theme="4" tint="0.39994506668294322"/>
                </patternFill>
              </fill>
            </x14:dxf>
          </x14:cfRule>
          <x14:cfRule type="cellIs" priority="4" operator="equal" id="{61E9AA2D-AFBB-47A6-87D6-7A2BF56240AB}">
            <xm:f>PowellReleaseTemperature!$B$10</xm:f>
            <x14:dxf>
              <font>
                <color auto="1"/>
              </font>
              <fill>
                <patternFill>
                  <bgColor theme="8" tint="-0.499984740745262"/>
                </patternFill>
              </fill>
            </x14:dxf>
          </x14:cfRule>
          <xm:sqref>C135:L135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40"/>
  <sheetViews>
    <sheetView topLeftCell="A24" zoomScale="150" zoomScaleNormal="150" workbookViewId="0">
      <selection activeCell="G28" sqref="G2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65" t="s">
        <v>152</v>
      </c>
      <c r="B3" s="165"/>
      <c r="C3" s="165"/>
      <c r="D3" s="165"/>
      <c r="E3" s="165"/>
      <c r="F3" s="165"/>
      <c r="G3" s="165"/>
      <c r="H3" s="85"/>
      <c r="I3" s="85"/>
      <c r="J3" s="85"/>
      <c r="K3" s="85"/>
    </row>
    <row r="4" spans="1:11" x14ac:dyDescent="0.35">
      <c r="A4" s="59" t="s">
        <v>38</v>
      </c>
      <c r="B4" s="59" t="s">
        <v>42</v>
      </c>
      <c r="C4" s="166" t="s">
        <v>43</v>
      </c>
      <c r="D4" s="167"/>
      <c r="E4" s="167"/>
      <c r="F4" s="167"/>
      <c r="G4" s="168"/>
    </row>
    <row r="5" spans="1:11" x14ac:dyDescent="0.35">
      <c r="A5" s="86" t="s">
        <v>51</v>
      </c>
      <c r="B5" s="86"/>
      <c r="C5" s="169"/>
      <c r="D5" s="169"/>
      <c r="E5" s="169"/>
      <c r="F5" s="169"/>
      <c r="G5" s="169"/>
    </row>
    <row r="6" spans="1:11" x14ac:dyDescent="0.35">
      <c r="A6" s="84" t="s">
        <v>39</v>
      </c>
      <c r="B6" s="84" t="s">
        <v>156</v>
      </c>
      <c r="C6" s="170" t="s">
        <v>153</v>
      </c>
      <c r="D6" s="170"/>
      <c r="E6" s="170"/>
      <c r="F6" s="170"/>
      <c r="G6" s="170"/>
    </row>
    <row r="7" spans="1:11" x14ac:dyDescent="0.35">
      <c r="A7" s="84" t="s">
        <v>40</v>
      </c>
      <c r="B7" s="84" t="s">
        <v>156</v>
      </c>
      <c r="C7" s="170" t="s">
        <v>153</v>
      </c>
      <c r="D7" s="170"/>
      <c r="E7" s="170"/>
      <c r="F7" s="170"/>
      <c r="G7" s="170"/>
    </row>
    <row r="8" spans="1:11" x14ac:dyDescent="0.35">
      <c r="A8" s="84" t="s">
        <v>41</v>
      </c>
      <c r="B8" s="84" t="s">
        <v>156</v>
      </c>
      <c r="C8" s="170" t="s">
        <v>153</v>
      </c>
      <c r="D8" s="170"/>
      <c r="E8" s="170"/>
      <c r="F8" s="170"/>
      <c r="G8" s="170"/>
    </row>
    <row r="9" spans="1:11" x14ac:dyDescent="0.35">
      <c r="A9" s="84" t="s">
        <v>148</v>
      </c>
      <c r="B9" s="84" t="s">
        <v>156</v>
      </c>
      <c r="C9" s="170" t="s">
        <v>154</v>
      </c>
      <c r="D9" s="170"/>
      <c r="E9" s="170"/>
      <c r="F9" s="170"/>
      <c r="G9" s="170"/>
    </row>
    <row r="10" spans="1:11" x14ac:dyDescent="0.35">
      <c r="A10" s="84" t="s">
        <v>160</v>
      </c>
      <c r="B10" s="84" t="s">
        <v>156</v>
      </c>
      <c r="C10" s="164" t="s">
        <v>187</v>
      </c>
      <c r="D10" s="164"/>
      <c r="E10" s="164"/>
      <c r="F10" s="164"/>
      <c r="G10" s="164"/>
    </row>
    <row r="11" spans="1:11" x14ac:dyDescent="0.35">
      <c r="A11" s="84"/>
      <c r="B11" s="84"/>
      <c r="C11" s="164"/>
      <c r="D11" s="164"/>
      <c r="E11" s="164"/>
      <c r="F11" s="164"/>
      <c r="G11" s="164"/>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157</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11</v>
      </c>
      <c r="D27" s="45">
        <v>9</v>
      </c>
      <c r="E27" s="45">
        <v>8.1</v>
      </c>
      <c r="F27" s="45">
        <v>8.1</v>
      </c>
      <c r="G27" s="45">
        <v>8.1</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18.888432055485019</v>
      </c>
      <c r="E29" s="14">
        <f t="shared" ref="E29:L29" ca="1" si="1">IF(E$27&lt;&gt;"",D127,"")</f>
        <v>15.368777979766044</v>
      </c>
      <c r="F29" s="14">
        <f t="shared" ca="1" si="1"/>
        <v>14.527451853932682</v>
      </c>
      <c r="G29" s="14">
        <f t="shared" ca="1" si="1"/>
        <v>14.179353953099321</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3.1233582945981313</v>
      </c>
      <c r="E30" s="14">
        <f t="shared" ref="E30:L30" ca="1" si="3">IF(OR(E$27="",$A30=""),"",D121)</f>
        <v>0</v>
      </c>
      <c r="F30" s="14">
        <f t="shared" ca="1" si="3"/>
        <v>0</v>
      </c>
      <c r="G30" s="14">
        <f t="shared" ca="1" si="3"/>
        <v>0</v>
      </c>
      <c r="H30" s="14" t="str">
        <f t="shared" si="3"/>
        <v/>
      </c>
      <c r="I30" s="14" t="str">
        <f t="shared" si="3"/>
        <v/>
      </c>
      <c r="J30" s="14" t="str">
        <f t="shared" si="3"/>
        <v/>
      </c>
      <c r="K30" s="14" t="str">
        <f t="shared" si="3"/>
        <v/>
      </c>
      <c r="L30" s="14" t="str">
        <f t="shared" si="3"/>
        <v/>
      </c>
      <c r="N30" t="s">
        <v>180</v>
      </c>
    </row>
    <row r="31" spans="1:14" x14ac:dyDescent="0.35">
      <c r="A31" t="str">
        <f t="shared" si="2"/>
        <v xml:space="preserve">    Lower Basin Balance</v>
      </c>
      <c r="B31" s="53">
        <f>C22-C24-B32</f>
        <v>4.2614069999999993</v>
      </c>
      <c r="C31" s="14">
        <f t="shared" ref="C31:C35" si="4">IF(OR(C$27="",$A31=""),"",B31)</f>
        <v>4.2614069999999993</v>
      </c>
      <c r="D31" s="14">
        <f t="shared" ref="D31:L35" ca="1" si="5">IF(OR(D$27="",$A31=""),"",C122)</f>
        <v>4.0083315344091641</v>
      </c>
      <c r="E31" s="14">
        <f t="shared" ca="1" si="5"/>
        <v>3.6204249224669756</v>
      </c>
      <c r="F31" s="14">
        <f t="shared" ca="1" si="5"/>
        <v>2.7877511675799429</v>
      </c>
      <c r="G31" s="14">
        <f t="shared" ca="1" si="5"/>
        <v>2.4480244717223947</v>
      </c>
      <c r="H31" s="14" t="str">
        <f t="shared" si="5"/>
        <v/>
      </c>
      <c r="I31" s="14" t="str">
        <f t="shared" si="5"/>
        <v/>
      </c>
      <c r="J31" s="14" t="str">
        <f t="shared" si="5"/>
        <v/>
      </c>
      <c r="K31" s="14" t="str">
        <f t="shared" si="5"/>
        <v/>
      </c>
      <c r="L31" s="14" t="str">
        <f t="shared" si="5"/>
        <v/>
      </c>
      <c r="N31" t="s">
        <v>177</v>
      </c>
    </row>
    <row r="32" spans="1:14" x14ac:dyDescent="0.35">
      <c r="A32" t="str">
        <f t="shared" si="2"/>
        <v xml:space="preserve">    Mexico Balance</v>
      </c>
      <c r="B32" s="69">
        <v>0.17399999999999999</v>
      </c>
      <c r="C32" s="57">
        <f t="shared" si="4"/>
        <v>0.17399999999999999</v>
      </c>
      <c r="D32" s="57">
        <f t="shared" ca="1" si="5"/>
        <v>0.16557297647772518</v>
      </c>
      <c r="E32" s="57">
        <f t="shared" ca="1" si="5"/>
        <v>0.15718380729906833</v>
      </c>
      <c r="F32" s="57">
        <f t="shared" ca="1" si="5"/>
        <v>0.14853143635273836</v>
      </c>
      <c r="G32" s="57">
        <f t="shared" ca="1" si="5"/>
        <v>0.14016023137692657</v>
      </c>
      <c r="H32" s="14" t="str">
        <f t="shared" si="5"/>
        <v/>
      </c>
      <c r="I32" s="14" t="str">
        <f t="shared" si="5"/>
        <v/>
      </c>
      <c r="J32" s="14" t="str">
        <f t="shared" si="5"/>
        <v/>
      </c>
      <c r="K32" s="14" t="str">
        <f t="shared" si="5"/>
        <v/>
      </c>
      <c r="L32" s="14" t="str">
        <f t="shared" si="5"/>
        <v/>
      </c>
      <c r="N32" t="s">
        <v>176</v>
      </c>
    </row>
    <row r="33" spans="1:14" x14ac:dyDescent="0.35">
      <c r="A33" t="str">
        <f t="shared" si="2"/>
        <v xml:space="preserve">    Mohave &amp; Havasu Evap &amp; ET Balance</v>
      </c>
      <c r="B33" s="54">
        <v>0</v>
      </c>
      <c r="C33" s="14">
        <f t="shared" si="4"/>
        <v>0</v>
      </c>
      <c r="D33" s="14">
        <f t="shared" ca="1" si="5"/>
        <v>0</v>
      </c>
      <c r="E33" s="14">
        <f t="shared" ca="1" si="5"/>
        <v>0</v>
      </c>
      <c r="F33" s="14">
        <f t="shared" ca="1" si="5"/>
        <v>0</v>
      </c>
      <c r="G33" s="14">
        <f t="shared" ca="1" si="5"/>
        <v>0</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f t="shared" si="4"/>
        <v>11.59116925</v>
      </c>
      <c r="D34" s="14">
        <f t="shared" ca="1" si="5"/>
        <v>11.59116925</v>
      </c>
      <c r="E34" s="14">
        <f t="shared" ca="1" si="5"/>
        <v>11.59116925</v>
      </c>
      <c r="F34" s="14">
        <f t="shared" ca="1" si="5"/>
        <v>11.59116925</v>
      </c>
      <c r="G34" s="14">
        <f t="shared" ca="1" si="5"/>
        <v>11.59116925</v>
      </c>
      <c r="H34" s="14" t="str">
        <f t="shared" si="5"/>
        <v/>
      </c>
      <c r="I34" s="14" t="str">
        <f t="shared" si="5"/>
        <v/>
      </c>
      <c r="J34" s="14" t="str">
        <f t="shared" si="5"/>
        <v/>
      </c>
      <c r="K34" s="14" t="str">
        <f t="shared" si="5"/>
        <v/>
      </c>
      <c r="L34" s="14" t="str">
        <f t="shared" si="5"/>
        <v/>
      </c>
      <c r="N34" t="s">
        <v>179</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205</v>
      </c>
      <c r="C36"/>
    </row>
    <row r="37" spans="1:14" x14ac:dyDescent="0.35">
      <c r="A37" t="s">
        <v>113</v>
      </c>
      <c r="C37" s="14">
        <f>IF(C$27&lt;&gt;"",B22,"")</f>
        <v>11</v>
      </c>
      <c r="D37" s="14">
        <f ca="1">IF(D$27&lt;&gt;"",C129,"")</f>
        <v>9.4442160277425096</v>
      </c>
      <c r="E37" s="14">
        <f t="shared" ref="E37:G38" ca="1" si="6">IF(E$27&lt;&gt;"",D129,"")</f>
        <v>7.684388989883022</v>
      </c>
      <c r="F37" s="14">
        <f t="shared" ca="1" si="6"/>
        <v>7.263725926966341</v>
      </c>
      <c r="G37" s="14">
        <f t="shared" ca="1" si="6"/>
        <v>7.0896769765496606</v>
      </c>
      <c r="H37" s="14" t="str">
        <f t="shared" ref="H37:L38" si="7">IF(H27&lt;&gt;"",$B37*H$29,"")</f>
        <v/>
      </c>
      <c r="I37" s="14" t="str">
        <f t="shared" si="7"/>
        <v/>
      </c>
      <c r="J37" s="14" t="str">
        <f t="shared" si="7"/>
        <v/>
      </c>
      <c r="K37" s="14" t="str">
        <f t="shared" si="7"/>
        <v/>
      </c>
      <c r="L37" s="14" t="str">
        <f t="shared" si="7"/>
        <v/>
      </c>
    </row>
    <row r="38" spans="1:14" x14ac:dyDescent="0.35">
      <c r="A38" t="s">
        <v>114</v>
      </c>
      <c r="C38" s="14">
        <f>IF(C$27&lt;&gt;"",C22,"")</f>
        <v>10.1</v>
      </c>
      <c r="D38" s="14">
        <f ca="1">IF(D$27&lt;&gt;"",C130,"")</f>
        <v>9.4442160277425096</v>
      </c>
      <c r="E38" s="14">
        <f t="shared" ca="1" si="6"/>
        <v>7.684388989883022</v>
      </c>
      <c r="F38" s="14">
        <f t="shared" ca="1" si="6"/>
        <v>7.263725926966341</v>
      </c>
      <c r="G38" s="14">
        <f t="shared" ca="1" si="6"/>
        <v>7.0896769765496606</v>
      </c>
      <c r="H38" s="14" t="str">
        <f t="shared" si="7"/>
        <v/>
      </c>
      <c r="I38" s="14" t="str">
        <f t="shared" si="7"/>
        <v/>
      </c>
      <c r="J38" s="14" t="str">
        <f t="shared" si="7"/>
        <v/>
      </c>
      <c r="K38" s="14" t="str">
        <f t="shared" si="7"/>
        <v/>
      </c>
      <c r="L38" s="14" t="str">
        <f t="shared" si="7"/>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0.84599279250002701</v>
      </c>
      <c r="F39" s="14">
        <f ca="1">IF(F$27&lt;&gt;"",VLOOKUP(F37*1000000,'Powell-Elevation-Area'!$B$5:$D$689,3)*$B$21/1000000 + VLOOKUP(F38*1000000,'Mead-Elevation-Area'!$B$5:$D$676,3)*$C$21/1000000,"")</f>
        <v>0.81876456750002702</v>
      </c>
      <c r="G39" s="14">
        <f ca="1">IF(G$27&lt;&gt;"",VLOOKUP(G37*1000000,'Powell-Elevation-Area'!$B$5:$D$689,3)*$B$21/1000000 + VLOOKUP(G38*1000000,'Mead-Elevation-Area'!$B$5:$D$676,3)*$C$21/1000000,"")</f>
        <v>0.8074154450994</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8">IF(A6="","","    "&amp;A6&amp;" Share")</f>
        <v xml:space="preserve">    Upper Basin Share</v>
      </c>
      <c r="B40" s="1"/>
      <c r="C40" s="14">
        <f>IF(OR(C$27="",$A40=""),"",C$39*C30/C$29)</f>
        <v>0.24571184643515467</v>
      </c>
      <c r="D40" s="14">
        <f t="shared" ref="D40:L40" ca="1" si="9">IF(OR(D$27="",$A40=""),"",D$39*D30/D$29)</f>
        <v>0.15825276380454278</v>
      </c>
      <c r="E40" s="14">
        <f t="shared" ca="1" si="9"/>
        <v>0</v>
      </c>
      <c r="F40" s="14">
        <f t="shared" ca="1" si="9"/>
        <v>0</v>
      </c>
      <c r="G40" s="14">
        <f t="shared" ca="1" si="9"/>
        <v>0</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f t="shared" ref="C41:L45" si="10">IF(OR(C$27="",$A41=""),"",C$39*C31/C$29)</f>
        <v>0.20638492544244763</v>
      </c>
      <c r="D41" s="14">
        <f t="shared" ca="1" si="10"/>
        <v>0.20309214753306759</v>
      </c>
      <c r="E41" s="14">
        <f t="shared" ca="1" si="10"/>
        <v>0.1992906263742614</v>
      </c>
      <c r="F41" s="14">
        <f t="shared" ca="1" si="10"/>
        <v>0.15711715323313188</v>
      </c>
      <c r="G41" s="14">
        <f t="shared" ca="1" si="10"/>
        <v>0.13939794259934685</v>
      </c>
      <c r="H41" s="14" t="str">
        <f t="shared" si="10"/>
        <v/>
      </c>
      <c r="I41" s="14" t="str">
        <f t="shared" si="10"/>
        <v/>
      </c>
      <c r="J41" s="14" t="str">
        <f t="shared" si="10"/>
        <v/>
      </c>
      <c r="K41" s="14" t="str">
        <f t="shared" si="10"/>
        <v/>
      </c>
      <c r="L41" s="14" t="str">
        <f t="shared" si="10"/>
        <v/>
      </c>
    </row>
    <row r="42" spans="1:14" x14ac:dyDescent="0.35">
      <c r="A42" t="str">
        <f t="shared" si="8"/>
        <v xml:space="preserve">    Mexico Share</v>
      </c>
      <c r="B42" s="1"/>
      <c r="C42" s="14">
        <f t="shared" si="10"/>
        <v>8.4270235222746598E-3</v>
      </c>
      <c r="D42" s="14">
        <f t="shared" ca="1" si="10"/>
        <v>8.3891691786567545E-3</v>
      </c>
      <c r="E42" s="14">
        <f t="shared" ca="1" si="10"/>
        <v>8.6523709463300624E-3</v>
      </c>
      <c r="F42" s="14">
        <f t="shared" ca="1" si="10"/>
        <v>8.3712049758117978E-3</v>
      </c>
      <c r="G42" s="14">
        <f t="shared" ca="1" si="10"/>
        <v>7.9811489279947006E-3</v>
      </c>
      <c r="H42" s="14" t="str">
        <f t="shared" si="10"/>
        <v/>
      </c>
      <c r="I42" s="14" t="str">
        <f t="shared" si="10"/>
        <v/>
      </c>
      <c r="J42" s="14" t="str">
        <f t="shared" si="10"/>
        <v/>
      </c>
      <c r="K42" s="14" t="str">
        <f t="shared" si="10"/>
        <v/>
      </c>
      <c r="L42" s="14" t="str">
        <f t="shared" si="10"/>
        <v/>
      </c>
    </row>
    <row r="43" spans="1:14" x14ac:dyDescent="0.35">
      <c r="A43" t="str">
        <f t="shared" si="8"/>
        <v xml:space="preserve">    Mohave &amp; Havasu Evap &amp; ET Share</v>
      </c>
      <c r="B43" s="1"/>
      <c r="C43" s="14">
        <f t="shared" si="10"/>
        <v>0</v>
      </c>
      <c r="D43" s="14">
        <f t="shared" ca="1" si="10"/>
        <v>0</v>
      </c>
      <c r="E43" s="14">
        <f t="shared" ca="1" si="10"/>
        <v>0</v>
      </c>
      <c r="F43" s="14">
        <f t="shared" ca="1" si="10"/>
        <v>0</v>
      </c>
      <c r="G43" s="14">
        <f t="shared" ca="1" si="10"/>
        <v>0</v>
      </c>
      <c r="H43" s="14" t="str">
        <f t="shared" si="10"/>
        <v/>
      </c>
      <c r="I43" s="14" t="str">
        <f t="shared" si="10"/>
        <v/>
      </c>
      <c r="J43" s="14" t="str">
        <f t="shared" si="10"/>
        <v/>
      </c>
      <c r="K43" s="14" t="str">
        <f t="shared" si="10"/>
        <v/>
      </c>
      <c r="L43" s="14" t="str">
        <f t="shared" si="10"/>
        <v/>
      </c>
    </row>
    <row r="44" spans="1:14" x14ac:dyDescent="0.35">
      <c r="A44" t="str">
        <f t="shared" si="8"/>
        <v xml:space="preserve">    Shared, Reserve Share</v>
      </c>
      <c r="B44" s="1"/>
      <c r="C44" s="14">
        <f t="shared" si="10"/>
        <v>0.56137388460009618</v>
      </c>
      <c r="D44" s="14">
        <f t="shared" ca="1" si="10"/>
        <v>0.58729559548490584</v>
      </c>
      <c r="E44" s="14">
        <f t="shared" ca="1" si="10"/>
        <v>0.6380497951794355</v>
      </c>
      <c r="F44" s="14">
        <f t="shared" ca="1" si="10"/>
        <v>0.65327620929108332</v>
      </c>
      <c r="G44" s="14">
        <f t="shared" ca="1" si="10"/>
        <v>0.66003635357205848</v>
      </c>
      <c r="H44" s="14" t="str">
        <f t="shared" si="10"/>
        <v/>
      </c>
      <c r="I44" s="14" t="str">
        <f t="shared" si="10"/>
        <v/>
      </c>
      <c r="J44" s="14" t="str">
        <f t="shared" si="10"/>
        <v/>
      </c>
      <c r="K44" s="14" t="str">
        <f t="shared" si="10"/>
        <v/>
      </c>
      <c r="L44" s="14" t="str">
        <f t="shared" si="10"/>
        <v/>
      </c>
    </row>
    <row r="45" spans="1:14"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272</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1.3423333333333334</v>
      </c>
      <c r="G46" s="50">
        <f ca="1">IF(G$27&lt;&gt;"",1.5-0.21/9/2-VLOOKUP(G38,LowerBasinCuts!$C$5:$P$13,13),"")</f>
        <v>1.3423333333333334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189</v>
      </c>
      <c r="B47" s="1"/>
      <c r="C47" s="52">
        <f>IF(C27="","",SUM(C27:C28))</f>
        <v>11.8</v>
      </c>
      <c r="D47" s="52">
        <f t="shared" ref="D47:L47" si="11">IF(D27="","",SUM(D27:D28))</f>
        <v>9.8000000000000007</v>
      </c>
      <c r="E47" s="52">
        <f t="shared" si="11"/>
        <v>8.9</v>
      </c>
      <c r="F47" s="52">
        <f t="shared" si="11"/>
        <v>8.9</v>
      </c>
      <c r="G47" s="52">
        <f t="shared" si="11"/>
        <v>8.9</v>
      </c>
      <c r="H47" s="52" t="str">
        <f t="shared" si="11"/>
        <v/>
      </c>
      <c r="I47" s="52" t="str">
        <f t="shared" si="11"/>
        <v/>
      </c>
      <c r="J47" s="52" t="str">
        <f t="shared" si="11"/>
        <v/>
      </c>
      <c r="K47" s="52" t="str">
        <f t="shared" si="11"/>
        <v/>
      </c>
      <c r="L47" s="52" t="str">
        <f t="shared" si="11"/>
        <v/>
      </c>
      <c r="M47" s="46"/>
      <c r="N47" s="46"/>
    </row>
    <row r="48" spans="1:14" x14ac:dyDescent="0.35">
      <c r="A48" t="str">
        <f>IF(A6="","","    To "&amp;A6)</f>
        <v xml:space="preserve">    To Upper Basin</v>
      </c>
      <c r="B48" s="24" t="s">
        <v>147</v>
      </c>
      <c r="C48" s="14">
        <f>IF(OR(C$27="",$A48=""),"",IF(C$47&gt;SUM(C49:C53),C$47-SUM(C49:C53),0))</f>
        <v>2.4956463910332864</v>
      </c>
      <c r="D48" s="14">
        <f t="shared" ref="D48:L48" ca="1" si="12">IF(OR(D$27="",$A48=""),"",IF(D$47&gt;SUM(D49:D53),D$47-SUM(D49:D53),0))</f>
        <v>0.50218553559088264</v>
      </c>
      <c r="E48" s="14">
        <f t="shared" ca="1" si="12"/>
        <v>0</v>
      </c>
      <c r="F48" s="14">
        <f t="shared" ca="1" si="12"/>
        <v>0</v>
      </c>
      <c r="G48" s="14">
        <f t="shared" ca="1" si="12"/>
        <v>0</v>
      </c>
      <c r="H48" s="14" t="str">
        <f t="shared" si="12"/>
        <v/>
      </c>
      <c r="I48" s="14" t="str">
        <f t="shared" si="12"/>
        <v/>
      </c>
      <c r="J48" s="14" t="str">
        <f t="shared" si="12"/>
        <v/>
      </c>
      <c r="K48" s="14" t="str">
        <f t="shared" si="12"/>
        <v/>
      </c>
      <c r="L48" s="14" t="str">
        <f t="shared" si="12"/>
        <v/>
      </c>
      <c r="M48" s="29"/>
      <c r="N48" s="29"/>
    </row>
    <row r="49" spans="1:14" x14ac:dyDescent="0.35">
      <c r="A49" t="str">
        <f t="shared" ref="A49:A53" si="13">IF(A7="","","    To "&amp;A7)</f>
        <v xml:space="preserve">    To Lower Basin</v>
      </c>
      <c r="B49" s="44">
        <f>7.5</f>
        <v>7.5</v>
      </c>
      <c r="C49" s="14">
        <f>IF(OR(C$27="",$A49=""),"",C28-C52/2-C51-C50/2+MIN($B49,C27-C50/2-C52/2))</f>
        <v>6.6956463910332857</v>
      </c>
      <c r="D49" s="14">
        <f t="shared" ref="D49:G49" ca="1" si="14">IF(OR(D$27="",$A49=""),"",D28-D52/2-D51-D50/2+MIN($B49,D27-D50/2-D52/2))</f>
        <v>6.7021855355908801</v>
      </c>
      <c r="E49" s="14">
        <f t="shared" ca="1" si="14"/>
        <v>6.2536168714872309</v>
      </c>
      <c r="F49" s="14">
        <f t="shared" ca="1" si="14"/>
        <v>6.3043904573755833</v>
      </c>
      <c r="G49" s="14">
        <f t="shared" ca="1" si="14"/>
        <v>6.2976303130946079</v>
      </c>
      <c r="H49" s="14" t="str">
        <f>IF(OR(H$27="",$A49=""),"",H28-H52/2-H51-H50/2+MIN($B49,H27-H50/2-H52/2))</f>
        <v/>
      </c>
      <c r="I49" s="14" t="str">
        <f t="shared" ref="I49:L49" si="15">IF(OR(I$27="",$A49=""),"",I28-I52/2-I51-I50/2+MIN($B49,I27-I50/2-I52/2))</f>
        <v/>
      </c>
      <c r="J49" s="14" t="str">
        <f t="shared" si="15"/>
        <v/>
      </c>
      <c r="K49" s="14" t="str">
        <f t="shared" si="15"/>
        <v/>
      </c>
      <c r="L49" s="14" t="str">
        <f t="shared" si="15"/>
        <v/>
      </c>
      <c r="M49" s="29"/>
      <c r="N49" s="29"/>
    </row>
    <row r="50" spans="1:14" x14ac:dyDescent="0.35">
      <c r="A50" t="str">
        <f t="shared" si="13"/>
        <v xml:space="preserve">    To Mexico</v>
      </c>
      <c r="B50" s="44" t="s">
        <v>191</v>
      </c>
      <c r="C50" s="14">
        <f>IF(OR(C$27="",$A50=""),"",IF(C$47&gt;SUM(C51:C52,C46),C46,C$47-SUM(C51:C52)))</f>
        <v>1.4473333333333334</v>
      </c>
      <c r="D50" s="14">
        <f t="shared" ref="D50:L50" ca="1" si="16">IF(OR(D$27="",$A50=""),"",IF(D$47&gt;SUM(D51:D52,D46),D46,D$47-SUM(D51:D52)))</f>
        <v>1.4083333333333332</v>
      </c>
      <c r="E50" s="14">
        <f t="shared" ca="1" si="16"/>
        <v>1.4083333333333332</v>
      </c>
      <c r="F50" s="14">
        <f t="shared" ca="1" si="16"/>
        <v>1.3423333333333334</v>
      </c>
      <c r="G50" s="14">
        <f t="shared" ca="1" si="16"/>
        <v>1.3423333333333334</v>
      </c>
      <c r="H50" s="14" t="str">
        <f t="shared" si="16"/>
        <v/>
      </c>
      <c r="I50" s="14" t="str">
        <f t="shared" si="16"/>
        <v/>
      </c>
      <c r="J50" s="14" t="str">
        <f t="shared" si="16"/>
        <v/>
      </c>
      <c r="K50" s="14" t="str">
        <f t="shared" si="16"/>
        <v/>
      </c>
      <c r="L50" s="14" t="str">
        <f t="shared" si="16"/>
        <v/>
      </c>
      <c r="M50" s="29"/>
      <c r="N50" s="29"/>
    </row>
    <row r="51" spans="1:14" x14ac:dyDescent="0.35">
      <c r="A51" t="str">
        <f t="shared" si="13"/>
        <v xml:space="preserve">    To Mohave &amp; Havasu Evap &amp; ET</v>
      </c>
      <c r="B51" s="44">
        <v>0.6</v>
      </c>
      <c r="C51" s="14">
        <f>IF(OR(C$27="",$A51=""),"",IF(C$47&gt;C52+$B$51,$B51,C$47-C52))</f>
        <v>0.6</v>
      </c>
      <c r="D51" s="14">
        <f t="shared" ref="D51:L51" ca="1" si="17">IF(OR(D$27="",$A51=""),"",IF(D$47&gt;D52+$B$51,$B51,D$47-D52))</f>
        <v>0.6</v>
      </c>
      <c r="E51" s="14">
        <f t="shared" ca="1" si="17"/>
        <v>0.6</v>
      </c>
      <c r="F51" s="14">
        <f t="shared" ca="1" si="17"/>
        <v>0.6</v>
      </c>
      <c r="G51" s="14">
        <f t="shared" ca="1" si="17"/>
        <v>0.6</v>
      </c>
      <c r="H51" s="14" t="str">
        <f t="shared" si="17"/>
        <v/>
      </c>
      <c r="I51" s="14" t="str">
        <f t="shared" si="17"/>
        <v/>
      </c>
      <c r="J51" s="14" t="str">
        <f t="shared" si="17"/>
        <v/>
      </c>
      <c r="K51" s="14" t="str">
        <f t="shared" si="17"/>
        <v/>
      </c>
      <c r="L51" s="14" t="str">
        <f t="shared" si="17"/>
        <v/>
      </c>
      <c r="M51" s="29"/>
      <c r="N51" s="29"/>
    </row>
    <row r="52" spans="1:14" x14ac:dyDescent="0.35">
      <c r="A52" t="str">
        <f t="shared" si="13"/>
        <v xml:space="preserve">    To Shared, Reserve</v>
      </c>
      <c r="B52" s="44" t="s">
        <v>190</v>
      </c>
      <c r="C52" s="14">
        <f>IF(OR(C$27="",$A52=""),"",IF(C$47&gt;C44,C44,C$47))</f>
        <v>0.56137388460009618</v>
      </c>
      <c r="D52" s="14">
        <f t="shared" ref="D52:L52" ca="1" si="18">IF(OR(D$27="",$A52=""),"",IF(D$47&gt;D44,D44,D$47))</f>
        <v>0.58729559548490584</v>
      </c>
      <c r="E52" s="14">
        <f t="shared" ca="1" si="18"/>
        <v>0.6380497951794355</v>
      </c>
      <c r="F52" s="14">
        <f t="shared" ca="1" si="18"/>
        <v>0.65327620929108332</v>
      </c>
      <c r="G52" s="14">
        <f t="shared" ca="1" si="18"/>
        <v>0.66003635357205848</v>
      </c>
      <c r="H52" s="14" t="str">
        <f t="shared" si="18"/>
        <v/>
      </c>
      <c r="I52" s="14" t="str">
        <f t="shared" si="18"/>
        <v/>
      </c>
      <c r="J52" s="14" t="str">
        <f t="shared" si="18"/>
        <v/>
      </c>
      <c r="K52" s="14" t="str">
        <f t="shared" si="18"/>
        <v/>
      </c>
      <c r="L52" s="14" t="str">
        <f t="shared" si="18"/>
        <v/>
      </c>
      <c r="M52" s="29"/>
      <c r="N52" s="29"/>
    </row>
    <row r="53" spans="1:14" x14ac:dyDescent="0.35">
      <c r="A53" t="str">
        <f t="shared" si="13"/>
        <v/>
      </c>
      <c r="B53" s="44"/>
      <c r="C53" s="57" t="str">
        <f t="shared" ref="C53:L53" si="19">IF(OR(C$27="",$A53=""),"",IF(C$27&gt;$B53,$B53,C$27))</f>
        <v/>
      </c>
      <c r="D53" s="57" t="str">
        <f t="shared" si="19"/>
        <v/>
      </c>
      <c r="E53" s="57" t="str">
        <f t="shared" si="19"/>
        <v/>
      </c>
      <c r="F53" s="57" t="str">
        <f t="shared" si="19"/>
        <v/>
      </c>
      <c r="G53" s="57" t="str">
        <f t="shared" si="19"/>
        <v/>
      </c>
      <c r="H53" s="57" t="str">
        <f t="shared" si="19"/>
        <v/>
      </c>
      <c r="I53" s="57" t="str">
        <f t="shared" si="19"/>
        <v/>
      </c>
      <c r="J53" s="57" t="str">
        <f t="shared" si="19"/>
        <v/>
      </c>
      <c r="K53" s="57" t="str">
        <f t="shared" si="19"/>
        <v/>
      </c>
      <c r="L53" s="57" t="str">
        <f t="shared" si="19"/>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0">IF(OR(C$27="",$A59=""),"",C$112)</f>
        <v>0</v>
      </c>
      <c r="D59" s="78">
        <f t="shared" ca="1" si="20"/>
        <v>0</v>
      </c>
      <c r="E59" s="78">
        <f t="shared" ca="1" si="20"/>
        <v>0</v>
      </c>
      <c r="F59" s="78">
        <f t="shared" ca="1" si="20"/>
        <v>0</v>
      </c>
      <c r="G59" s="78">
        <f t="shared" ca="1" si="20"/>
        <v>0</v>
      </c>
      <c r="H59" s="78" t="str">
        <f t="shared" si="20"/>
        <v/>
      </c>
      <c r="I59" s="78" t="str">
        <f t="shared" si="20"/>
        <v/>
      </c>
      <c r="J59" s="78" t="str">
        <f t="shared" si="20"/>
        <v/>
      </c>
      <c r="K59" s="78" t="str">
        <f t="shared" si="20"/>
        <v/>
      </c>
      <c r="L59" s="78" t="str">
        <f t="shared" si="20"/>
        <v/>
      </c>
      <c r="M59" t="str">
        <f t="shared" si="20"/>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1">IF(OR(D$27="",$A60=""),"",D30+D48-D40-D57)</f>
        <v>3.4672910663844712</v>
      </c>
      <c r="E60" s="14">
        <f t="shared" ca="1" si="21"/>
        <v>0</v>
      </c>
      <c r="F60" s="14">
        <f t="shared" ca="1" si="21"/>
        <v>0</v>
      </c>
      <c r="G60" s="14">
        <f t="shared" ca="1" si="21"/>
        <v>0</v>
      </c>
      <c r="H60" s="14" t="str">
        <f t="shared" si="21"/>
        <v/>
      </c>
      <c r="I60" s="14" t="str">
        <f t="shared" si="21"/>
        <v/>
      </c>
      <c r="J60" s="14" t="str">
        <f t="shared" si="21"/>
        <v/>
      </c>
      <c r="K60" s="14" t="str">
        <f t="shared" si="21"/>
        <v/>
      </c>
      <c r="L60" s="14" t="str">
        <f t="shared" si="2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IF(C27&lt;&gt;"",IF(C60&gt;4.2,4.2,MAX(C60,0)),"")</f>
        <v>4.2</v>
      </c>
      <c r="D61" s="43">
        <f t="shared" ref="D61:G61" ca="1" si="22">IF(D27&lt;&gt;"",IF(D60&gt;4.2,4.2,MAX(D60,0)),"")</f>
        <v>3.4672910663844712</v>
      </c>
      <c r="E61" s="43">
        <f t="shared" ca="1" si="22"/>
        <v>0</v>
      </c>
      <c r="F61" s="43">
        <f t="shared" ca="1" si="22"/>
        <v>0</v>
      </c>
      <c r="G61" s="43">
        <f t="shared" ca="1" si="22"/>
        <v>0</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3">IF(OR(D$27="",$A62=""),"",D60-D61)</f>
        <v>0</v>
      </c>
      <c r="E62" s="77">
        <f t="shared" ca="1" si="23"/>
        <v>0</v>
      </c>
      <c r="F62" s="77">
        <f t="shared" ca="1" si="23"/>
        <v>0</v>
      </c>
      <c r="G62" s="77">
        <f t="shared" ca="1" si="23"/>
        <v>0</v>
      </c>
      <c r="H62" s="77" t="str">
        <f t="shared" si="23"/>
        <v/>
      </c>
      <c r="I62" s="77" t="str">
        <f t="shared" si="23"/>
        <v/>
      </c>
      <c r="J62" s="77" t="str">
        <f t="shared" si="23"/>
        <v/>
      </c>
      <c r="K62" s="77" t="str">
        <f t="shared" si="23"/>
        <v/>
      </c>
      <c r="L62" s="77" t="str">
        <f t="shared" si="23"/>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4">IF(A66="","",N58)</f>
        <v>Add if multiple transactions, e.g.: $350*0.5 + $450*0.25</v>
      </c>
    </row>
    <row r="67" spans="1:14" x14ac:dyDescent="0.35">
      <c r="A67" s="32" t="str">
        <f>IF(A66="","","   Volume all players (should be zero)")</f>
        <v xml:space="preserve">   Volume all players (should be zero)</v>
      </c>
      <c r="C67" s="78">
        <f t="shared" ref="C67:M67" ca="1" si="25">IF(OR(C$27="",$A67=""),"",C$112)</f>
        <v>0</v>
      </c>
      <c r="D67" s="78">
        <f t="shared" ca="1" si="25"/>
        <v>0</v>
      </c>
      <c r="E67" s="78">
        <f t="shared" ca="1" si="25"/>
        <v>0</v>
      </c>
      <c r="F67" s="78">
        <f t="shared" ca="1" si="25"/>
        <v>0</v>
      </c>
      <c r="G67" s="78">
        <f t="shared" ca="1" si="25"/>
        <v>0</v>
      </c>
      <c r="H67" s="78" t="str">
        <f t="shared" si="25"/>
        <v/>
      </c>
      <c r="I67" s="78" t="str">
        <f t="shared" si="25"/>
        <v/>
      </c>
      <c r="J67" s="78" t="str">
        <f t="shared" si="25"/>
        <v/>
      </c>
      <c r="K67" s="78" t="str">
        <f t="shared" si="25"/>
        <v/>
      </c>
      <c r="L67" s="78" t="str">
        <f t="shared" si="25"/>
        <v/>
      </c>
      <c r="M67" t="str">
        <f t="shared" si="25"/>
        <v/>
      </c>
      <c r="N67" t="str">
        <f t="shared" si="24"/>
        <v>If non-zero, players need to change amount(s)</v>
      </c>
    </row>
    <row r="68" spans="1:14" x14ac:dyDescent="0.35">
      <c r="A68" s="1" t="str">
        <f>IF(A66="","","   Available Water [maf]")</f>
        <v xml:space="preserve">   Available Water [maf]</v>
      </c>
      <c r="C68" s="14">
        <f t="shared" ref="C68:L68" si="26">IF(OR(C$27="",$A68=""),"",C31+C49-C41-C65)</f>
        <v>10.750668465590836</v>
      </c>
      <c r="D68" s="14">
        <f t="shared" ca="1" si="26"/>
        <v>10.507424922466976</v>
      </c>
      <c r="E68" s="14">
        <f t="shared" ca="1" si="26"/>
        <v>9.6747511675799434</v>
      </c>
      <c r="F68" s="14">
        <f t="shared" ca="1" si="26"/>
        <v>8.9350244717223948</v>
      </c>
      <c r="G68" s="14">
        <f t="shared" ca="1" si="26"/>
        <v>8.6062568422176557</v>
      </c>
      <c r="H68" s="14" t="str">
        <f t="shared" si="26"/>
        <v/>
      </c>
      <c r="I68" s="14" t="str">
        <f t="shared" si="26"/>
        <v/>
      </c>
      <c r="J68" s="14" t="str">
        <f t="shared" si="26"/>
        <v/>
      </c>
      <c r="K68" s="14" t="str">
        <f t="shared" si="26"/>
        <v/>
      </c>
      <c r="L68" s="14" t="str">
        <f t="shared" si="26"/>
        <v/>
      </c>
      <c r="N68" t="str">
        <f t="shared" si="24"/>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6.4870000000000001</v>
      </c>
      <c r="G69" s="43">
        <f ca="1">IF(G27&lt;&gt;"",7.5-VLOOKUP(G38,LowerBasinCuts!$C$5:$P$13,14),"")</f>
        <v>6.4870000000000001</v>
      </c>
      <c r="H69" s="97"/>
      <c r="I69" s="97"/>
      <c r="J69" s="97"/>
      <c r="K69" s="97"/>
      <c r="L69" s="97"/>
      <c r="N69" t="str">
        <f t="shared" si="24"/>
        <v>Must be less than Available water</v>
      </c>
    </row>
    <row r="70" spans="1:14" x14ac:dyDescent="0.35">
      <c r="A70" s="32" t="str">
        <f>IF(A69="","","   End of Year Balance [maf]")</f>
        <v xml:space="preserve">   End of Year Balance [maf]</v>
      </c>
      <c r="C70" s="77">
        <f>7.5-IF(OR(C$27="",$A70=""),"",C68-C69)</f>
        <v>4.0083315344091641</v>
      </c>
      <c r="D70" s="77">
        <f t="shared" ref="D70:L70" ca="1" si="27">IF(OR(D$27="",$A70=""),"",D68-D69)</f>
        <v>3.6204249224669756</v>
      </c>
      <c r="E70" s="77">
        <f t="shared" ca="1" si="27"/>
        <v>2.7877511675799429</v>
      </c>
      <c r="F70" s="77">
        <f t="shared" ca="1" si="27"/>
        <v>2.4480244717223947</v>
      </c>
      <c r="G70" s="77">
        <f t="shared" ca="1" si="27"/>
        <v>2.1192568422176556</v>
      </c>
      <c r="H70" s="77" t="str">
        <f t="shared" si="27"/>
        <v/>
      </c>
      <c r="I70" s="77" t="str">
        <f t="shared" si="27"/>
        <v/>
      </c>
      <c r="J70" s="77" t="str">
        <f t="shared" si="27"/>
        <v/>
      </c>
      <c r="K70" s="77" t="str">
        <f t="shared" si="27"/>
        <v/>
      </c>
      <c r="L70" s="77" t="str">
        <f t="shared" si="27"/>
        <v/>
      </c>
      <c r="N70" t="str">
        <f t="shared" si="24"/>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8">IF(A74="","",N66)</f>
        <v>Add if multiple transactions, e.g.: $350*0.5 + $450*0.25</v>
      </c>
    </row>
    <row r="75" spans="1:14" x14ac:dyDescent="0.35">
      <c r="A75" s="32" t="str">
        <f>IF(A74="","","   Volume all players (should be zero)")</f>
        <v xml:space="preserve">   Volume all players (should be zero)</v>
      </c>
      <c r="C75" s="78">
        <f t="shared" ref="C75:M75" ca="1" si="29">IF(OR(C$27="",$A75=""),"",C$112)</f>
        <v>0</v>
      </c>
      <c r="D75" s="78">
        <f t="shared" ca="1" si="29"/>
        <v>0</v>
      </c>
      <c r="E75" s="78">
        <f t="shared" ca="1" si="29"/>
        <v>0</v>
      </c>
      <c r="F75" s="78">
        <f t="shared" ca="1" si="29"/>
        <v>0</v>
      </c>
      <c r="G75" s="78">
        <f t="shared" ca="1" si="29"/>
        <v>0</v>
      </c>
      <c r="H75" s="78" t="str">
        <f t="shared" si="29"/>
        <v/>
      </c>
      <c r="I75" s="78" t="str">
        <f t="shared" si="29"/>
        <v/>
      </c>
      <c r="J75" s="78" t="str">
        <f t="shared" si="29"/>
        <v/>
      </c>
      <c r="K75" s="78" t="str">
        <f t="shared" si="29"/>
        <v/>
      </c>
      <c r="L75" s="78" t="str">
        <f t="shared" si="29"/>
        <v/>
      </c>
      <c r="M75" t="str">
        <f t="shared" si="29"/>
        <v/>
      </c>
      <c r="N75" t="str">
        <f t="shared" si="28"/>
        <v>If non-zero, players need to change amount(s)</v>
      </c>
    </row>
    <row r="76" spans="1:14" x14ac:dyDescent="0.35">
      <c r="A76" s="1" t="str">
        <f>IF(A74="","","   Available Water [maf]")</f>
        <v xml:space="preserve">   Available Water [maf]</v>
      </c>
      <c r="C76" s="14">
        <f t="shared" ref="C76:L76" si="30">IF(OR(C$27="",$A76=""),"",C32+C50-C42-C73)</f>
        <v>1.6129063098110585</v>
      </c>
      <c r="D76" s="14">
        <f t="shared" ca="1" si="30"/>
        <v>1.5655171406324015</v>
      </c>
      <c r="E76" s="14">
        <f t="shared" ca="1" si="30"/>
        <v>1.5568647696860716</v>
      </c>
      <c r="F76" s="14">
        <f ca="1">IF(OR(F$27="",$A76=""),"",F32+F50-F42-F73)</f>
        <v>1.4824935647102599</v>
      </c>
      <c r="G76" s="14">
        <f t="shared" ca="1" si="30"/>
        <v>1.4745124157822653</v>
      </c>
      <c r="H76" s="14" t="str">
        <f t="shared" si="30"/>
        <v/>
      </c>
      <c r="I76" s="14" t="str">
        <f t="shared" si="30"/>
        <v/>
      </c>
      <c r="J76" s="14" t="str">
        <f t="shared" si="30"/>
        <v/>
      </c>
      <c r="K76" s="14" t="str">
        <f t="shared" si="30"/>
        <v/>
      </c>
      <c r="L76" s="14" t="str">
        <f t="shared" si="30"/>
        <v/>
      </c>
      <c r="N76" t="str">
        <f t="shared" si="28"/>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1">D46</f>
        <v>1.4083333333333332</v>
      </c>
      <c r="E77" s="50">
        <f t="shared" ca="1" si="31"/>
        <v>1.4083333333333332</v>
      </c>
      <c r="F77" s="50">
        <f t="shared" ca="1" si="31"/>
        <v>1.3423333333333334</v>
      </c>
      <c r="G77" s="50">
        <f t="shared" ca="1" si="31"/>
        <v>1.3423333333333334</v>
      </c>
      <c r="H77" s="43"/>
      <c r="I77" s="43"/>
      <c r="J77" s="43"/>
      <c r="K77" s="43"/>
      <c r="L77" s="43"/>
      <c r="N77" t="str">
        <f t="shared" si="28"/>
        <v>Must be less than Available water</v>
      </c>
    </row>
    <row r="78" spans="1:14" x14ac:dyDescent="0.35">
      <c r="A78" s="32" t="str">
        <f>IF(A77="","","   End of Year Balance [maf]")</f>
        <v xml:space="preserve">   End of Year Balance [maf]</v>
      </c>
      <c r="C78" s="77">
        <f>IF(OR(C$27="",$A78=""),"",C76-C77)</f>
        <v>0.16557297647772518</v>
      </c>
      <c r="D78" s="77">
        <f t="shared" ref="D78:L78" ca="1" si="32">IF(OR(D$27="",$A78=""),"",D76-D77)</f>
        <v>0.15718380729906833</v>
      </c>
      <c r="E78" s="77">
        <f t="shared" ca="1" si="32"/>
        <v>0.14853143635273836</v>
      </c>
      <c r="F78" s="77">
        <f t="shared" ca="1" si="32"/>
        <v>0.14016023137692657</v>
      </c>
      <c r="G78" s="77">
        <f t="shared" ca="1" si="32"/>
        <v>0.13217908244893195</v>
      </c>
      <c r="H78" s="77" t="str">
        <f t="shared" si="32"/>
        <v/>
      </c>
      <c r="I78" s="77" t="str">
        <f t="shared" si="32"/>
        <v/>
      </c>
      <c r="J78" s="77" t="str">
        <f t="shared" si="32"/>
        <v/>
      </c>
      <c r="K78" s="77" t="str">
        <f t="shared" si="32"/>
        <v/>
      </c>
      <c r="L78" s="77" t="str">
        <f t="shared" si="32"/>
        <v/>
      </c>
      <c r="N78" t="str">
        <f t="shared" si="28"/>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3">IF(A82="","",N74)</f>
        <v>Add if multiple transactions, e.g.: $350*0.5 + $450*0.25</v>
      </c>
    </row>
    <row r="83" spans="1:14" x14ac:dyDescent="0.35">
      <c r="A83" s="32" t="str">
        <f>IF(A82="","","   Volume all players (should be zero)")</f>
        <v xml:space="preserve">   Volume all players (should be zero)</v>
      </c>
      <c r="C83" s="78">
        <f t="shared" ref="C83:M83" ca="1" si="34">IF(OR(C$27="",$A83=""),"",C$112)</f>
        <v>0</v>
      </c>
      <c r="D83" s="78">
        <f t="shared" ca="1" si="34"/>
        <v>0</v>
      </c>
      <c r="E83" s="78">
        <f t="shared" ca="1" si="34"/>
        <v>0</v>
      </c>
      <c r="F83" s="78">
        <f t="shared" ca="1" si="34"/>
        <v>0</v>
      </c>
      <c r="G83" s="78">
        <f t="shared" ca="1" si="34"/>
        <v>0</v>
      </c>
      <c r="H83" s="78" t="str">
        <f t="shared" si="34"/>
        <v/>
      </c>
      <c r="I83" s="78" t="str">
        <f t="shared" si="34"/>
        <v/>
      </c>
      <c r="J83" s="78" t="str">
        <f t="shared" si="34"/>
        <v/>
      </c>
      <c r="K83" s="78" t="str">
        <f t="shared" si="34"/>
        <v/>
      </c>
      <c r="L83" s="78" t="str">
        <f t="shared" si="34"/>
        <v/>
      </c>
      <c r="M83" t="str">
        <f t="shared" si="34"/>
        <v/>
      </c>
      <c r="N83" t="str">
        <f t="shared" si="33"/>
        <v>If non-zero, players need to change amount(s)</v>
      </c>
    </row>
    <row r="84" spans="1:14" x14ac:dyDescent="0.35">
      <c r="A84" s="1" t="str">
        <f>IF(A82="","","   Available Water [maf]")</f>
        <v xml:space="preserve">   Available Water [maf]</v>
      </c>
      <c r="C84" s="14">
        <f t="shared" ref="C84:L84" si="35">IF(OR(C$27="",$A84=""),"",C33+C51-C43-C81)</f>
        <v>0.6</v>
      </c>
      <c r="D84" s="14">
        <f t="shared" ca="1" si="35"/>
        <v>0.6</v>
      </c>
      <c r="E84" s="14">
        <f t="shared" ca="1" si="35"/>
        <v>0.6</v>
      </c>
      <c r="F84" s="14">
        <f t="shared" ca="1" si="35"/>
        <v>0.6</v>
      </c>
      <c r="G84" s="14">
        <f t="shared" ca="1" si="35"/>
        <v>0.6</v>
      </c>
      <c r="H84" s="14" t="str">
        <f t="shared" si="35"/>
        <v/>
      </c>
      <c r="I84" s="14" t="str">
        <f t="shared" si="35"/>
        <v/>
      </c>
      <c r="J84" s="14" t="str">
        <f t="shared" si="35"/>
        <v/>
      </c>
      <c r="K84" s="14" t="str">
        <f t="shared" si="35"/>
        <v/>
      </c>
      <c r="L84" s="14" t="str">
        <f t="shared" si="35"/>
        <v/>
      </c>
      <c r="N84" t="str">
        <f t="shared" si="33"/>
        <v>Available water = Account Balance + Available Inflow - Evaporation + Sales - Purchases</v>
      </c>
    </row>
    <row r="85" spans="1:14" x14ac:dyDescent="0.35">
      <c r="A85" s="1" t="str">
        <f>IF(A84="","","   Account Withdraw [maf]")</f>
        <v xml:space="preserve">   Account Withdraw [maf]</v>
      </c>
      <c r="C85" s="43">
        <f>C84</f>
        <v>0.6</v>
      </c>
      <c r="D85" s="43">
        <f t="shared" ref="D85:G85" ca="1" si="36">D84</f>
        <v>0.6</v>
      </c>
      <c r="E85" s="43">
        <f t="shared" ca="1" si="36"/>
        <v>0.6</v>
      </c>
      <c r="F85" s="43">
        <f t="shared" ca="1" si="36"/>
        <v>0.6</v>
      </c>
      <c r="G85" s="43">
        <f t="shared" ca="1" si="36"/>
        <v>0.6</v>
      </c>
      <c r="H85" s="43"/>
      <c r="I85" s="43"/>
      <c r="J85" s="43"/>
      <c r="K85" s="43"/>
      <c r="L85" s="43"/>
      <c r="N85" t="str">
        <f t="shared" si="33"/>
        <v>Must be less than Available water</v>
      </c>
    </row>
    <row r="86" spans="1:14" x14ac:dyDescent="0.35">
      <c r="A86" s="32" t="str">
        <f>IF(A85="","","   End of Year Balance [maf]")</f>
        <v xml:space="preserve">   End of Year Balance [maf]</v>
      </c>
      <c r="C86" s="77">
        <f>IF(OR(C$27="",$A86=""),"",C84-C85)</f>
        <v>0</v>
      </c>
      <c r="D86" s="77">
        <f t="shared" ref="D86:L86" ca="1" si="37">IF(OR(D$27="",$A86=""),"",D84-D85)</f>
        <v>0</v>
      </c>
      <c r="E86" s="77">
        <f t="shared" ca="1" si="37"/>
        <v>0</v>
      </c>
      <c r="F86" s="77">
        <f t="shared" ca="1" si="37"/>
        <v>0</v>
      </c>
      <c r="G86" s="77">
        <f t="shared" ca="1" si="37"/>
        <v>0</v>
      </c>
      <c r="H86" s="77" t="str">
        <f t="shared" si="37"/>
        <v/>
      </c>
      <c r="I86" s="77" t="str">
        <f t="shared" si="37"/>
        <v/>
      </c>
      <c r="J86" s="77" t="str">
        <f t="shared" si="37"/>
        <v/>
      </c>
      <c r="K86" s="77" t="str">
        <f t="shared" si="37"/>
        <v/>
      </c>
      <c r="L86" s="77" t="str">
        <f t="shared" si="37"/>
        <v/>
      </c>
      <c r="N86" t="str">
        <f t="shared" si="33"/>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8">IF(A90="","",N82)</f>
        <v>Add if multiple transactions, e.g.: $350*0.5 + $450*0.25</v>
      </c>
    </row>
    <row r="91" spans="1:14" x14ac:dyDescent="0.35">
      <c r="A91" s="32" t="str">
        <f>IF(A90="","","   Volume all players (should be zero)")</f>
        <v xml:space="preserve">   Volume all players (should be zero)</v>
      </c>
      <c r="C91" s="78">
        <f t="shared" ref="C91:M91" ca="1" si="39">IF(OR(C$27="",$A91=""),"",C$112)</f>
        <v>0</v>
      </c>
      <c r="D91" s="78">
        <f t="shared" ca="1" si="39"/>
        <v>0</v>
      </c>
      <c r="E91" s="78">
        <f t="shared" ca="1" si="39"/>
        <v>0</v>
      </c>
      <c r="F91" s="78">
        <f t="shared" ca="1" si="39"/>
        <v>0</v>
      </c>
      <c r="G91" s="78">
        <f t="shared" ca="1" si="39"/>
        <v>0</v>
      </c>
      <c r="H91" s="78" t="str">
        <f t="shared" si="39"/>
        <v/>
      </c>
      <c r="I91" s="78" t="str">
        <f t="shared" si="39"/>
        <v/>
      </c>
      <c r="J91" s="78" t="str">
        <f t="shared" si="39"/>
        <v/>
      </c>
      <c r="K91" s="78" t="str">
        <f t="shared" si="39"/>
        <v/>
      </c>
      <c r="L91" s="78" t="str">
        <f t="shared" si="39"/>
        <v/>
      </c>
      <c r="M91" t="str">
        <f t="shared" si="39"/>
        <v/>
      </c>
      <c r="N91" t="str">
        <f t="shared" si="38"/>
        <v>If non-zero, players need to change amount(s)</v>
      </c>
    </row>
    <row r="92" spans="1:14" x14ac:dyDescent="0.35">
      <c r="A92" s="1" t="str">
        <f>IF(A90="","","   Available Water [maf]")</f>
        <v xml:space="preserve">   Available Water [maf]</v>
      </c>
      <c r="C92" s="14">
        <f t="shared" ref="C92:L92" si="40">IF(OR(C$27="",$A92=""),"",C34+C52-C44-C89)</f>
        <v>11.59116925</v>
      </c>
      <c r="D92" s="14">
        <f t="shared" ca="1" si="40"/>
        <v>11.59116925</v>
      </c>
      <c r="E92" s="14">
        <f t="shared" ca="1" si="40"/>
        <v>11.59116925</v>
      </c>
      <c r="F92" s="14">
        <f t="shared" ca="1" si="40"/>
        <v>11.59116925</v>
      </c>
      <c r="G92" s="14">
        <f t="shared" ca="1" si="40"/>
        <v>11.59116925</v>
      </c>
      <c r="H92" s="14" t="str">
        <f t="shared" si="40"/>
        <v/>
      </c>
      <c r="I92" s="14" t="str">
        <f t="shared" si="40"/>
        <v/>
      </c>
      <c r="J92" s="14" t="str">
        <f t="shared" si="40"/>
        <v/>
      </c>
      <c r="K92" s="14" t="str">
        <f t="shared" si="40"/>
        <v/>
      </c>
      <c r="L92" s="14" t="str">
        <f t="shared" si="40"/>
        <v/>
      </c>
      <c r="N92" t="str">
        <f t="shared" si="3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8"/>
        <v>Must be less than Available water</v>
      </c>
    </row>
    <row r="94" spans="1:14" x14ac:dyDescent="0.35">
      <c r="A94" s="32" t="str">
        <f>IF(A93="","","   End of Year Balance [maf]")</f>
        <v xml:space="preserve">   End of Year Balance [maf]</v>
      </c>
      <c r="C94" s="77">
        <f>IF(OR(C$27="",$A94=""),"",C92-C93)</f>
        <v>11.59116925</v>
      </c>
      <c r="D94" s="77">
        <f t="shared" ref="D94:L94" ca="1" si="41">IF(OR(D$27="",$A94=""),"",D92-D93)</f>
        <v>11.59116925</v>
      </c>
      <c r="E94" s="77">
        <f t="shared" ca="1" si="41"/>
        <v>11.59116925</v>
      </c>
      <c r="F94" s="77">
        <f t="shared" ca="1" si="41"/>
        <v>11.59116925</v>
      </c>
      <c r="G94" s="77">
        <f t="shared" ca="1" si="41"/>
        <v>11.59116925</v>
      </c>
      <c r="H94" s="77" t="str">
        <f t="shared" si="41"/>
        <v/>
      </c>
      <c r="I94" s="77" t="str">
        <f t="shared" si="41"/>
        <v/>
      </c>
      <c r="J94" s="77" t="str">
        <f t="shared" si="41"/>
        <v/>
      </c>
      <c r="K94" s="77" t="str">
        <f t="shared" si="41"/>
        <v/>
      </c>
      <c r="L94" s="77" t="str">
        <f t="shared" si="41"/>
        <v/>
      </c>
      <c r="N94" t="str">
        <f t="shared" si="38"/>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2">IF(A98="","",N90)</f>
        <v/>
      </c>
    </row>
    <row r="99" spans="1:14" x14ac:dyDescent="0.35">
      <c r="A99" s="32" t="str">
        <f>IF(A98="","","   Volume all players (should be zero)")</f>
        <v/>
      </c>
      <c r="C99" s="78" t="str">
        <f t="shared" ref="C99:M99" si="43">IF(OR(C$27="",$A99=""),"",C$112)</f>
        <v/>
      </c>
      <c r="D99" s="78" t="str">
        <f t="shared" si="43"/>
        <v/>
      </c>
      <c r="E99" s="78" t="str">
        <f t="shared" si="43"/>
        <v/>
      </c>
      <c r="F99" s="78" t="str">
        <f t="shared" si="43"/>
        <v/>
      </c>
      <c r="G99" s="78" t="str">
        <f t="shared" si="43"/>
        <v/>
      </c>
      <c r="H99" s="78" t="str">
        <f t="shared" si="43"/>
        <v/>
      </c>
      <c r="I99" s="78" t="str">
        <f t="shared" si="43"/>
        <v/>
      </c>
      <c r="J99" s="78" t="str">
        <f t="shared" si="43"/>
        <v/>
      </c>
      <c r="K99" s="78" t="str">
        <f t="shared" si="43"/>
        <v/>
      </c>
      <c r="L99" s="78" t="str">
        <f t="shared" si="43"/>
        <v/>
      </c>
      <c r="M99" t="str">
        <f t="shared" si="43"/>
        <v/>
      </c>
      <c r="N99" t="str">
        <f t="shared" si="42"/>
        <v/>
      </c>
    </row>
    <row r="100" spans="1:14" x14ac:dyDescent="0.35">
      <c r="A100" s="1" t="str">
        <f>IF(A98="","","   Available Water [maf]")</f>
        <v/>
      </c>
      <c r="C100" s="14" t="str">
        <f t="shared" ref="C100:L100" si="44">IF(OR(C$27="",$A100=""),"",C35+C53-C45-C97)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43"/>
      <c r="D101" s="43"/>
      <c r="E101" s="43"/>
      <c r="F101" s="43"/>
      <c r="G101" s="43"/>
      <c r="H101" s="43"/>
      <c r="I101" s="43"/>
      <c r="J101" s="43"/>
      <c r="K101" s="43"/>
      <c r="L101" s="43"/>
      <c r="N101" t="str">
        <f t="shared" si="42"/>
        <v/>
      </c>
    </row>
    <row r="102" spans="1:14" x14ac:dyDescent="0.35">
      <c r="A102" s="32" t="str">
        <f>IF(A101="","","   End of Year Balance [maf]")</f>
        <v/>
      </c>
      <c r="C102" s="77" t="str">
        <f>IF(OR(C$27="",$A102=""),"",C100-C101)</f>
        <v/>
      </c>
      <c r="D102" s="77" t="str">
        <f t="shared" ref="D102:L102" si="45">IF(OR(D$27="",$A102=""),"",D100-D101)</f>
        <v/>
      </c>
      <c r="E102" s="77" t="str">
        <f t="shared" si="45"/>
        <v/>
      </c>
      <c r="F102" s="77" t="str">
        <f t="shared" si="45"/>
        <v/>
      </c>
      <c r="G102" s="77" t="str">
        <f t="shared" si="45"/>
        <v/>
      </c>
      <c r="H102" s="77" t="str">
        <f t="shared" si="45"/>
        <v/>
      </c>
      <c r="I102" s="77" t="str">
        <f t="shared" si="45"/>
        <v/>
      </c>
      <c r="J102" s="77" t="str">
        <f t="shared" si="45"/>
        <v/>
      </c>
      <c r="K102" s="77" t="str">
        <f t="shared" si="45"/>
        <v/>
      </c>
      <c r="L102" s="77" t="str">
        <f t="shared" si="45"/>
        <v/>
      </c>
      <c r="N102" t="str">
        <f t="shared" si="42"/>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46">IF(A6="","","    "&amp;A6)</f>
        <v xml:space="preserve">    Upper Basin</v>
      </c>
      <c r="B106" s="1"/>
      <c r="C106" s="78">
        <f t="shared" ref="C106:L111" ca="1" si="47">IF(OR(C$27="",$A106=""),"",OFFSET(C$57,8*(ROW(B106)-ROW(B$106)),0))</f>
        <v>0</v>
      </c>
      <c r="D106" s="78">
        <f t="shared" ca="1" si="47"/>
        <v>0</v>
      </c>
      <c r="E106" s="78">
        <f t="shared" ca="1" si="47"/>
        <v>0</v>
      </c>
      <c r="F106" s="78">
        <f t="shared" ca="1" si="47"/>
        <v>0</v>
      </c>
      <c r="G106" s="78">
        <f t="shared" ca="1" si="47"/>
        <v>0</v>
      </c>
      <c r="H106" s="78" t="str">
        <f t="shared" ca="1" si="47"/>
        <v/>
      </c>
      <c r="I106" s="78" t="str">
        <f t="shared" ca="1" si="47"/>
        <v/>
      </c>
      <c r="J106" s="78" t="str">
        <f t="shared" ca="1" si="47"/>
        <v/>
      </c>
      <c r="K106" s="78" t="str">
        <f t="shared" ca="1" si="47"/>
        <v/>
      </c>
      <c r="L106" s="78" t="str">
        <f t="shared" ca="1" si="47"/>
        <v/>
      </c>
      <c r="M106" s="78">
        <f ca="1">IF(OR($A106=""),"",SUM(C106:L106))</f>
        <v>0</v>
      </c>
      <c r="N106" s="75">
        <f>IF(OR($A106=""),"",M58)</f>
        <v>0</v>
      </c>
    </row>
    <row r="107" spans="1:14" x14ac:dyDescent="0.35">
      <c r="A107" t="str">
        <f t="shared" si="46"/>
        <v xml:space="preserve">    Lower Basin</v>
      </c>
      <c r="B107" s="1"/>
      <c r="C107" s="78">
        <f t="shared" ca="1" si="47"/>
        <v>0</v>
      </c>
      <c r="D107" s="78">
        <f t="shared" ca="1" si="47"/>
        <v>0</v>
      </c>
      <c r="E107" s="78">
        <f t="shared" ca="1" si="47"/>
        <v>0</v>
      </c>
      <c r="F107" s="78">
        <f t="shared" ca="1" si="47"/>
        <v>0</v>
      </c>
      <c r="G107" s="78">
        <f t="shared" ca="1" si="47"/>
        <v>0</v>
      </c>
      <c r="H107" s="78" t="str">
        <f t="shared" ca="1" si="47"/>
        <v/>
      </c>
      <c r="I107" s="78" t="str">
        <f t="shared" ca="1" si="47"/>
        <v/>
      </c>
      <c r="J107" s="78" t="str">
        <f t="shared" ca="1" si="47"/>
        <v/>
      </c>
      <c r="K107" s="78" t="str">
        <f t="shared" ca="1" si="47"/>
        <v/>
      </c>
      <c r="L107" s="78" t="str">
        <f t="shared" ca="1" si="47"/>
        <v/>
      </c>
      <c r="M107" s="78">
        <f t="shared" ref="M107:M111" ca="1" si="48">IF(OR($A107=""),"",SUM(C107:L107))</f>
        <v>0</v>
      </c>
      <c r="N107" s="75">
        <f>IF(OR($A107=""),"",M66)</f>
        <v>0</v>
      </c>
    </row>
    <row r="108" spans="1:14" x14ac:dyDescent="0.35">
      <c r="A108" t="str">
        <f t="shared" si="46"/>
        <v xml:space="preserve">    Mexico</v>
      </c>
      <c r="B108" s="1"/>
      <c r="C108" s="78">
        <f t="shared" ca="1" si="47"/>
        <v>0</v>
      </c>
      <c r="D108" s="78">
        <f t="shared" ca="1" si="47"/>
        <v>0</v>
      </c>
      <c r="E108" s="78">
        <f t="shared" ca="1" si="47"/>
        <v>0</v>
      </c>
      <c r="F108" s="78">
        <f t="shared" ca="1" si="47"/>
        <v>0</v>
      </c>
      <c r="G108" s="78">
        <f t="shared" ca="1" si="47"/>
        <v>0</v>
      </c>
      <c r="H108" s="78" t="str">
        <f t="shared" ca="1" si="47"/>
        <v/>
      </c>
      <c r="I108" s="78" t="str">
        <f t="shared" ca="1" si="47"/>
        <v/>
      </c>
      <c r="J108" s="78" t="str">
        <f t="shared" ca="1" si="47"/>
        <v/>
      </c>
      <c r="K108" s="78" t="str">
        <f t="shared" ca="1" si="47"/>
        <v/>
      </c>
      <c r="L108" s="78" t="str">
        <f t="shared" ca="1" si="47"/>
        <v/>
      </c>
      <c r="M108" s="78">
        <f t="shared" ca="1" si="48"/>
        <v>0</v>
      </c>
      <c r="N108" s="75">
        <f>IF(OR($A108=""),"",M74)</f>
        <v>0</v>
      </c>
    </row>
    <row r="109" spans="1:14" x14ac:dyDescent="0.35">
      <c r="A109" t="str">
        <f t="shared" si="46"/>
        <v xml:space="preserve">    Mohave &amp; Havasu Evap &amp; ET</v>
      </c>
      <c r="B109" s="1"/>
      <c r="C109" s="78">
        <f t="shared" ca="1" si="47"/>
        <v>0</v>
      </c>
      <c r="D109" s="78">
        <f t="shared" ca="1" si="47"/>
        <v>0</v>
      </c>
      <c r="E109" s="78">
        <f t="shared" ca="1" si="47"/>
        <v>0</v>
      </c>
      <c r="F109" s="78">
        <f t="shared" ca="1" si="47"/>
        <v>0</v>
      </c>
      <c r="G109" s="78">
        <f t="shared" ca="1" si="47"/>
        <v>0</v>
      </c>
      <c r="H109" s="78" t="str">
        <f t="shared" ca="1" si="47"/>
        <v/>
      </c>
      <c r="I109" s="78" t="str">
        <f t="shared" ca="1" si="47"/>
        <v/>
      </c>
      <c r="J109" s="78" t="str">
        <f t="shared" ca="1" si="47"/>
        <v/>
      </c>
      <c r="K109" s="78" t="str">
        <f t="shared" ca="1" si="47"/>
        <v/>
      </c>
      <c r="L109" s="78" t="str">
        <f t="shared" ca="1" si="47"/>
        <v/>
      </c>
      <c r="M109" s="78">
        <f t="shared" ca="1" si="48"/>
        <v>0</v>
      </c>
      <c r="N109" s="75">
        <f>IF(OR($A109=""),"",M82)</f>
        <v>0</v>
      </c>
    </row>
    <row r="110" spans="1:14" x14ac:dyDescent="0.35">
      <c r="A110" t="str">
        <f t="shared" si="46"/>
        <v xml:space="preserve">    Shared, Reserve</v>
      </c>
      <c r="B110" s="1"/>
      <c r="C110" s="78">
        <f t="shared" ca="1" si="47"/>
        <v>0</v>
      </c>
      <c r="D110" s="78">
        <f t="shared" ca="1" si="47"/>
        <v>0</v>
      </c>
      <c r="E110" s="78">
        <f t="shared" ca="1" si="47"/>
        <v>0</v>
      </c>
      <c r="F110" s="78">
        <f t="shared" ca="1" si="47"/>
        <v>0</v>
      </c>
      <c r="G110" s="78">
        <f t="shared" ca="1" si="47"/>
        <v>0</v>
      </c>
      <c r="H110" s="78" t="str">
        <f t="shared" ca="1" si="47"/>
        <v/>
      </c>
      <c r="I110" s="78" t="str">
        <f t="shared" ca="1" si="47"/>
        <v/>
      </c>
      <c r="J110" s="78" t="str">
        <f t="shared" ca="1" si="47"/>
        <v/>
      </c>
      <c r="K110" s="78" t="str">
        <f t="shared" ca="1" si="47"/>
        <v/>
      </c>
      <c r="L110" s="78" t="str">
        <f t="shared" ca="1" si="47"/>
        <v/>
      </c>
      <c r="M110" s="78">
        <f t="shared" ca="1" si="48"/>
        <v>0</v>
      </c>
      <c r="N110" s="75">
        <f>IF(OR($A110=""),"",M90)</f>
        <v>0</v>
      </c>
    </row>
    <row r="111" spans="1:14" x14ac:dyDescent="0.35">
      <c r="A111" t="str">
        <f t="shared" si="46"/>
        <v/>
      </c>
      <c r="B111" s="1"/>
      <c r="C111" s="78" t="str">
        <f t="shared" ca="1" si="47"/>
        <v/>
      </c>
      <c r="D111" s="78" t="str">
        <f t="shared" ca="1" si="47"/>
        <v/>
      </c>
      <c r="E111" s="78" t="str">
        <f t="shared" ca="1" si="47"/>
        <v/>
      </c>
      <c r="F111" s="78" t="str">
        <f t="shared" ca="1" si="47"/>
        <v/>
      </c>
      <c r="G111" s="78" t="str">
        <f t="shared" ca="1" si="47"/>
        <v/>
      </c>
      <c r="H111" s="78" t="str">
        <f t="shared" ca="1" si="47"/>
        <v/>
      </c>
      <c r="I111" s="78" t="str">
        <f t="shared" ca="1" si="47"/>
        <v/>
      </c>
      <c r="J111" s="78" t="str">
        <f t="shared" ca="1" si="47"/>
        <v/>
      </c>
      <c r="K111" s="78" t="str">
        <f t="shared" ca="1" si="47"/>
        <v/>
      </c>
      <c r="L111" s="78" t="str">
        <f t="shared" ca="1" si="47"/>
        <v/>
      </c>
      <c r="M111" s="78" t="str">
        <f t="shared" si="48"/>
        <v/>
      </c>
      <c r="N111" s="75" t="str">
        <f>IF(OR($A111=""),"",M98)</f>
        <v/>
      </c>
    </row>
    <row r="112" spans="1:14" x14ac:dyDescent="0.35">
      <c r="A112" t="s">
        <v>146</v>
      </c>
      <c r="B112" s="1"/>
      <c r="C112" s="52">
        <f ca="1">IF(C$27&lt;&gt;"",SUM(C106:C111),"")</f>
        <v>0</v>
      </c>
      <c r="D112" s="52">
        <f t="shared" ref="D112:L112" ca="1" si="49">IF(D$27&lt;&gt;"",SUM(D106:D111),"")</f>
        <v>0</v>
      </c>
      <c r="E112" s="52">
        <f t="shared" ca="1" si="49"/>
        <v>0</v>
      </c>
      <c r="F112" s="52">
        <f t="shared" ca="1" si="49"/>
        <v>0</v>
      </c>
      <c r="G112" s="52">
        <f t="shared" ca="1" si="49"/>
        <v>0</v>
      </c>
      <c r="H112" s="52" t="str">
        <f t="shared" si="49"/>
        <v/>
      </c>
      <c r="I112" s="52" t="str">
        <f t="shared" si="49"/>
        <v/>
      </c>
      <c r="J112" s="52" t="str">
        <f t="shared" si="49"/>
        <v/>
      </c>
      <c r="K112" s="52" t="str">
        <f t="shared" si="49"/>
        <v/>
      </c>
      <c r="L112" s="52" t="str">
        <f t="shared" si="4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0">IF(OR(C$27="",$A114=""),"",OFFSET(C$61,8*(ROW(B114)-ROW(B$114)),0))</f>
        <v>4.2</v>
      </c>
      <c r="D114" s="78">
        <f t="shared" ca="1" si="50"/>
        <v>3.4672910663844712</v>
      </c>
      <c r="E114" s="78">
        <f t="shared" ca="1" si="50"/>
        <v>0</v>
      </c>
      <c r="F114" s="78">
        <f t="shared" ca="1" si="50"/>
        <v>0</v>
      </c>
      <c r="G114" s="78">
        <f t="shared" ca="1" si="50"/>
        <v>0</v>
      </c>
      <c r="H114" s="78" t="str">
        <f t="shared" ca="1" si="50"/>
        <v/>
      </c>
      <c r="I114" s="78" t="str">
        <f t="shared" ca="1" si="50"/>
        <v/>
      </c>
      <c r="J114" s="78" t="str">
        <f t="shared" ca="1" si="50"/>
        <v/>
      </c>
      <c r="K114" s="78" t="str">
        <f t="shared" ca="1" si="50"/>
        <v/>
      </c>
      <c r="L114" s="78" t="str">
        <f t="shared" ca="1" si="50"/>
        <v/>
      </c>
    </row>
    <row r="115" spans="1:12" x14ac:dyDescent="0.35">
      <c r="A115" t="str">
        <f>IF(A7="","","    "&amp;A7&amp;" - Release from Mead")</f>
        <v xml:space="preserve">    Lower Basin - Release from Mead</v>
      </c>
      <c r="C115" s="78">
        <f t="shared" ca="1" si="50"/>
        <v>7.2590000000000003</v>
      </c>
      <c r="D115" s="78">
        <f t="shared" ca="1" si="50"/>
        <v>6.8870000000000005</v>
      </c>
      <c r="E115" s="78">
        <f t="shared" ca="1" si="50"/>
        <v>6.8870000000000005</v>
      </c>
      <c r="F115" s="78">
        <f t="shared" ca="1" si="50"/>
        <v>6.4870000000000001</v>
      </c>
      <c r="G115" s="78">
        <f t="shared" ca="1" si="50"/>
        <v>6.4870000000000001</v>
      </c>
      <c r="H115" s="78" t="str">
        <f t="shared" ca="1" si="50"/>
        <v/>
      </c>
      <c r="I115" s="78" t="str">
        <f t="shared" ca="1" si="50"/>
        <v/>
      </c>
      <c r="J115" s="78" t="str">
        <f t="shared" ca="1" si="50"/>
        <v/>
      </c>
      <c r="K115" s="78" t="str">
        <f t="shared" ca="1" si="50"/>
        <v/>
      </c>
      <c r="L115" s="78" t="str">
        <f t="shared" ca="1" si="50"/>
        <v/>
      </c>
    </row>
    <row r="116" spans="1:12" x14ac:dyDescent="0.35">
      <c r="A116" t="str">
        <f>IF(A8="","","    "&amp;A8&amp;" - Release from Mead")</f>
        <v xml:space="preserve">    Mexico - Release from Mead</v>
      </c>
      <c r="C116" s="78">
        <f t="shared" ca="1" si="50"/>
        <v>1.4473333333333334</v>
      </c>
      <c r="D116" s="78">
        <f t="shared" ca="1" si="50"/>
        <v>1.4083333333333332</v>
      </c>
      <c r="E116" s="78">
        <f t="shared" ca="1" si="50"/>
        <v>1.4083333333333332</v>
      </c>
      <c r="F116" s="78">
        <f t="shared" ca="1" si="50"/>
        <v>1.3423333333333334</v>
      </c>
      <c r="G116" s="78">
        <f t="shared" ca="1" si="50"/>
        <v>1.3423333333333334</v>
      </c>
      <c r="H116" s="78" t="str">
        <f t="shared" ca="1" si="50"/>
        <v/>
      </c>
      <c r="I116" s="78" t="str">
        <f t="shared" ca="1" si="50"/>
        <v/>
      </c>
      <c r="J116" s="78" t="str">
        <f t="shared" ca="1" si="50"/>
        <v/>
      </c>
      <c r="K116" s="78" t="str">
        <f t="shared" ca="1" si="50"/>
        <v/>
      </c>
      <c r="L116" s="78" t="str">
        <f t="shared" ca="1" si="50"/>
        <v/>
      </c>
    </row>
    <row r="117" spans="1:12" x14ac:dyDescent="0.35">
      <c r="A117" t="str">
        <f>IF(A9="","","    "&amp;A9&amp;" - Release from Mead")</f>
        <v xml:space="preserve">    Mohave &amp; Havasu Evap &amp; ET - Release from Mead</v>
      </c>
      <c r="C117" s="78">
        <f t="shared" ca="1" si="50"/>
        <v>0.6</v>
      </c>
      <c r="D117" s="78">
        <f t="shared" ca="1" si="50"/>
        <v>0.6</v>
      </c>
      <c r="E117" s="78">
        <f t="shared" ca="1" si="50"/>
        <v>0.6</v>
      </c>
      <c r="F117" s="78">
        <f t="shared" ca="1" si="50"/>
        <v>0.6</v>
      </c>
      <c r="G117" s="78">
        <f t="shared" ca="1" si="50"/>
        <v>0.6</v>
      </c>
      <c r="H117" s="78" t="str">
        <f t="shared" ca="1" si="50"/>
        <v/>
      </c>
      <c r="I117" s="78" t="str">
        <f t="shared" ca="1" si="50"/>
        <v/>
      </c>
      <c r="J117" s="78" t="str">
        <f t="shared" ca="1" si="50"/>
        <v/>
      </c>
      <c r="K117" s="78" t="str">
        <f t="shared" ca="1" si="50"/>
        <v/>
      </c>
      <c r="L117" s="78" t="str">
        <f t="shared" ca="1" si="50"/>
        <v/>
      </c>
    </row>
    <row r="118" spans="1:12" x14ac:dyDescent="0.35">
      <c r="A118" t="str">
        <f>IF(A10="","","    "&amp;A10&amp;" - Release from Mead")</f>
        <v xml:space="preserve">    Shared, Reserve - Release from Mead</v>
      </c>
      <c r="C118" s="78">
        <f t="shared" ca="1" si="50"/>
        <v>0</v>
      </c>
      <c r="D118" s="78">
        <f t="shared" ca="1" si="50"/>
        <v>0</v>
      </c>
      <c r="E118" s="78">
        <f t="shared" ca="1" si="50"/>
        <v>0</v>
      </c>
      <c r="F118" s="78">
        <f t="shared" ca="1" si="50"/>
        <v>0</v>
      </c>
      <c r="G118" s="78">
        <f t="shared" ca="1" si="50"/>
        <v>0</v>
      </c>
      <c r="H118" s="78" t="str">
        <f t="shared" ca="1" si="50"/>
        <v/>
      </c>
      <c r="I118" s="78" t="str">
        <f t="shared" ca="1" si="50"/>
        <v/>
      </c>
      <c r="J118" s="78" t="str">
        <f t="shared" ca="1" si="50"/>
        <v/>
      </c>
      <c r="K118" s="78" t="str">
        <f t="shared" ca="1" si="50"/>
        <v/>
      </c>
      <c r="L118" s="78" t="str">
        <f t="shared" ca="1" si="50"/>
        <v/>
      </c>
    </row>
    <row r="119" spans="1:12" x14ac:dyDescent="0.35">
      <c r="A119" t="str">
        <f>IF(A11="","","    "&amp;A11&amp;" - Release from Mead")</f>
        <v/>
      </c>
      <c r="C119" s="78" t="str">
        <f t="shared" ca="1" si="50"/>
        <v/>
      </c>
      <c r="D119" s="78" t="str">
        <f t="shared" ca="1" si="50"/>
        <v/>
      </c>
      <c r="E119" s="78" t="str">
        <f t="shared" ca="1" si="50"/>
        <v/>
      </c>
      <c r="F119" s="78" t="str">
        <f t="shared" ca="1" si="50"/>
        <v/>
      </c>
      <c r="G119" s="78" t="str">
        <f t="shared" ca="1" si="50"/>
        <v/>
      </c>
      <c r="H119" s="78" t="str">
        <f t="shared" ca="1" si="50"/>
        <v/>
      </c>
      <c r="I119" s="78" t="str">
        <f t="shared" ca="1" si="50"/>
        <v/>
      </c>
      <c r="J119" s="78" t="str">
        <f t="shared" ca="1" si="50"/>
        <v/>
      </c>
      <c r="K119" s="78" t="str">
        <f t="shared" ca="1" si="50"/>
        <v/>
      </c>
      <c r="L119" s="78" t="str">
        <f t="shared" ca="1" si="50"/>
        <v/>
      </c>
    </row>
    <row r="120" spans="1:12" x14ac:dyDescent="0.35">
      <c r="A120" s="1" t="s">
        <v>139</v>
      </c>
      <c r="B120" s="1"/>
      <c r="D120" s="2"/>
      <c r="E120" s="2"/>
      <c r="F120" s="2"/>
      <c r="G120" s="2"/>
      <c r="H120" s="2"/>
      <c r="I120" s="2"/>
      <c r="J120" s="2"/>
      <c r="K120" s="2"/>
      <c r="L120" s="2"/>
    </row>
    <row r="121" spans="1:12" x14ac:dyDescent="0.35">
      <c r="A121" t="str">
        <f t="shared" ref="A121:A126" si="51">IF(A6="","","    "&amp;A6)</f>
        <v xml:space="preserve">    Upper Basin</v>
      </c>
      <c r="C121" s="78">
        <f t="shared" ref="C121:L126" ca="1" si="52">IF(OR(C$27="",$A121=""),"",OFFSET(C$62,8*(ROW(B121)-ROW(B$121)),0))</f>
        <v>3.1233582945981313</v>
      </c>
      <c r="D121" s="78">
        <f t="shared" ca="1" si="52"/>
        <v>0</v>
      </c>
      <c r="E121" s="78">
        <f t="shared" ca="1" si="52"/>
        <v>0</v>
      </c>
      <c r="F121" s="78">
        <f t="shared" ca="1" si="52"/>
        <v>0</v>
      </c>
      <c r="G121" s="78">
        <f t="shared" ca="1" si="52"/>
        <v>0</v>
      </c>
      <c r="H121" s="78" t="str">
        <f t="shared" ca="1" si="52"/>
        <v/>
      </c>
      <c r="I121" s="78" t="str">
        <f t="shared" ca="1" si="52"/>
        <v/>
      </c>
      <c r="J121" s="78" t="str">
        <f t="shared" ca="1" si="52"/>
        <v/>
      </c>
      <c r="K121" s="78" t="str">
        <f t="shared" ca="1" si="52"/>
        <v/>
      </c>
      <c r="L121" s="78" t="str">
        <f t="shared" ca="1" si="52"/>
        <v/>
      </c>
    </row>
    <row r="122" spans="1:12" x14ac:dyDescent="0.35">
      <c r="A122" t="str">
        <f t="shared" si="51"/>
        <v xml:space="preserve">    Lower Basin</v>
      </c>
      <c r="C122" s="78">
        <f t="shared" ca="1" si="52"/>
        <v>4.0083315344091641</v>
      </c>
      <c r="D122" s="78">
        <f t="shared" ca="1" si="52"/>
        <v>3.6204249224669756</v>
      </c>
      <c r="E122" s="78">
        <f t="shared" ca="1" si="52"/>
        <v>2.7877511675799429</v>
      </c>
      <c r="F122" s="78">
        <f t="shared" ca="1" si="52"/>
        <v>2.4480244717223947</v>
      </c>
      <c r="G122" s="78">
        <f t="shared" ca="1" si="52"/>
        <v>2.1192568422176556</v>
      </c>
      <c r="H122" s="78" t="str">
        <f t="shared" ca="1" si="52"/>
        <v/>
      </c>
      <c r="I122" s="78" t="str">
        <f t="shared" ca="1" si="52"/>
        <v/>
      </c>
      <c r="J122" s="78" t="str">
        <f t="shared" ca="1" si="52"/>
        <v/>
      </c>
      <c r="K122" s="78" t="str">
        <f t="shared" ca="1" si="52"/>
        <v/>
      </c>
      <c r="L122" s="78" t="str">
        <f t="shared" ca="1" si="52"/>
        <v/>
      </c>
    </row>
    <row r="123" spans="1:12" x14ac:dyDescent="0.35">
      <c r="A123" t="str">
        <f t="shared" si="51"/>
        <v xml:space="preserve">    Mexico</v>
      </c>
      <c r="C123" s="78">
        <f t="shared" ca="1" si="52"/>
        <v>0.16557297647772518</v>
      </c>
      <c r="D123" s="78">
        <f t="shared" ca="1" si="52"/>
        <v>0.15718380729906833</v>
      </c>
      <c r="E123" s="78">
        <f t="shared" ca="1" si="52"/>
        <v>0.14853143635273836</v>
      </c>
      <c r="F123" s="78">
        <f t="shared" ca="1" si="52"/>
        <v>0.14016023137692657</v>
      </c>
      <c r="G123" s="78">
        <f t="shared" ca="1" si="52"/>
        <v>0.13217908244893195</v>
      </c>
      <c r="H123" s="78" t="str">
        <f t="shared" ca="1" si="52"/>
        <v/>
      </c>
      <c r="I123" s="78" t="str">
        <f t="shared" ca="1" si="52"/>
        <v/>
      </c>
      <c r="J123" s="78" t="str">
        <f t="shared" ca="1" si="52"/>
        <v/>
      </c>
      <c r="K123" s="78" t="str">
        <f t="shared" ca="1" si="52"/>
        <v/>
      </c>
      <c r="L123" s="78" t="str">
        <f t="shared" ca="1" si="52"/>
        <v/>
      </c>
    </row>
    <row r="124" spans="1:12" x14ac:dyDescent="0.35">
      <c r="A124" t="str">
        <f t="shared" si="51"/>
        <v xml:space="preserve">    Mohave &amp; Havasu Evap &amp; ET</v>
      </c>
      <c r="C124" s="78">
        <f t="shared" ca="1" si="52"/>
        <v>0</v>
      </c>
      <c r="D124" s="78">
        <f t="shared" ca="1" si="52"/>
        <v>0</v>
      </c>
      <c r="E124" s="78">
        <f t="shared" ca="1" si="52"/>
        <v>0</v>
      </c>
      <c r="F124" s="78">
        <f t="shared" ca="1" si="52"/>
        <v>0</v>
      </c>
      <c r="G124" s="78">
        <f t="shared" ca="1" si="52"/>
        <v>0</v>
      </c>
      <c r="H124" s="78" t="str">
        <f t="shared" ca="1" si="52"/>
        <v/>
      </c>
      <c r="I124" s="78" t="str">
        <f t="shared" ca="1" si="52"/>
        <v/>
      </c>
      <c r="J124" s="78" t="str">
        <f t="shared" ca="1" si="52"/>
        <v/>
      </c>
      <c r="K124" s="78" t="str">
        <f t="shared" ca="1" si="52"/>
        <v/>
      </c>
      <c r="L124" s="78" t="str">
        <f t="shared" ca="1" si="52"/>
        <v/>
      </c>
    </row>
    <row r="125" spans="1:12" x14ac:dyDescent="0.35">
      <c r="A125" t="str">
        <f t="shared" si="51"/>
        <v xml:space="preserve">    Shared, Reserve</v>
      </c>
      <c r="C125" s="78">
        <f t="shared" ca="1" si="52"/>
        <v>11.59116925</v>
      </c>
      <c r="D125" s="78">
        <f t="shared" ca="1" si="52"/>
        <v>11.59116925</v>
      </c>
      <c r="E125" s="78">
        <f t="shared" ca="1" si="52"/>
        <v>11.59116925</v>
      </c>
      <c r="F125" s="78">
        <f t="shared" ca="1" si="52"/>
        <v>11.59116925</v>
      </c>
      <c r="G125" s="78">
        <f t="shared" ca="1" si="52"/>
        <v>11.59116925</v>
      </c>
      <c r="H125" s="78" t="str">
        <f t="shared" ca="1" si="52"/>
        <v/>
      </c>
      <c r="I125" s="78" t="str">
        <f t="shared" ca="1" si="52"/>
        <v/>
      </c>
      <c r="J125" s="78" t="str">
        <f t="shared" ca="1" si="52"/>
        <v/>
      </c>
      <c r="K125" s="78" t="str">
        <f t="shared" ca="1" si="52"/>
        <v/>
      </c>
      <c r="L125" s="78" t="str">
        <f t="shared" ca="1" si="52"/>
        <v/>
      </c>
    </row>
    <row r="126" spans="1:12" x14ac:dyDescent="0.35">
      <c r="A126" t="str">
        <f t="shared" si="51"/>
        <v/>
      </c>
      <c r="C126" s="78" t="str">
        <f t="shared" ca="1" si="52"/>
        <v/>
      </c>
      <c r="D126" s="78" t="str">
        <f t="shared" ca="1" si="52"/>
        <v/>
      </c>
      <c r="E126" s="78" t="str">
        <f t="shared" ca="1" si="52"/>
        <v/>
      </c>
      <c r="F126" s="78" t="str">
        <f t="shared" ca="1" si="52"/>
        <v/>
      </c>
      <c r="G126" s="78" t="str">
        <f t="shared" ca="1" si="52"/>
        <v/>
      </c>
      <c r="H126" s="78" t="str">
        <f t="shared" ca="1" si="52"/>
        <v/>
      </c>
      <c r="I126" s="78" t="str">
        <f t="shared" ca="1" si="52"/>
        <v/>
      </c>
      <c r="J126" s="78" t="str">
        <f t="shared" ca="1" si="52"/>
        <v/>
      </c>
      <c r="K126" s="78" t="str">
        <f t="shared" ca="1" si="52"/>
        <v/>
      </c>
      <c r="L126" s="78" t="str">
        <f t="shared" ca="1" si="52"/>
        <v/>
      </c>
    </row>
    <row r="127" spans="1:12" x14ac:dyDescent="0.35">
      <c r="A127" s="1" t="s">
        <v>123</v>
      </c>
      <c r="B127" s="1"/>
      <c r="C127" s="14">
        <f ca="1">IF(C$27&lt;&gt;"",SUM(C121:C126),"")</f>
        <v>18.888432055485019</v>
      </c>
      <c r="D127" s="14">
        <f t="shared" ref="D127:L127" ca="1" si="53">IF(D$27&lt;&gt;"",SUM(D121:D126),"")</f>
        <v>15.368777979766044</v>
      </c>
      <c r="E127" s="14">
        <f t="shared" ca="1" si="53"/>
        <v>14.527451853932682</v>
      </c>
      <c r="F127" s="14">
        <f t="shared" ca="1" si="53"/>
        <v>14.179353953099321</v>
      </c>
      <c r="G127" s="14">
        <f t="shared" ca="1" si="53"/>
        <v>13.842605174666588</v>
      </c>
      <c r="H127" s="14" t="str">
        <f t="shared" si="53"/>
        <v/>
      </c>
      <c r="I127" s="14" t="str">
        <f t="shared" si="53"/>
        <v/>
      </c>
      <c r="J127" s="14" t="str">
        <f t="shared" si="53"/>
        <v/>
      </c>
      <c r="K127" s="14" t="str">
        <f t="shared" si="53"/>
        <v/>
      </c>
      <c r="L127" s="14" t="str">
        <f t="shared" si="53"/>
        <v/>
      </c>
    </row>
    <row r="128" spans="1:12" x14ac:dyDescent="0.35">
      <c r="A128" s="1" t="s">
        <v>206</v>
      </c>
      <c r="B128" s="1"/>
      <c r="C128" s="87">
        <v>0.5</v>
      </c>
      <c r="D128" s="87">
        <v>0.5</v>
      </c>
      <c r="E128" s="87">
        <v>0.5</v>
      </c>
      <c r="F128" s="87">
        <v>0.5</v>
      </c>
      <c r="G128" s="87">
        <v>0.5</v>
      </c>
      <c r="H128" s="87"/>
      <c r="I128" s="87"/>
      <c r="J128" s="87"/>
      <c r="K128" s="87"/>
      <c r="L128" s="87"/>
    </row>
    <row r="129" spans="1:14" x14ac:dyDescent="0.35">
      <c r="A129" s="1" t="s">
        <v>202</v>
      </c>
      <c r="B129" s="1"/>
      <c r="C129" s="14">
        <f ca="1">IF(C27="","",C$128*C$127)</f>
        <v>9.4442160277425096</v>
      </c>
      <c r="D129" s="14">
        <f t="shared" ref="D129:L129" ca="1" si="54">IF(D27="","",D$128*D$127)</f>
        <v>7.684388989883022</v>
      </c>
      <c r="E129" s="14">
        <f t="shared" ca="1" si="54"/>
        <v>7.263725926966341</v>
      </c>
      <c r="F129" s="14">
        <f t="shared" ca="1" si="54"/>
        <v>7.0896769765496606</v>
      </c>
      <c r="G129" s="14">
        <f t="shared" ca="1" si="54"/>
        <v>6.9213025873332938</v>
      </c>
      <c r="H129" s="14" t="str">
        <f t="shared" si="54"/>
        <v/>
      </c>
      <c r="I129" s="14" t="str">
        <f t="shared" si="54"/>
        <v/>
      </c>
      <c r="J129" s="14" t="str">
        <f t="shared" si="54"/>
        <v/>
      </c>
      <c r="K129" s="14" t="str">
        <f t="shared" si="54"/>
        <v/>
      </c>
      <c r="L129" s="14" t="str">
        <f t="shared" si="54"/>
        <v/>
      </c>
    </row>
    <row r="130" spans="1:14" x14ac:dyDescent="0.35">
      <c r="A130" s="1" t="s">
        <v>203</v>
      </c>
      <c r="B130" s="1"/>
      <c r="C130" s="14">
        <f ca="1">IF(C28="","",(1-C$128)*C$127)</f>
        <v>9.4442160277425096</v>
      </c>
      <c r="D130" s="14">
        <f t="shared" ref="D130:L130" ca="1" si="55">IF(D28="","",(1-D$128)*D$127)</f>
        <v>7.684388989883022</v>
      </c>
      <c r="E130" s="14">
        <f t="shared" ca="1" si="55"/>
        <v>7.263725926966341</v>
      </c>
      <c r="F130" s="14">
        <f t="shared" ca="1" si="55"/>
        <v>7.0896769765496606</v>
      </c>
      <c r="G130" s="14">
        <f t="shared" ca="1" si="55"/>
        <v>6.9213025873332938</v>
      </c>
      <c r="H130" s="14" t="str">
        <f t="shared" si="55"/>
        <v/>
      </c>
      <c r="I130" s="14" t="str">
        <f t="shared" si="55"/>
        <v/>
      </c>
      <c r="J130" s="14" t="str">
        <f t="shared" si="55"/>
        <v/>
      </c>
      <c r="K130" s="14" t="str">
        <f t="shared" si="55"/>
        <v/>
      </c>
      <c r="L130" s="14" t="str">
        <f t="shared" si="55"/>
        <v/>
      </c>
    </row>
    <row r="131" spans="1:14" x14ac:dyDescent="0.35">
      <c r="A131" s="32" t="s">
        <v>305</v>
      </c>
      <c r="B131" s="1"/>
      <c r="C131" s="117">
        <f ca="1">IF(C$27&lt;&gt;"",VLOOKUP(C129*1000000,'Powell-Elevation-Area'!$B$5:$H$689,7),"")</f>
        <v>3574</v>
      </c>
      <c r="D131" s="117">
        <f ca="1">IF(D$27&lt;&gt;"",VLOOKUP(D129*1000000,'Powell-Elevation-Area'!$B$5:$H$689,7),"")</f>
        <v>3551</v>
      </c>
      <c r="E131" s="117">
        <f ca="1">IF(E$27&lt;&gt;"",VLOOKUP(E129*1000000,'Powell-Elevation-Area'!$B$5:$H$689,7),"")</f>
        <v>3545</v>
      </c>
      <c r="F131" s="117">
        <f ca="1">IF(F$27&lt;&gt;"",VLOOKUP(F129*1000000,'Powell-Elevation-Area'!$B$5:$H$689,7),"")</f>
        <v>3542.5</v>
      </c>
      <c r="G131" s="117">
        <f ca="1">IF(G$27&lt;&gt;"",VLOOKUP(G129*1000000,'Powell-Elevation-Area'!$B$5:$H$689,7),"")</f>
        <v>3540</v>
      </c>
      <c r="H131" s="117" t="str">
        <f>IF(H$27&lt;&gt;"",VLOOKUP(H129*1000000,'Powell-Elevation-Area'!$B$5:$H$689,7),"")</f>
        <v/>
      </c>
      <c r="I131" s="117" t="str">
        <f>IF(I$27&lt;&gt;"",VLOOKUP(I129*1000000,'Powell-Elevation-Area'!$B$5:$H$689,7),"")</f>
        <v/>
      </c>
      <c r="J131" s="117" t="str">
        <f>IF(J$27&lt;&gt;"",VLOOKUP(J129*1000000,'Powell-Elevation-Area'!$B$5:$H$689,7),"")</f>
        <v/>
      </c>
      <c r="K131" s="117" t="str">
        <f>IF(K$27&lt;&gt;"",VLOOKUP(K129*1000000,'Powell-Elevation-Area'!$B$5:$H$689,7),"")</f>
        <v/>
      </c>
      <c r="L131" s="117" t="str">
        <f>IF(L$27&lt;&gt;"",VLOOKUP(L129*1000000,'Powell-Elevation-Area'!$B$5:$H$689,7),"")</f>
        <v/>
      </c>
    </row>
    <row r="132" spans="1:14" x14ac:dyDescent="0.35">
      <c r="A132" s="32" t="s">
        <v>306</v>
      </c>
      <c r="B132" s="1"/>
      <c r="C132" s="117">
        <f ca="1">IF(C$27&lt;&gt;"",VLOOKUP(C130*1000000,'Mead-Elevation-Area'!$B$5:$H$689,7),"")</f>
        <v>1073</v>
      </c>
      <c r="D132" s="117">
        <f ca="1">IF(D$27&lt;&gt;"",VLOOKUP(D130*1000000,'Mead-Elevation-Area'!$B$5:$H$689,7),"")</f>
        <v>1050</v>
      </c>
      <c r="E132" s="117">
        <f ca="1">IF(E$27&lt;&gt;"",VLOOKUP(E130*1000000,'Mead-Elevation-Area'!$B$5:$H$689,7),"")</f>
        <v>1044</v>
      </c>
      <c r="F132" s="117">
        <f ca="1">IF(F$27&lt;&gt;"",VLOOKUP(F130*1000000,'Mead-Elevation-Area'!$B$5:$H$689,7),"")</f>
        <v>1041.5</v>
      </c>
      <c r="G132" s="117">
        <f ca="1">IF(G$27&lt;&gt;"",VLOOKUP(G130*1000000,'Mead-Elevation-Area'!$B$5:$H$689,7),"")</f>
        <v>1039</v>
      </c>
      <c r="H132" s="117" t="str">
        <f>IF(H$27&lt;&gt;"",VLOOKUP(H130*1000000,'Mead-Elevation-Area'!$B$5:$H$689,7),"")</f>
        <v/>
      </c>
      <c r="I132" s="117" t="str">
        <f>IF(I$27&lt;&gt;"",VLOOKUP(I130*1000000,'Mead-Elevation-Area'!$B$5:$H$689,7),"")</f>
        <v/>
      </c>
      <c r="J132" s="117" t="str">
        <f>IF(J$27&lt;&gt;"",VLOOKUP(J130*1000000,'Mead-Elevation-Area'!$B$5:$H$689,7),"")</f>
        <v/>
      </c>
      <c r="K132" s="117" t="str">
        <f>IF(K$27&lt;&gt;"",VLOOKUP(K130*1000000,'Mead-Elevation-Area'!$B$5:$H$689,7),"")</f>
        <v/>
      </c>
      <c r="L132" s="117" t="str">
        <f>IF(L$27&lt;&gt;"",VLOOKUP(L130*1000000,'Mead-Elevation-Area'!$B$5:$H$689,7),"")</f>
        <v/>
      </c>
    </row>
    <row r="133" spans="1:14" x14ac:dyDescent="0.35">
      <c r="A133" s="1" t="s">
        <v>319</v>
      </c>
      <c r="B133" s="1"/>
      <c r="H133" s="14" t="str">
        <f>IF(H$27&lt;&gt;"",-H129+H37+H27-H61-VLOOKUP(H37*1000000,'Powell-Elevation-Area'!$B$5:$D$689,3)*$B$21/1000000,"")</f>
        <v/>
      </c>
      <c r="I133" s="14" t="str">
        <f>IF(I$27&lt;&gt;"",-I129+I37+I27-I61-VLOOKUP(I37*1000000,'Powell-Elevation-Area'!$B$5:$D$689,3)*$B$21/1000000,"")</f>
        <v/>
      </c>
      <c r="J133" s="14" t="str">
        <f>IF(J$27&lt;&gt;"",-J129+J37+J27-J61-VLOOKUP(J37*1000000,'Powell-Elevation-Area'!$B$5:$D$689,3)*$B$21/1000000,"")</f>
        <v/>
      </c>
      <c r="K133" s="14" t="str">
        <f>IF(K$27&lt;&gt;"",-K129+K37+K27-K61-VLOOKUP(K37*1000000,'Powell-Elevation-Area'!$B$5:$D$689,3)*$B$21/1000000,"")</f>
        <v/>
      </c>
      <c r="L133" s="14" t="str">
        <f>IF(L$27&lt;&gt;"",-L129+L37+L27-L61-VLOOKUP(L37*1000000,'Powell-Elevation-Area'!$B$5:$D$689,3)*$B$21/1000000,"")</f>
        <v/>
      </c>
    </row>
    <row r="134" spans="1:14" x14ac:dyDescent="0.35">
      <c r="A134" s="32" t="s">
        <v>320</v>
      </c>
      <c r="B134" s="1"/>
      <c r="C134" s="14">
        <f ca="1">IF(C$27&lt;&gt;"",-C129+C37+C27-C61-VLOOKUP(C37*1000000,'Powell-Elevation-Area'!$B$5:$D$689,3)*$B$21/1000000,"")</f>
        <v>7.832887092256918</v>
      </c>
      <c r="D134" s="14">
        <f ca="1">IF(D$27&lt;&gt;"",-D129+D37+D27-D61-VLOOKUP(D37*1000000,'Powell-Elevation-Area'!$B$5:$D$689,3)*$B$21/1000000,"")</f>
        <v>6.818314295474444</v>
      </c>
      <c r="E134" s="14">
        <f ca="1">IF(E$27&lt;&gt;"",-E129+E37+E27-E61-VLOOKUP(E37*1000000,'Powell-Elevation-Area'!$B$5:$D$689,3)*$B$21/1000000,"")</f>
        <v>8.1079182704172528</v>
      </c>
      <c r="F134" s="14">
        <f ca="1">IF(F$27&lt;&gt;"",-F129+F37+F27-F61-VLOOKUP(F37*1000000,'Powell-Elevation-Area'!$B$5:$D$689,3)*$B$21/1000000,"")</f>
        <v>7.8763883829172538</v>
      </c>
      <c r="G134" s="14">
        <f ca="1">IF(G$27&lt;&gt;"",-G129+G37+G27-G61-VLOOKUP(G37*1000000,'Powell-Elevation-Area'!$B$5:$D$689,3)*$B$21/1000000,"")</f>
        <v>7.8769989441163659</v>
      </c>
      <c r="H134" s="14" t="str">
        <f>IF(H$27&lt;&gt;"",-H129+H37+H27-H61-VLOOKUP(H37*1000000,'Powell-Elevation-Area'!$B$5:$D$689,3)*$B$21/1000000,"")</f>
        <v/>
      </c>
      <c r="I134" s="14" t="str">
        <f>IF(I$27&lt;&gt;"",-I129+I37+I27-I61-VLOOKUP(I37*1000000,'Powell-Elevation-Area'!$B$5:$D$689,3)*$B$21/1000000,"")</f>
        <v/>
      </c>
      <c r="J134" s="14" t="str">
        <f>IF(J$27&lt;&gt;"",-J129+J37+J27-J61-VLOOKUP(J37*1000000,'Powell-Elevation-Area'!$B$5:$D$689,3)*$B$21/1000000,"")</f>
        <v/>
      </c>
      <c r="K134" s="14" t="str">
        <f>IF(K$27&lt;&gt;"",-K129+K37+K27-K61-VLOOKUP(K37*1000000,'Powell-Elevation-Area'!$B$5:$D$689,3)*$B$21/1000000,"")</f>
        <v/>
      </c>
      <c r="L134" s="14" t="str">
        <f>IF(L$27&lt;&gt;"",-L129+L37+L27-L61-VLOOKUP(L37*1000000,'Powell-Elevation-Area'!$B$5:$D$689,3)*$B$21/1000000,"")</f>
        <v/>
      </c>
      <c r="N134" t="s">
        <v>204</v>
      </c>
    </row>
    <row r="135" spans="1:14" x14ac:dyDescent="0.35">
      <c r="A135" s="32" t="s">
        <v>321</v>
      </c>
      <c r="B135" s="1"/>
      <c r="C135" s="117" t="str">
        <f ca="1">IF(C$27&lt;&gt;"",VLOOKUP(C131,PowellReleaseTemperature!$A$5:$B$11,2),"")</f>
        <v>&lt; 18</v>
      </c>
      <c r="D135" s="117" t="str">
        <f ca="1">IF(D$27&lt;&gt;"",VLOOKUP(D131,PowellReleaseTemperature!$A$5:$B$11,2),"")</f>
        <v>&lt; 18</v>
      </c>
      <c r="E135" s="117" t="str">
        <f ca="1">IF(E$27&lt;&gt;"",VLOOKUP(E131,PowellReleaseTemperature!$A$5:$B$11,2),"")</f>
        <v>&lt; 18</v>
      </c>
      <c r="F135" s="117" t="str">
        <f ca="1">IF(F$27&lt;&gt;"",VLOOKUP(F131,PowellReleaseTemperature!$A$5:$B$11,2),"")</f>
        <v>&lt; 18</v>
      </c>
      <c r="G135" s="117" t="str">
        <f ca="1">IF(G$27&lt;&gt;"",VLOOKUP(G131,PowellReleaseTemperature!$A$5:$B$11,2),"")</f>
        <v>&lt; 18</v>
      </c>
      <c r="H135" s="117" t="str">
        <f>IF(H$27&lt;&gt;"",VLOOKUP(H131,PowellReleaseTemperature!$A$5:$B$11,2),"")</f>
        <v/>
      </c>
      <c r="I135" s="117" t="str">
        <f>IF(I$27&lt;&gt;"",VLOOKUP(I131,PowellReleaseTemperature!$A$5:$B$11,2),"")</f>
        <v/>
      </c>
      <c r="J135" s="117" t="str">
        <f>IF(J$27&lt;&gt;"",VLOOKUP(J131,PowellReleaseTemperature!$A$5:$B$11,2),"")</f>
        <v/>
      </c>
      <c r="K135" s="117" t="str">
        <f>IF(K$27&lt;&gt;"",VLOOKUP(K131,PowellReleaseTemperature!$A$5:$B$11,2),"")</f>
        <v/>
      </c>
      <c r="L135" s="117" t="str">
        <f>IF(L$27&lt;&gt;"",VLOOKUP(L131,PowellReleaseTemperature!$A$5:$B$11,2),"")</f>
        <v/>
      </c>
      <c r="N135" t="s">
        <v>326</v>
      </c>
    </row>
    <row r="136" spans="1:14" x14ac:dyDescent="0.35">
      <c r="C136" s="29"/>
    </row>
    <row r="137" spans="1:14" x14ac:dyDescent="0.35">
      <c r="A137" s="1" t="s">
        <v>125</v>
      </c>
      <c r="C137" s="12">
        <f>IF(C$27&lt;&gt;"",0.2,"")</f>
        <v>0.2</v>
      </c>
      <c r="D137" s="12">
        <f t="shared" ref="D137:L137" si="56">IF(D$27&lt;&gt;"",0.2,"")</f>
        <v>0.2</v>
      </c>
      <c r="E137" s="12">
        <f t="shared" si="56"/>
        <v>0.2</v>
      </c>
      <c r="F137" s="12">
        <f t="shared" si="56"/>
        <v>0.2</v>
      </c>
      <c r="G137" s="12">
        <f t="shared" si="56"/>
        <v>0.2</v>
      </c>
      <c r="H137" s="12" t="str">
        <f t="shared" si="56"/>
        <v/>
      </c>
      <c r="I137" s="12" t="str">
        <f t="shared" si="56"/>
        <v/>
      </c>
      <c r="J137" s="12" t="str">
        <f t="shared" si="56"/>
        <v/>
      </c>
      <c r="K137" s="12" t="str">
        <f t="shared" si="56"/>
        <v/>
      </c>
      <c r="L137" s="12" t="str">
        <f t="shared" si="56"/>
        <v/>
      </c>
    </row>
    <row r="138" spans="1:14" x14ac:dyDescent="0.35">
      <c r="A138" t="s">
        <v>126</v>
      </c>
      <c r="C138" s="14">
        <f t="shared" ref="C138:L138" ca="1" si="57">IF(C$27&lt;&gt;"",C115+C137,"")</f>
        <v>7.4590000000000005</v>
      </c>
      <c r="D138" s="14">
        <f t="shared" ca="1" si="57"/>
        <v>7.0870000000000006</v>
      </c>
      <c r="E138" s="14">
        <f t="shared" ca="1" si="57"/>
        <v>7.0870000000000006</v>
      </c>
      <c r="F138" s="14">
        <f t="shared" ca="1" si="57"/>
        <v>6.6870000000000003</v>
      </c>
      <c r="G138" s="14">
        <f t="shared" ca="1" si="57"/>
        <v>6.6870000000000003</v>
      </c>
      <c r="H138" s="14" t="str">
        <f t="shared" si="57"/>
        <v/>
      </c>
      <c r="I138" s="14" t="str">
        <f t="shared" si="57"/>
        <v/>
      </c>
      <c r="J138" s="14" t="str">
        <f t="shared" si="57"/>
        <v/>
      </c>
      <c r="K138" s="14" t="str">
        <f t="shared" si="57"/>
        <v/>
      </c>
      <c r="L138" s="14" t="str">
        <f t="shared" si="57"/>
        <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C61:G61">
    <cfRule type="cellIs" dxfId="169" priority="72" operator="greaterThan">
      <formula>$C$60</formula>
    </cfRule>
  </conditionalFormatting>
  <conditionalFormatting sqref="H61">
    <cfRule type="cellIs" dxfId="168" priority="67" operator="greaterThan">
      <formula>$H$60</formula>
    </cfRule>
  </conditionalFormatting>
  <conditionalFormatting sqref="I61">
    <cfRule type="cellIs" dxfId="167" priority="66" operator="greaterThan">
      <formula>$I$60</formula>
    </cfRule>
  </conditionalFormatting>
  <conditionalFormatting sqref="J61">
    <cfRule type="cellIs" dxfId="166" priority="65" operator="greaterThan">
      <formula>$J$60</formula>
    </cfRule>
  </conditionalFormatting>
  <conditionalFormatting sqref="K61">
    <cfRule type="cellIs" dxfId="165" priority="64" operator="greaterThan">
      <formula>$K$60</formula>
    </cfRule>
  </conditionalFormatting>
  <conditionalFormatting sqref="L61">
    <cfRule type="cellIs" dxfId="164" priority="63" operator="greaterThan">
      <formula>$L$60</formula>
    </cfRule>
  </conditionalFormatting>
  <conditionalFormatting sqref="C69:L69">
    <cfRule type="cellIs" dxfId="163" priority="55" operator="greaterThan">
      <formula>$C$68</formula>
    </cfRule>
  </conditionalFormatting>
  <conditionalFormatting sqref="C77:G77">
    <cfRule type="cellIs" dxfId="162" priority="45" operator="greaterThan">
      <formula>$C$76</formula>
    </cfRule>
  </conditionalFormatting>
  <conditionalFormatting sqref="H77">
    <cfRule type="cellIs" dxfId="161" priority="40" operator="greaterThan">
      <formula>$H$76</formula>
    </cfRule>
  </conditionalFormatting>
  <conditionalFormatting sqref="I77">
    <cfRule type="cellIs" dxfId="160" priority="39" operator="greaterThan">
      <formula>$I$76</formula>
    </cfRule>
  </conditionalFormatting>
  <conditionalFormatting sqref="J77">
    <cfRule type="cellIs" dxfId="159" priority="38" operator="greaterThan">
      <formula>$J$76</formula>
    </cfRule>
  </conditionalFormatting>
  <conditionalFormatting sqref="K77">
    <cfRule type="cellIs" dxfId="158" priority="37" operator="greaterThan">
      <formula>$K$76</formula>
    </cfRule>
  </conditionalFormatting>
  <conditionalFormatting sqref="L77">
    <cfRule type="cellIs" dxfId="157" priority="36" operator="greaterThan">
      <formula>$L$76</formula>
    </cfRule>
  </conditionalFormatting>
  <conditionalFormatting sqref="C85">
    <cfRule type="cellIs" dxfId="156" priority="35" operator="greaterThan">
      <formula>$C$84</formula>
    </cfRule>
  </conditionalFormatting>
  <conditionalFormatting sqref="D85">
    <cfRule type="cellIs" dxfId="155" priority="34" operator="greaterThan">
      <formula>$D$84</formula>
    </cfRule>
  </conditionalFormatting>
  <conditionalFormatting sqref="E85">
    <cfRule type="cellIs" dxfId="154" priority="33" operator="greaterThan">
      <formula>$E$84</formula>
    </cfRule>
  </conditionalFormatting>
  <conditionalFormatting sqref="F85">
    <cfRule type="cellIs" dxfId="153" priority="32" operator="greaterThan">
      <formula>$F$84</formula>
    </cfRule>
  </conditionalFormatting>
  <conditionalFormatting sqref="G85">
    <cfRule type="cellIs" dxfId="152" priority="31" operator="greaterThan">
      <formula>$G$84</formula>
    </cfRule>
  </conditionalFormatting>
  <conditionalFormatting sqref="H85">
    <cfRule type="cellIs" dxfId="151" priority="30" operator="greaterThan">
      <formula>$H$84</formula>
    </cfRule>
  </conditionalFormatting>
  <conditionalFormatting sqref="I85">
    <cfRule type="cellIs" dxfId="150" priority="29" operator="greaterThan">
      <formula>$I$84</formula>
    </cfRule>
  </conditionalFormatting>
  <conditionalFormatting sqref="J85">
    <cfRule type="cellIs" dxfId="149" priority="28" operator="greaterThan">
      <formula>$J$84</formula>
    </cfRule>
  </conditionalFormatting>
  <conditionalFormatting sqref="K85">
    <cfRule type="cellIs" dxfId="148" priority="27" operator="greaterThan">
      <formula>$K$84</formula>
    </cfRule>
  </conditionalFormatting>
  <conditionalFormatting sqref="L85">
    <cfRule type="cellIs" dxfId="147" priority="26" operator="greaterThan">
      <formula>$L$84</formula>
    </cfRule>
  </conditionalFormatting>
  <conditionalFormatting sqref="C93">
    <cfRule type="cellIs" dxfId="146" priority="25" operator="greaterThan">
      <formula>$C$92</formula>
    </cfRule>
  </conditionalFormatting>
  <conditionalFormatting sqref="D93">
    <cfRule type="cellIs" dxfId="145" priority="24" operator="greaterThan">
      <formula>$D$92</formula>
    </cfRule>
  </conditionalFormatting>
  <conditionalFormatting sqref="E93">
    <cfRule type="cellIs" dxfId="144" priority="23" operator="greaterThan">
      <formula>$E$92</formula>
    </cfRule>
  </conditionalFormatting>
  <conditionalFormatting sqref="F93">
    <cfRule type="cellIs" dxfId="143" priority="22" operator="greaterThan">
      <formula>$F$92</formula>
    </cfRule>
  </conditionalFormatting>
  <conditionalFormatting sqref="G93">
    <cfRule type="cellIs" dxfId="142" priority="21" operator="greaterThan">
      <formula>$G$92</formula>
    </cfRule>
  </conditionalFormatting>
  <conditionalFormatting sqref="H93">
    <cfRule type="cellIs" dxfId="141" priority="20" operator="greaterThan">
      <formula>$H$92</formula>
    </cfRule>
  </conditionalFormatting>
  <conditionalFormatting sqref="I93">
    <cfRule type="cellIs" dxfId="140" priority="19" operator="greaterThan">
      <formula>$I$92</formula>
    </cfRule>
  </conditionalFormatting>
  <conditionalFormatting sqref="J93">
    <cfRule type="cellIs" dxfId="139" priority="18" operator="greaterThan">
      <formula>$J$92</formula>
    </cfRule>
  </conditionalFormatting>
  <conditionalFormatting sqref="K93">
    <cfRule type="cellIs" dxfId="138" priority="17" operator="greaterThan">
      <formula>$K$92</formula>
    </cfRule>
  </conditionalFormatting>
  <conditionalFormatting sqref="L93">
    <cfRule type="cellIs" dxfId="137" priority="16" operator="greaterThan">
      <formula>$L$92</formula>
    </cfRule>
  </conditionalFormatting>
  <conditionalFormatting sqref="C101">
    <cfRule type="cellIs" dxfId="136" priority="15" operator="greaterThan">
      <formula>$C$100</formula>
    </cfRule>
  </conditionalFormatting>
  <conditionalFormatting sqref="D101">
    <cfRule type="cellIs" dxfId="135" priority="14" operator="greaterThan">
      <formula>$D$100</formula>
    </cfRule>
  </conditionalFormatting>
  <conditionalFormatting sqref="E101">
    <cfRule type="cellIs" dxfId="134" priority="13" operator="greaterThan">
      <formula>$E$100</formula>
    </cfRule>
  </conditionalFormatting>
  <conditionalFormatting sqref="F101">
    <cfRule type="cellIs" dxfId="133" priority="12" operator="greaterThan">
      <formula>$F$100</formula>
    </cfRule>
  </conditionalFormatting>
  <conditionalFormatting sqref="G101">
    <cfRule type="cellIs" dxfId="132" priority="11" operator="greaterThan">
      <formula>$G$100</formula>
    </cfRule>
  </conditionalFormatting>
  <conditionalFormatting sqref="H101">
    <cfRule type="cellIs" dxfId="131" priority="10" operator="greaterThan">
      <formula>$H$100</formula>
    </cfRule>
  </conditionalFormatting>
  <conditionalFormatting sqref="I101">
    <cfRule type="cellIs" dxfId="130" priority="9" operator="greaterThan">
      <formula>$I$100</formula>
    </cfRule>
  </conditionalFormatting>
  <conditionalFormatting sqref="J101">
    <cfRule type="cellIs" dxfId="129" priority="8" operator="greaterThan">
      <formula>$J$100</formula>
    </cfRule>
  </conditionalFormatting>
  <conditionalFormatting sqref="K101">
    <cfRule type="cellIs" dxfId="128" priority="7" operator="greaterThan">
      <formula>$K$100</formula>
    </cfRule>
  </conditionalFormatting>
  <conditionalFormatting sqref="L101">
    <cfRule type="cellIs" dxfId="127"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1"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9"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8"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7"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6"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5"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 operator="equal" id="{E5911458-E205-4530-8916-17CDCE7347E0}">
            <xm:f>PowellReleaseTemperature!$B$7</xm:f>
            <x14:dxf>
              <font>
                <color auto="1"/>
              </font>
              <fill>
                <patternFill>
                  <bgColor rgb="FFFF0000"/>
                </patternFill>
              </fill>
            </x14:dxf>
          </x14:cfRule>
          <x14:cfRule type="cellIs" priority="2" operator="equal" id="{BC958668-2353-4514-8E28-E75DF1194639}">
            <xm:f>PowellReleaseTemperature!$B$8</xm:f>
            <x14:dxf>
              <font>
                <color rgb="FF9C0006"/>
              </font>
              <fill>
                <patternFill>
                  <bgColor rgb="FFFFC7CE"/>
                </patternFill>
              </fill>
            </x14:dxf>
          </x14:cfRule>
          <x14:cfRule type="cellIs" priority="3" operator="equal" id="{BEFA8CD7-913B-4884-BE56-5D59D52DD394}">
            <xm:f>PowellReleaseTemperature!$B$9</xm:f>
            <x14:dxf>
              <font>
                <color auto="1"/>
              </font>
              <fill>
                <patternFill>
                  <bgColor theme="4" tint="0.39994506668294322"/>
                </patternFill>
              </fill>
            </x14:dxf>
          </x14:cfRule>
          <x14:cfRule type="cellIs" priority="4" operator="equal" id="{07DAD421-0EDE-41DE-A8D0-D5AFC5C99F38}">
            <xm:f>PowellReleaseTemperature!$B$10</xm:f>
            <x14:dxf>
              <font>
                <color auto="1"/>
              </font>
              <fill>
                <patternFill>
                  <bgColor theme="8" tint="-0.499984740745262"/>
                </patternFill>
              </fill>
            </x14:dxf>
          </x14:cfRule>
          <xm:sqref>C135:L135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C2" workbookViewId="0">
      <selection activeCell="I39" sqref="I39"/>
    </sheetView>
  </sheetViews>
  <sheetFormatPr defaultRowHeight="14.5" x14ac:dyDescent="0.35"/>
  <sheetData>
    <row r="1" spans="7:24" ht="36" x14ac:dyDescent="0.8">
      <c r="G1" s="48" t="s">
        <v>39</v>
      </c>
      <c r="P1" s="48" t="s">
        <v>40</v>
      </c>
      <c r="X1" s="48" t="s">
        <v>221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40"/>
  <sheetViews>
    <sheetView topLeftCell="C113"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65" t="s">
        <v>152</v>
      </c>
      <c r="B3" s="165"/>
      <c r="C3" s="165"/>
      <c r="D3" s="165"/>
      <c r="E3" s="165"/>
      <c r="F3" s="165"/>
      <c r="G3" s="165"/>
      <c r="H3" s="90"/>
      <c r="I3" s="90"/>
      <c r="J3" s="90"/>
      <c r="K3" s="90"/>
    </row>
    <row r="4" spans="1:11" x14ac:dyDescent="0.35">
      <c r="A4" s="59" t="s">
        <v>38</v>
      </c>
      <c r="B4" s="59" t="s">
        <v>42</v>
      </c>
      <c r="C4" s="166" t="s">
        <v>43</v>
      </c>
      <c r="D4" s="167"/>
      <c r="E4" s="167"/>
      <c r="F4" s="167"/>
      <c r="G4" s="168"/>
    </row>
    <row r="5" spans="1:11" x14ac:dyDescent="0.35">
      <c r="A5" s="91" t="s">
        <v>51</v>
      </c>
      <c r="B5" s="91"/>
      <c r="C5" s="169"/>
      <c r="D5" s="169"/>
      <c r="E5" s="169"/>
      <c r="F5" s="169"/>
      <c r="G5" s="169"/>
    </row>
    <row r="6" spans="1:11" x14ac:dyDescent="0.35">
      <c r="A6" s="89" t="s">
        <v>39</v>
      </c>
      <c r="B6" s="89" t="s">
        <v>156</v>
      </c>
      <c r="C6" s="170" t="s">
        <v>153</v>
      </c>
      <c r="D6" s="170"/>
      <c r="E6" s="170"/>
      <c r="F6" s="170"/>
      <c r="G6" s="170"/>
    </row>
    <row r="7" spans="1:11" x14ac:dyDescent="0.35">
      <c r="A7" s="89" t="s">
        <v>40</v>
      </c>
      <c r="B7" s="89" t="s">
        <v>156</v>
      </c>
      <c r="C7" s="170" t="s">
        <v>153</v>
      </c>
      <c r="D7" s="170"/>
      <c r="E7" s="170"/>
      <c r="F7" s="170"/>
      <c r="G7" s="170"/>
    </row>
    <row r="8" spans="1:11" x14ac:dyDescent="0.35">
      <c r="A8" s="89" t="s">
        <v>41</v>
      </c>
      <c r="B8" s="89" t="s">
        <v>156</v>
      </c>
      <c r="C8" s="170" t="s">
        <v>153</v>
      </c>
      <c r="D8" s="170"/>
      <c r="E8" s="170"/>
      <c r="F8" s="170"/>
      <c r="G8" s="170"/>
    </row>
    <row r="9" spans="1:11" x14ac:dyDescent="0.35">
      <c r="A9" s="89" t="s">
        <v>148</v>
      </c>
      <c r="B9" s="89" t="s">
        <v>156</v>
      </c>
      <c r="C9" s="170" t="s">
        <v>154</v>
      </c>
      <c r="D9" s="170"/>
      <c r="E9" s="170"/>
      <c r="F9" s="170"/>
      <c r="G9" s="170"/>
    </row>
    <row r="10" spans="1:11" x14ac:dyDescent="0.35">
      <c r="A10" s="89" t="s">
        <v>160</v>
      </c>
      <c r="B10" s="89" t="s">
        <v>156</v>
      </c>
      <c r="C10" s="164" t="s">
        <v>187</v>
      </c>
      <c r="D10" s="164"/>
      <c r="E10" s="164"/>
      <c r="F10" s="164"/>
      <c r="G10" s="164"/>
    </row>
    <row r="11" spans="1:11" x14ac:dyDescent="0.35">
      <c r="A11" s="89"/>
      <c r="B11" s="89"/>
      <c r="C11" s="164"/>
      <c r="D11" s="164"/>
      <c r="E11" s="164"/>
      <c r="F11" s="164"/>
      <c r="G11" s="164"/>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20" t="s">
        <v>228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205</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147</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191</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190</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146</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203</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32" t="s">
        <v>305</v>
      </c>
      <c r="B131" s="1"/>
      <c r="C131" s="117">
        <f ca="1">IF(C$27&lt;&gt;"",VLOOKUP(C129*1000000,'Powell-Elevation-Area'!$B$5:$H$689,7),"")</f>
        <v>3579</v>
      </c>
      <c r="D131" s="117">
        <f ca="1">IF(D$27&lt;&gt;"",VLOOKUP(D129*1000000,'Powell-Elevation-Area'!$B$5:$H$689,7),"")</f>
        <v>3571.5</v>
      </c>
      <c r="E131" s="117">
        <f ca="1">IF(E$27&lt;&gt;"",VLOOKUP(E129*1000000,'Powell-Elevation-Area'!$B$5:$H$689,7),"")</f>
        <v>3566</v>
      </c>
      <c r="F131" s="117">
        <f ca="1">IF(F$27&lt;&gt;"",VLOOKUP(F129*1000000,'Powell-Elevation-Area'!$B$5:$H$689,7),"")</f>
        <v>3561</v>
      </c>
      <c r="G131" s="117">
        <f ca="1">IF(G$27&lt;&gt;"",VLOOKUP(G129*1000000,'Powell-Elevation-Area'!$B$5:$H$689,7),"")</f>
        <v>3555.5</v>
      </c>
      <c r="H131" s="117">
        <f ca="1">IF(H$27&lt;&gt;"",VLOOKUP(H129*1000000,'Powell-Elevation-Area'!$B$5:$H$689,7),"")</f>
        <v>3550.5</v>
      </c>
      <c r="I131" s="117">
        <f ca="1">IF(I$27&lt;&gt;"",VLOOKUP(I129*1000000,'Powell-Elevation-Area'!$B$5:$H$689,7),"")</f>
        <v>3560</v>
      </c>
      <c r="J131" s="117">
        <f ca="1">IF(J$27&lt;&gt;"",VLOOKUP(J129*1000000,'Powell-Elevation-Area'!$B$5:$H$689,7),"")</f>
        <v>3567.5</v>
      </c>
      <c r="K131" s="117">
        <f ca="1">IF(K$27&lt;&gt;"",VLOOKUP(K129*1000000,'Powell-Elevation-Area'!$B$5:$H$689,7),"")</f>
        <v>3575</v>
      </c>
      <c r="L131" s="117">
        <f ca="1">IF(L$27&lt;&gt;"",VLOOKUP(L129*1000000,'Powell-Elevation-Area'!$B$5:$H$689,7),"")</f>
        <v>3581.5</v>
      </c>
    </row>
    <row r="132" spans="1:14" x14ac:dyDescent="0.35">
      <c r="A132" s="32" t="s">
        <v>306</v>
      </c>
      <c r="B132" s="1"/>
      <c r="C132" s="117">
        <f ca="1">IF(C$27&lt;&gt;"",VLOOKUP(C130*1000000,'Mead-Elevation-Area'!$B$5:$H$689,7),"")</f>
        <v>1078</v>
      </c>
      <c r="D132" s="117">
        <f ca="1">IF(D$27&lt;&gt;"",VLOOKUP(D130*1000000,'Mead-Elevation-Area'!$B$5:$H$689,7),"")</f>
        <v>1070.5</v>
      </c>
      <c r="E132" s="117">
        <f ca="1">IF(E$27&lt;&gt;"",VLOOKUP(E130*1000000,'Mead-Elevation-Area'!$B$5:$H$689,7),"")</f>
        <v>1065</v>
      </c>
      <c r="F132" s="117">
        <f ca="1">IF(F$27&lt;&gt;"",VLOOKUP(F130*1000000,'Mead-Elevation-Area'!$B$5:$H$689,7),"")</f>
        <v>1059.5</v>
      </c>
      <c r="G132" s="117">
        <f ca="1">IF(G$27&lt;&gt;"",VLOOKUP(G130*1000000,'Mead-Elevation-Area'!$B$5:$H$689,7),"")</f>
        <v>1054.5</v>
      </c>
      <c r="H132" s="117">
        <f ca="1">IF(H$27&lt;&gt;"",VLOOKUP(H130*1000000,'Mead-Elevation-Area'!$B$5:$H$689,7),"")</f>
        <v>1049</v>
      </c>
      <c r="I132" s="117">
        <f ca="1">IF(I$27&lt;&gt;"",VLOOKUP(I130*1000000,'Mead-Elevation-Area'!$B$5:$H$689,7),"")</f>
        <v>1058.5</v>
      </c>
      <c r="J132" s="117">
        <f ca="1">IF(J$27&lt;&gt;"",VLOOKUP(J130*1000000,'Mead-Elevation-Area'!$B$5:$H$689,7),"")</f>
        <v>1066.5</v>
      </c>
      <c r="K132" s="117">
        <f ca="1">IF(K$27&lt;&gt;"",VLOOKUP(K130*1000000,'Mead-Elevation-Area'!$B$5:$H$689,7),"")</f>
        <v>1074</v>
      </c>
      <c r="L132" s="117">
        <f ca="1">IF(L$27&lt;&gt;"",VLOOKUP(L130*1000000,'Mead-Elevation-Area'!$B$5:$H$689,7),"")</f>
        <v>1081</v>
      </c>
    </row>
    <row r="133" spans="1:14" x14ac:dyDescent="0.35">
      <c r="A133" s="1" t="s">
        <v>319</v>
      </c>
      <c r="B133" s="1"/>
      <c r="C133"/>
    </row>
    <row r="134" spans="1:14" x14ac:dyDescent="0.35">
      <c r="A134" s="32" t="s">
        <v>320</v>
      </c>
      <c r="B134" s="1"/>
      <c r="C134" s="14">
        <f ca="1">IF(C$27&lt;&gt;"",-C129+C37+C27-C61-VLOOKUP(C37*1000000,'Powell-Elevation-Area'!$B$5:$D$689,3)*$B$21/1000000,"")</f>
        <v>8.7912186266660797</v>
      </c>
      <c r="D134" s="14">
        <f ca="1">IF(D$27&lt;&gt;"",-D129+D37+D27-D61-VLOOKUP(D37*1000000,'Powell-Elevation-Area'!$B$5:$D$689,3)*$B$21/1000000,"")</f>
        <v>8.3556252311669503</v>
      </c>
      <c r="E134" s="14">
        <f ca="1">IF(E$27&lt;&gt;"",-E129+E37+E27-E61-VLOOKUP(E37*1000000,'Powell-Elevation-Area'!$B$5:$D$689,3)*$B$21/1000000,"")</f>
        <v>8.1528756274163676</v>
      </c>
      <c r="F134" s="14">
        <f ca="1">IF(F$27&lt;&gt;"",-F129+F37+F27-F61-VLOOKUP(F37*1000000,'Powell-Elevation-Area'!$B$5:$D$689,3)*$B$21/1000000,"")</f>
        <v>8.1545819846663807</v>
      </c>
      <c r="G134" s="14">
        <f ca="1">IF(G$27&lt;&gt;"",-G129+G37+G27-G61-VLOOKUP(G37*1000000,'Powell-Elevation-Area'!$B$5:$D$689,3)*$B$21/1000000,"")</f>
        <v>8.1555465821663784</v>
      </c>
      <c r="H134" s="14">
        <f ca="1">IF(H$27&lt;&gt;"",-H129+H37+H27-H61-VLOOKUP(H37*1000000,'Powell-Elevation-Area'!$B$5:$D$689,3)*$B$21/1000000,"")</f>
        <v>8.1571607003663651</v>
      </c>
      <c r="I134" s="14">
        <f ca="1">IF(I$27&lt;&gt;"",-I129+I37+I27-I61-VLOOKUP(I37*1000000,'Powell-Elevation-Area'!$B$5:$D$689,3)*$B$21/1000000,"")</f>
        <v>9.0915357941166537</v>
      </c>
      <c r="J134" s="14">
        <f ca="1">IF(J$27&lt;&gt;"",-J129+J37+J27-J61-VLOOKUP(J37*1000000,'Powell-Elevation-Area'!$B$5:$D$689,3)*$B$21/1000000,"")</f>
        <v>9.1558481016669528</v>
      </c>
      <c r="K134" s="14">
        <f ca="1">IF(K$27&lt;&gt;"",-K129+K37+K27-K61-VLOOKUP(K37*1000000,'Powell-Elevation-Area'!$B$5:$D$689,3)*$B$21/1000000,"")</f>
        <v>9.1541297054160804</v>
      </c>
      <c r="L134" s="14">
        <f ca="1">IF(L$27&lt;&gt;"",-L129+L37+L27-L61-VLOOKUP(L37*1000000,'Powell-Elevation-Area'!$B$5:$D$689,3)*$B$21/1000000,"")</f>
        <v>9.1515923091663662</v>
      </c>
      <c r="N134" t="s">
        <v>204</v>
      </c>
    </row>
    <row r="135" spans="1:14" x14ac:dyDescent="0.35">
      <c r="A135" s="32" t="s">
        <v>321</v>
      </c>
      <c r="B135" s="1"/>
      <c r="C135" s="117" t="str">
        <f ca="1">IF(C$27&lt;&gt;"",VLOOKUP(C131,PowellReleaseTemperature!$A$5:$B$11,2),"")</f>
        <v>&lt; 18</v>
      </c>
      <c r="D135" s="117" t="str">
        <f ca="1">IF(D$27&lt;&gt;"",VLOOKUP(D131,PowellReleaseTemperature!$A$5:$B$11,2),"")</f>
        <v>&lt; 18</v>
      </c>
      <c r="E135" s="117" t="str">
        <f ca="1">IF(E$27&lt;&gt;"",VLOOKUP(E131,PowellReleaseTemperature!$A$5:$B$11,2),"")</f>
        <v>&lt; 18</v>
      </c>
      <c r="F135" s="117" t="str">
        <f ca="1">IF(F$27&lt;&gt;"",VLOOKUP(F131,PowellReleaseTemperature!$A$5:$B$11,2),"")</f>
        <v>&lt; 18</v>
      </c>
      <c r="G135" s="117" t="str">
        <f ca="1">IF(G$27&lt;&gt;"",VLOOKUP(G131,PowellReleaseTemperature!$A$5:$B$11,2),"")</f>
        <v>&lt; 18</v>
      </c>
      <c r="H135" s="117" t="str">
        <f ca="1">IF(H$27&lt;&gt;"",VLOOKUP(H131,PowellReleaseTemperature!$A$5:$B$11,2),"")</f>
        <v>&lt; 18</v>
      </c>
      <c r="I135" s="117" t="str">
        <f ca="1">IF(I$27&lt;&gt;"",VLOOKUP(I131,PowellReleaseTemperature!$A$5:$B$11,2),"")</f>
        <v>&lt; 18</v>
      </c>
      <c r="J135" s="117" t="str">
        <f ca="1">IF(J$27&lt;&gt;"",VLOOKUP(J131,PowellReleaseTemperature!$A$5:$B$11,2),"")</f>
        <v>&lt; 18</v>
      </c>
      <c r="K135" s="117" t="str">
        <f ca="1">IF(K$27&lt;&gt;"",VLOOKUP(K131,PowellReleaseTemperature!$A$5:$B$11,2),"")</f>
        <v>&lt; 18</v>
      </c>
      <c r="L135" s="117" t="str">
        <f ca="1">IF(L$27&lt;&gt;"",VLOOKUP(L131,PowellReleaseTemperature!$A$5:$B$11,2),"")</f>
        <v>&lt; 18</v>
      </c>
      <c r="N135" t="s">
        <v>326</v>
      </c>
    </row>
    <row r="136" spans="1:14" x14ac:dyDescent="0.35">
      <c r="A136" s="32"/>
      <c r="B136" s="1"/>
      <c r="C136" s="117"/>
    </row>
    <row r="137" spans="1:14" x14ac:dyDescent="0.35">
      <c r="A137" s="1" t="s">
        <v>125</v>
      </c>
      <c r="C137" s="12">
        <f>IF(C$27&lt;&gt;"",0.2,"")</f>
        <v>0.2</v>
      </c>
      <c r="D137" s="12">
        <f t="shared" ref="D137:L137" si="62">IF(D$27&lt;&gt;"",0.2,"")</f>
        <v>0.2</v>
      </c>
      <c r="E137" s="12">
        <f t="shared" si="62"/>
        <v>0.2</v>
      </c>
      <c r="F137" s="12">
        <f t="shared" si="62"/>
        <v>0.2</v>
      </c>
      <c r="G137" s="12">
        <f t="shared" si="62"/>
        <v>0.2</v>
      </c>
      <c r="H137" s="12">
        <f t="shared" si="62"/>
        <v>0.2</v>
      </c>
      <c r="I137" s="12">
        <f t="shared" si="62"/>
        <v>0.2</v>
      </c>
      <c r="J137" s="12">
        <f t="shared" si="62"/>
        <v>0.2</v>
      </c>
      <c r="K137" s="12">
        <f t="shared" si="62"/>
        <v>0.2</v>
      </c>
      <c r="L137" s="12">
        <f t="shared" si="62"/>
        <v>0.2</v>
      </c>
    </row>
    <row r="138" spans="1:14" x14ac:dyDescent="0.35">
      <c r="A138" t="s">
        <v>126</v>
      </c>
      <c r="C138" s="14">
        <f t="shared" ref="C138:L138" ca="1" si="63">IF(C$27&lt;&gt;"",C115+C137,"")</f>
        <v>7.4590000000000005</v>
      </c>
      <c r="D138" s="14">
        <f t="shared" ca="1" si="63"/>
        <v>7.4590000000000005</v>
      </c>
      <c r="E138" s="14">
        <f t="shared" ca="1" si="63"/>
        <v>7.0870000000000006</v>
      </c>
      <c r="F138" s="14">
        <f t="shared" ca="1" si="63"/>
        <v>7.0870000000000006</v>
      </c>
      <c r="G138" s="14">
        <f t="shared" ca="1" si="63"/>
        <v>7.0870000000000006</v>
      </c>
      <c r="H138" s="14">
        <f t="shared" ca="1" si="63"/>
        <v>7.0870000000000006</v>
      </c>
      <c r="I138" s="14">
        <f t="shared" ca="1" si="63"/>
        <v>6.9790000000000001</v>
      </c>
      <c r="J138" s="14">
        <f t="shared" ca="1" si="63"/>
        <v>7.0870000000000006</v>
      </c>
      <c r="K138" s="14">
        <f t="shared" ca="1" si="63"/>
        <v>7.0870000000000006</v>
      </c>
      <c r="L138" s="14">
        <f t="shared" ca="1" si="63"/>
        <v>7.0870000000000006</v>
      </c>
    </row>
    <row r="140" spans="1:14" x14ac:dyDescent="0.35">
      <c r="D140" s="18"/>
    </row>
  </sheetData>
  <mergeCells count="9">
    <mergeCell ref="C9:G9"/>
    <mergeCell ref="C10:G10"/>
    <mergeCell ref="C11:G11"/>
    <mergeCell ref="A3:G3"/>
    <mergeCell ref="C4:G4"/>
    <mergeCell ref="C5:G5"/>
    <mergeCell ref="C6:G6"/>
    <mergeCell ref="C7:G7"/>
    <mergeCell ref="C8:G8"/>
  </mergeCells>
  <conditionalFormatting sqref="C61:L61">
    <cfRule type="cellIs" dxfId="122" priority="58" operator="greaterThan">
      <formula>$C$60</formula>
    </cfRule>
  </conditionalFormatting>
  <conditionalFormatting sqref="C69:L69">
    <cfRule type="cellIs" dxfId="121" priority="47" operator="greaterThan">
      <formula>$C$68</formula>
    </cfRule>
  </conditionalFormatting>
  <conditionalFormatting sqref="C77:L77">
    <cfRule type="cellIs" dxfId="120" priority="41" operator="greaterThan">
      <formula>$C$76</formula>
    </cfRule>
  </conditionalFormatting>
  <conditionalFormatting sqref="C85">
    <cfRule type="cellIs" dxfId="119" priority="35" operator="greaterThan">
      <formula>$C$84</formula>
    </cfRule>
  </conditionalFormatting>
  <conditionalFormatting sqref="D85">
    <cfRule type="cellIs" dxfId="118" priority="34" operator="greaterThan">
      <formula>$D$84</formula>
    </cfRule>
  </conditionalFormatting>
  <conditionalFormatting sqref="E85">
    <cfRule type="cellIs" dxfId="117" priority="33" operator="greaterThan">
      <formula>$E$84</formula>
    </cfRule>
  </conditionalFormatting>
  <conditionalFormatting sqref="F85">
    <cfRule type="cellIs" dxfId="116" priority="32" operator="greaterThan">
      <formula>$F$84</formula>
    </cfRule>
  </conditionalFormatting>
  <conditionalFormatting sqref="G85:L85">
    <cfRule type="cellIs" dxfId="115" priority="31" operator="greaterThan">
      <formula>$G$84</formula>
    </cfRule>
  </conditionalFormatting>
  <conditionalFormatting sqref="C93">
    <cfRule type="cellIs" dxfId="114" priority="25" operator="greaterThan">
      <formula>$C$92</formula>
    </cfRule>
  </conditionalFormatting>
  <conditionalFormatting sqref="D93">
    <cfRule type="cellIs" dxfId="113" priority="24" operator="greaterThan">
      <formula>$D$92</formula>
    </cfRule>
  </conditionalFormatting>
  <conditionalFormatting sqref="E93">
    <cfRule type="cellIs" dxfId="112" priority="23" operator="greaterThan">
      <formula>$E$92</formula>
    </cfRule>
  </conditionalFormatting>
  <conditionalFormatting sqref="F93">
    <cfRule type="cellIs" dxfId="111" priority="22" operator="greaterThan">
      <formula>$F$92</formula>
    </cfRule>
  </conditionalFormatting>
  <conditionalFormatting sqref="G93">
    <cfRule type="cellIs" dxfId="110" priority="21" operator="greaterThan">
      <formula>$G$92</formula>
    </cfRule>
  </conditionalFormatting>
  <conditionalFormatting sqref="H93">
    <cfRule type="cellIs" dxfId="109" priority="20" operator="greaterThan">
      <formula>$H$92</formula>
    </cfRule>
  </conditionalFormatting>
  <conditionalFormatting sqref="I93">
    <cfRule type="cellIs" dxfId="108" priority="19" operator="greaterThan">
      <formula>$I$92</formula>
    </cfRule>
  </conditionalFormatting>
  <conditionalFormatting sqref="J93">
    <cfRule type="cellIs" dxfId="107" priority="18" operator="greaterThan">
      <formula>$J$92</formula>
    </cfRule>
  </conditionalFormatting>
  <conditionalFormatting sqref="K93">
    <cfRule type="cellIs" dxfId="106" priority="17" operator="greaterThan">
      <formula>$K$92</formula>
    </cfRule>
  </conditionalFormatting>
  <conditionalFormatting sqref="L93">
    <cfRule type="cellIs" dxfId="105" priority="16" operator="greaterThan">
      <formula>$L$92</formula>
    </cfRule>
  </conditionalFormatting>
  <conditionalFormatting sqref="C101">
    <cfRule type="cellIs" dxfId="104" priority="15" operator="greaterThan">
      <formula>$C$100</formula>
    </cfRule>
  </conditionalFormatting>
  <conditionalFormatting sqref="D101">
    <cfRule type="cellIs" dxfId="103" priority="14" operator="greaterThan">
      <formula>$D$100</formula>
    </cfRule>
  </conditionalFormatting>
  <conditionalFormatting sqref="E101">
    <cfRule type="cellIs" dxfId="102" priority="13" operator="greaterThan">
      <formula>$E$100</formula>
    </cfRule>
  </conditionalFormatting>
  <conditionalFormatting sqref="F101">
    <cfRule type="cellIs" dxfId="101" priority="12" operator="greaterThan">
      <formula>$F$100</formula>
    </cfRule>
  </conditionalFormatting>
  <conditionalFormatting sqref="G101">
    <cfRule type="cellIs" dxfId="100" priority="11" operator="greaterThan">
      <formula>$G$100</formula>
    </cfRule>
  </conditionalFormatting>
  <conditionalFormatting sqref="H101">
    <cfRule type="cellIs" dxfId="99" priority="10" operator="greaterThan">
      <formula>$H$100</formula>
    </cfRule>
  </conditionalFormatting>
  <conditionalFormatting sqref="I101">
    <cfRule type="cellIs" dxfId="98" priority="9" operator="greaterThan">
      <formula>$I$100</formula>
    </cfRule>
  </conditionalFormatting>
  <conditionalFormatting sqref="J101">
    <cfRule type="cellIs" dxfId="97" priority="8" operator="greaterThan">
      <formula>$J$100</formula>
    </cfRule>
  </conditionalFormatting>
  <conditionalFormatting sqref="K101">
    <cfRule type="cellIs" dxfId="96" priority="7" operator="greaterThan">
      <formula>$K$100</formula>
    </cfRule>
  </conditionalFormatting>
  <conditionalFormatting sqref="L101">
    <cfRule type="cellIs" dxfId="95" priority="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7"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C5109834-FD4B-4350-B02F-0A56865A75D4}">
            <xm:f>PowellReleaseTemperature!$B$7</xm:f>
            <x14:dxf>
              <font>
                <color auto="1"/>
              </font>
              <fill>
                <patternFill>
                  <bgColor rgb="FFFF0000"/>
                </patternFill>
              </fill>
            </x14:dxf>
          </x14:cfRule>
          <x14:cfRule type="cellIs" priority="2" operator="equal" id="{D640E566-6641-4C9C-808B-98F32C90BDED}">
            <xm:f>PowellReleaseTemperature!$B$8</xm:f>
            <x14:dxf>
              <font>
                <color rgb="FF9C0006"/>
              </font>
              <fill>
                <patternFill>
                  <bgColor rgb="FFFFC7CE"/>
                </patternFill>
              </fill>
            </x14:dxf>
          </x14:cfRule>
          <x14:cfRule type="cellIs" priority="3" operator="equal" id="{603CDA8C-420E-4E79-BBA3-AD36A65C85A1}">
            <xm:f>PowellReleaseTemperature!$B$9</xm:f>
            <x14:dxf>
              <font>
                <color auto="1"/>
              </font>
              <fill>
                <patternFill>
                  <bgColor theme="4" tint="0.39994506668294322"/>
                </patternFill>
              </fill>
            </x14:dxf>
          </x14:cfRule>
          <x14:cfRule type="cellIs" priority="4" operator="equal" id="{C7412537-C1EF-4F92-8EBB-5560AF47E19A}">
            <xm:f>PowellReleaseTemperature!$B$10</xm:f>
            <x14:dxf>
              <font>
                <color auto="1"/>
              </font>
              <fill>
                <patternFill>
                  <bgColor theme="8" tint="-0.499984740745262"/>
                </patternFill>
              </fill>
            </x14:dxf>
          </x14:cfRule>
          <xm:sqref>C135:C136 D135:L135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40"/>
  <sheetViews>
    <sheetView topLeftCell="B114" zoomScale="150" zoomScaleNormal="150" workbookViewId="0">
      <selection activeCell="N134" sqref="N134:N135"/>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65" t="s">
        <v>152</v>
      </c>
      <c r="B3" s="165"/>
      <c r="C3" s="165"/>
      <c r="D3" s="165"/>
      <c r="E3" s="165"/>
      <c r="F3" s="165"/>
      <c r="G3" s="165"/>
      <c r="H3" s="90"/>
      <c r="I3" s="90"/>
      <c r="J3" s="90"/>
      <c r="K3" s="90"/>
    </row>
    <row r="4" spans="1:11" x14ac:dyDescent="0.35">
      <c r="A4" s="59" t="s">
        <v>38</v>
      </c>
      <c r="B4" s="59" t="s">
        <v>42</v>
      </c>
      <c r="C4" s="166" t="s">
        <v>43</v>
      </c>
      <c r="D4" s="167"/>
      <c r="E4" s="167"/>
      <c r="F4" s="167"/>
      <c r="G4" s="168"/>
    </row>
    <row r="5" spans="1:11" x14ac:dyDescent="0.35">
      <c r="A5" s="91" t="s">
        <v>51</v>
      </c>
      <c r="B5" s="91"/>
      <c r="C5" s="169"/>
      <c r="D5" s="169"/>
      <c r="E5" s="169"/>
      <c r="F5" s="169"/>
      <c r="G5" s="169"/>
    </row>
    <row r="6" spans="1:11" x14ac:dyDescent="0.35">
      <c r="A6" s="89" t="s">
        <v>39</v>
      </c>
      <c r="B6" s="89" t="s">
        <v>156</v>
      </c>
      <c r="C6" s="170" t="s">
        <v>229</v>
      </c>
      <c r="D6" s="170"/>
      <c r="E6" s="170"/>
      <c r="F6" s="170"/>
      <c r="G6" s="170"/>
    </row>
    <row r="7" spans="1:11" x14ac:dyDescent="0.35">
      <c r="A7" s="89" t="s">
        <v>40</v>
      </c>
      <c r="B7" s="89" t="s">
        <v>156</v>
      </c>
      <c r="C7" s="170" t="s">
        <v>230</v>
      </c>
      <c r="D7" s="170"/>
      <c r="E7" s="170"/>
      <c r="F7" s="170"/>
      <c r="G7" s="170"/>
    </row>
    <row r="8" spans="1:11" x14ac:dyDescent="0.35">
      <c r="A8" s="89" t="s">
        <v>41</v>
      </c>
      <c r="B8" s="89" t="s">
        <v>156</v>
      </c>
      <c r="C8" s="170" t="s">
        <v>153</v>
      </c>
      <c r="D8" s="170"/>
      <c r="E8" s="170"/>
      <c r="F8" s="170"/>
      <c r="G8" s="170"/>
    </row>
    <row r="9" spans="1:11" x14ac:dyDescent="0.35">
      <c r="A9" s="89" t="s">
        <v>148</v>
      </c>
      <c r="B9" s="89" t="s">
        <v>156</v>
      </c>
      <c r="C9" s="170" t="s">
        <v>154</v>
      </c>
      <c r="D9" s="170"/>
      <c r="E9" s="170"/>
      <c r="F9" s="170"/>
      <c r="G9" s="170"/>
    </row>
    <row r="10" spans="1:11" x14ac:dyDescent="0.35">
      <c r="A10" s="89" t="s">
        <v>160</v>
      </c>
      <c r="B10" s="89" t="s">
        <v>156</v>
      </c>
      <c r="C10" s="164" t="s">
        <v>187</v>
      </c>
      <c r="D10" s="164"/>
      <c r="E10" s="164"/>
      <c r="F10" s="164"/>
      <c r="G10" s="164"/>
    </row>
    <row r="11" spans="1:11" x14ac:dyDescent="0.35">
      <c r="A11" s="89"/>
      <c r="B11" s="89"/>
      <c r="C11" s="164"/>
      <c r="D11" s="164"/>
      <c r="E11" s="164"/>
      <c r="F11" s="164"/>
      <c r="G11" s="164"/>
    </row>
    <row r="12" spans="1:11" x14ac:dyDescent="0.35">
      <c r="A12" s="16"/>
      <c r="B12" s="2"/>
      <c r="C12"/>
    </row>
    <row r="13" spans="1:11" x14ac:dyDescent="0.35">
      <c r="A13" s="19" t="s">
        <v>45</v>
      </c>
      <c r="B13" s="2"/>
      <c r="C13"/>
    </row>
    <row r="14" spans="1:11" x14ac:dyDescent="0.35">
      <c r="A14" s="20" t="s">
        <v>207</v>
      </c>
    </row>
    <row r="15" spans="1:11" x14ac:dyDescent="0.35">
      <c r="A15" s="22" t="s">
        <v>188</v>
      </c>
      <c r="B15" s="19"/>
    </row>
    <row r="16" spans="1:11" x14ac:dyDescent="0.35">
      <c r="A16" s="21" t="s">
        <v>46</v>
      </c>
    </row>
    <row r="18" spans="1:14" x14ac:dyDescent="0.35">
      <c r="A18" s="1" t="s">
        <v>53</v>
      </c>
      <c r="D18" s="171" t="s">
        <v>228</v>
      </c>
      <c r="E18" s="172"/>
      <c r="F18" s="172"/>
      <c r="G18" s="172"/>
      <c r="H18" s="172"/>
      <c r="I18" s="172"/>
      <c r="J18" s="172"/>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195</v>
      </c>
      <c r="B23" s="70">
        <v>3525</v>
      </c>
      <c r="C23" s="70">
        <v>1020</v>
      </c>
      <c r="D23" s="11"/>
    </row>
    <row r="24" spans="1:14" x14ac:dyDescent="0.35">
      <c r="A24" t="s">
        <v>178</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175</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180</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177</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176</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179</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205</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272</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189</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147</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191</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190</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184</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175</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175</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175</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175</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175</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175</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186</v>
      </c>
      <c r="B104" s="83"/>
      <c r="C104" s="83"/>
      <c r="D104" s="83"/>
      <c r="E104" s="83"/>
      <c r="F104" s="83"/>
      <c r="G104" s="83"/>
      <c r="H104" s="83"/>
      <c r="I104" s="83"/>
      <c r="J104" s="83"/>
      <c r="K104" s="83"/>
      <c r="L104" s="83"/>
      <c r="M104" s="83"/>
      <c r="N104" s="83"/>
    </row>
    <row r="105" spans="1:14" x14ac:dyDescent="0.35">
      <c r="A105" s="1" t="s">
        <v>150</v>
      </c>
      <c r="C105"/>
      <c r="M105" t="s">
        <v>185</v>
      </c>
      <c r="N105" t="s">
        <v>151</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146</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206</v>
      </c>
      <c r="B128" s="1"/>
      <c r="C128" s="87">
        <v>0.5</v>
      </c>
      <c r="D128" s="87">
        <v>0.5</v>
      </c>
      <c r="E128" s="87">
        <v>0.5</v>
      </c>
      <c r="F128" s="87">
        <v>0.5</v>
      </c>
      <c r="G128" s="87">
        <v>0.5</v>
      </c>
      <c r="H128" s="87">
        <v>0.5</v>
      </c>
      <c r="I128" s="87">
        <v>0.5</v>
      </c>
      <c r="J128" s="87">
        <v>0.5</v>
      </c>
      <c r="K128" s="87">
        <v>0.5</v>
      </c>
      <c r="L128" s="87">
        <v>0.5</v>
      </c>
    </row>
    <row r="129" spans="1:14" x14ac:dyDescent="0.35">
      <c r="A129" s="1" t="s">
        <v>202</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203</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32" t="s">
        <v>305</v>
      </c>
      <c r="B131" s="1"/>
      <c r="C131" s="117">
        <f ca="1">IF(C$27&lt;&gt;"",VLOOKUP(C129*1000000,'Powell-Elevation-Area'!$B$5:$H$689,7),"")</f>
        <v>3579</v>
      </c>
      <c r="D131" s="117">
        <f ca="1">IF(D$27&lt;&gt;"",VLOOKUP(D129*1000000,'Powell-Elevation-Area'!$B$5:$H$689,7),"")</f>
        <v>3571.5</v>
      </c>
      <c r="E131" s="117">
        <f ca="1">IF(E$27&lt;&gt;"",VLOOKUP(E129*1000000,'Powell-Elevation-Area'!$B$5:$H$689,7),"")</f>
        <v>3566</v>
      </c>
      <c r="F131" s="117">
        <f ca="1">IF(F$27&lt;&gt;"",VLOOKUP(F129*1000000,'Powell-Elevation-Area'!$B$5:$H$689,7),"")</f>
        <v>3561</v>
      </c>
      <c r="G131" s="117">
        <f ca="1">IF(G$27&lt;&gt;"",VLOOKUP(G129*1000000,'Powell-Elevation-Area'!$B$5:$H$689,7),"")</f>
        <v>3555.5</v>
      </c>
      <c r="H131" s="117">
        <f ca="1">IF(H$27&lt;&gt;"",VLOOKUP(H129*1000000,'Powell-Elevation-Area'!$B$5:$H$689,7),"")</f>
        <v>3550.5</v>
      </c>
      <c r="I131" s="117">
        <f ca="1">IF(I$27&lt;&gt;"",VLOOKUP(I129*1000000,'Powell-Elevation-Area'!$B$5:$H$689,7),"")</f>
        <v>3560</v>
      </c>
      <c r="J131" s="117">
        <f ca="1">IF(J$27&lt;&gt;"",VLOOKUP(J129*1000000,'Powell-Elevation-Area'!$B$5:$H$689,7),"")</f>
        <v>3567.5</v>
      </c>
      <c r="K131" s="117">
        <f ca="1">IF(K$27&lt;&gt;"",VLOOKUP(K129*1000000,'Powell-Elevation-Area'!$B$5:$H$689,7),"")</f>
        <v>3575</v>
      </c>
      <c r="L131" s="117">
        <f ca="1">IF(L$27&lt;&gt;"",VLOOKUP(L129*1000000,'Powell-Elevation-Area'!$B$5:$H$689,7),"")</f>
        <v>3581.5</v>
      </c>
    </row>
    <row r="132" spans="1:14" x14ac:dyDescent="0.35">
      <c r="A132" s="32" t="s">
        <v>306</v>
      </c>
      <c r="B132" s="1"/>
      <c r="C132" s="117">
        <f ca="1">IF(C$27&lt;&gt;"",VLOOKUP(C130*1000000,'Mead-Elevation-Area'!$B$5:$H$689,7),"")</f>
        <v>1078</v>
      </c>
      <c r="D132" s="117">
        <f ca="1">IF(D$27&lt;&gt;"",VLOOKUP(D130*1000000,'Mead-Elevation-Area'!$B$5:$H$689,7),"")</f>
        <v>1070.5</v>
      </c>
      <c r="E132" s="117">
        <f ca="1">IF(E$27&lt;&gt;"",VLOOKUP(E130*1000000,'Mead-Elevation-Area'!$B$5:$H$689,7),"")</f>
        <v>1065</v>
      </c>
      <c r="F132" s="117">
        <f ca="1">IF(F$27&lt;&gt;"",VLOOKUP(F130*1000000,'Mead-Elevation-Area'!$B$5:$H$689,7),"")</f>
        <v>1059.5</v>
      </c>
      <c r="G132" s="117">
        <f ca="1">IF(G$27&lt;&gt;"",VLOOKUP(G130*1000000,'Mead-Elevation-Area'!$B$5:$H$689,7),"")</f>
        <v>1054.5</v>
      </c>
      <c r="H132" s="117">
        <f ca="1">IF(H$27&lt;&gt;"",VLOOKUP(H130*1000000,'Mead-Elevation-Area'!$B$5:$H$689,7),"")</f>
        <v>1049</v>
      </c>
      <c r="I132" s="117">
        <f ca="1">IF(I$27&lt;&gt;"",VLOOKUP(I130*1000000,'Mead-Elevation-Area'!$B$5:$H$689,7),"")</f>
        <v>1058.5</v>
      </c>
      <c r="J132" s="117">
        <f ca="1">IF(J$27&lt;&gt;"",VLOOKUP(J130*1000000,'Mead-Elevation-Area'!$B$5:$H$689,7),"")</f>
        <v>1066.5</v>
      </c>
      <c r="K132" s="117">
        <f ca="1">IF(K$27&lt;&gt;"",VLOOKUP(K130*1000000,'Mead-Elevation-Area'!$B$5:$H$689,7),"")</f>
        <v>1074</v>
      </c>
      <c r="L132" s="117">
        <f ca="1">IF(L$27&lt;&gt;"",VLOOKUP(L130*1000000,'Mead-Elevation-Area'!$B$5:$H$689,7),"")</f>
        <v>1081</v>
      </c>
    </row>
    <row r="133" spans="1:14" x14ac:dyDescent="0.35">
      <c r="A133" s="1" t="s">
        <v>319</v>
      </c>
      <c r="B133" s="1"/>
      <c r="C133"/>
    </row>
    <row r="134" spans="1:14" x14ac:dyDescent="0.35">
      <c r="A134" s="32" t="s">
        <v>320</v>
      </c>
      <c r="B134" s="1"/>
      <c r="C134" s="14">
        <f ca="1">IF(C$27&lt;&gt;"",-C129+C37+C27-C61-VLOOKUP(C37*1000000,'Powell-Elevation-Area'!$B$5:$D$689,3)*$B$21/1000000,"")</f>
        <v>8.7912186266660797</v>
      </c>
      <c r="D134" s="14">
        <f ca="1">IF(D$27&lt;&gt;"",-D129+D37+D27-D61-VLOOKUP(D37*1000000,'Powell-Elevation-Area'!$B$5:$D$689,3)*$B$21/1000000,"")</f>
        <v>8.3556252311669503</v>
      </c>
      <c r="E134" s="14">
        <f ca="1">IF(E$27&lt;&gt;"",-E129+E37+E27-E61-VLOOKUP(E37*1000000,'Powell-Elevation-Area'!$B$5:$D$689,3)*$B$21/1000000,"")</f>
        <v>8.1528756274163676</v>
      </c>
      <c r="F134" s="14">
        <f ca="1">IF(F$27&lt;&gt;"",-F129+F37+F27-F61-VLOOKUP(F37*1000000,'Powell-Elevation-Area'!$B$5:$D$689,3)*$B$21/1000000,"")</f>
        <v>8.1545819846663807</v>
      </c>
      <c r="G134" s="14">
        <f ca="1">IF(G$27&lt;&gt;"",-G129+G37+G27-G61-VLOOKUP(G37*1000000,'Powell-Elevation-Area'!$B$5:$D$689,3)*$B$21/1000000,"")</f>
        <v>8.1555465821663784</v>
      </c>
      <c r="H134" s="14">
        <f ca="1">IF(H$27&lt;&gt;"",-H129+H37+H27-H61-VLOOKUP(H37*1000000,'Powell-Elevation-Area'!$B$5:$D$689,3)*$B$21/1000000,"")</f>
        <v>8.1571607003663651</v>
      </c>
      <c r="I134" s="14">
        <f ca="1">IF(I$27&lt;&gt;"",-I129+I37+I27-I61-VLOOKUP(I37*1000000,'Powell-Elevation-Area'!$B$5:$D$689,3)*$B$21/1000000,"")</f>
        <v>9.0915357941166537</v>
      </c>
      <c r="J134" s="14">
        <f ca="1">IF(J$27&lt;&gt;"",-J129+J37+J27-J61-VLOOKUP(J37*1000000,'Powell-Elevation-Area'!$B$5:$D$689,3)*$B$21/1000000,"")</f>
        <v>9.1558481016669528</v>
      </c>
      <c r="K134" s="14">
        <f ca="1">IF(K$27&lt;&gt;"",-K129+K37+K27-K61-VLOOKUP(K37*1000000,'Powell-Elevation-Area'!$B$5:$D$689,3)*$B$21/1000000,"")</f>
        <v>9.1541297054160804</v>
      </c>
      <c r="L134" s="14">
        <f ca="1">IF(L$27&lt;&gt;"",-L129+L37+L27-L61-VLOOKUP(L37*1000000,'Powell-Elevation-Area'!$B$5:$D$689,3)*$B$21/1000000,"")</f>
        <v>9.1515923091663662</v>
      </c>
      <c r="N134" t="s">
        <v>204</v>
      </c>
    </row>
    <row r="135" spans="1:14" x14ac:dyDescent="0.35">
      <c r="A135" s="32" t="s">
        <v>321</v>
      </c>
      <c r="B135" s="1"/>
      <c r="C135" s="117" t="str">
        <f ca="1">IF(C$27&lt;&gt;"",VLOOKUP(C131,PowellReleaseTemperature!$A$5:$B$11,2),"")</f>
        <v>&lt; 18</v>
      </c>
      <c r="D135" s="117" t="str">
        <f ca="1">IF(D$27&lt;&gt;"",VLOOKUP(D131,PowellReleaseTemperature!$A$5:$B$11,2),"")</f>
        <v>&lt; 18</v>
      </c>
      <c r="E135" s="117" t="str">
        <f ca="1">IF(E$27&lt;&gt;"",VLOOKUP(E131,PowellReleaseTemperature!$A$5:$B$11,2),"")</f>
        <v>&lt; 18</v>
      </c>
      <c r="F135" s="117" t="str">
        <f ca="1">IF(F$27&lt;&gt;"",VLOOKUP(F131,PowellReleaseTemperature!$A$5:$B$11,2),"")</f>
        <v>&lt; 18</v>
      </c>
      <c r="G135" s="117" t="str">
        <f ca="1">IF(G$27&lt;&gt;"",VLOOKUP(G131,PowellReleaseTemperature!$A$5:$B$11,2),"")</f>
        <v>&lt; 18</v>
      </c>
      <c r="H135" s="117" t="str">
        <f ca="1">IF(H$27&lt;&gt;"",VLOOKUP(H131,PowellReleaseTemperature!$A$5:$B$11,2),"")</f>
        <v>&lt; 18</v>
      </c>
      <c r="I135" s="117" t="str">
        <f ca="1">IF(I$27&lt;&gt;"",VLOOKUP(I131,PowellReleaseTemperature!$A$5:$B$11,2),"")</f>
        <v>&lt; 18</v>
      </c>
      <c r="J135" s="117" t="str">
        <f ca="1">IF(J$27&lt;&gt;"",VLOOKUP(J131,PowellReleaseTemperature!$A$5:$B$11,2),"")</f>
        <v>&lt; 18</v>
      </c>
      <c r="K135" s="117" t="str">
        <f ca="1">IF(K$27&lt;&gt;"",VLOOKUP(K131,PowellReleaseTemperature!$A$5:$B$11,2),"")</f>
        <v>&lt; 18</v>
      </c>
      <c r="L135" s="117" t="str">
        <f ca="1">IF(L$27&lt;&gt;"",VLOOKUP(L131,PowellReleaseTemperature!$A$5:$B$11,2),"")</f>
        <v>&lt; 18</v>
      </c>
      <c r="N135" t="s">
        <v>326</v>
      </c>
    </row>
    <row r="136" spans="1:14" ht="15.5" customHeight="1" x14ac:dyDescent="0.35">
      <c r="C136" s="29"/>
    </row>
    <row r="137" spans="1:14" x14ac:dyDescent="0.35">
      <c r="A137" s="1" t="s">
        <v>125</v>
      </c>
      <c r="C137" s="12">
        <f>IF(C$27&lt;&gt;"",0.2,"")</f>
        <v>0.2</v>
      </c>
      <c r="D137" s="12">
        <f t="shared" ref="D137:L137" si="61">IF(D$27&lt;&gt;"",0.2,"")</f>
        <v>0.2</v>
      </c>
      <c r="E137" s="12">
        <f t="shared" si="61"/>
        <v>0.2</v>
      </c>
      <c r="F137" s="12">
        <f t="shared" si="61"/>
        <v>0.2</v>
      </c>
      <c r="G137" s="12">
        <f t="shared" si="61"/>
        <v>0.2</v>
      </c>
      <c r="H137" s="12">
        <f t="shared" si="61"/>
        <v>0.2</v>
      </c>
      <c r="I137" s="12">
        <f t="shared" si="61"/>
        <v>0.2</v>
      </c>
      <c r="J137" s="12">
        <f t="shared" si="61"/>
        <v>0.2</v>
      </c>
      <c r="K137" s="12">
        <f t="shared" si="61"/>
        <v>0.2</v>
      </c>
      <c r="L137" s="12">
        <f t="shared" si="61"/>
        <v>0.2</v>
      </c>
    </row>
    <row r="138" spans="1:14" x14ac:dyDescent="0.35">
      <c r="A138" t="s">
        <v>126</v>
      </c>
      <c r="C138" s="14">
        <f t="shared" ref="C138:L138" ca="1" si="62">IF(C$27&lt;&gt;"",C115+C137,"")</f>
        <v>7.4590000000000005</v>
      </c>
      <c r="D138" s="14">
        <f t="shared" ca="1" si="62"/>
        <v>7.4590000000000005</v>
      </c>
      <c r="E138" s="14">
        <f t="shared" ca="1" si="62"/>
        <v>7.0870000000000006</v>
      </c>
      <c r="F138" s="14">
        <f t="shared" ca="1" si="62"/>
        <v>7.0870000000000006</v>
      </c>
      <c r="G138" s="14">
        <f t="shared" ca="1" si="62"/>
        <v>7.0870000000000006</v>
      </c>
      <c r="H138" s="14">
        <f t="shared" ca="1" si="62"/>
        <v>7.0870000000000006</v>
      </c>
      <c r="I138" s="14">
        <f t="shared" ca="1" si="62"/>
        <v>6.9790000000000001</v>
      </c>
      <c r="J138" s="14">
        <f t="shared" ca="1" si="62"/>
        <v>7.0870000000000006</v>
      </c>
      <c r="K138" s="14">
        <f t="shared" ca="1" si="62"/>
        <v>7.0870000000000006</v>
      </c>
      <c r="L138" s="14">
        <f t="shared" ca="1" si="62"/>
        <v>7.0870000000000006</v>
      </c>
    </row>
    <row r="140" spans="1:14" x14ac:dyDescent="0.35">
      <c r="D140"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90" priority="33" operator="greaterThan">
      <formula>$C$60</formula>
    </cfRule>
  </conditionalFormatting>
  <conditionalFormatting sqref="C69:L69">
    <cfRule type="cellIs" dxfId="89" priority="31" operator="greaterThan">
      <formula>$C$68</formula>
    </cfRule>
  </conditionalFormatting>
  <conditionalFormatting sqref="C77:L77">
    <cfRule type="cellIs" dxfId="88" priority="30" operator="greaterThan">
      <formula>$C$76</formula>
    </cfRule>
  </conditionalFormatting>
  <conditionalFormatting sqref="C85">
    <cfRule type="cellIs" dxfId="87" priority="29" operator="greaterThan">
      <formula>$C$84</formula>
    </cfRule>
  </conditionalFormatting>
  <conditionalFormatting sqref="D85">
    <cfRule type="cellIs" dxfId="86" priority="28" operator="greaterThan">
      <formula>$D$84</formula>
    </cfRule>
  </conditionalFormatting>
  <conditionalFormatting sqref="E85">
    <cfRule type="cellIs" dxfId="85" priority="27" operator="greaterThan">
      <formula>$E$84</formula>
    </cfRule>
  </conditionalFormatting>
  <conditionalFormatting sqref="F85">
    <cfRule type="cellIs" dxfId="84" priority="26" operator="greaterThan">
      <formula>$F$84</formula>
    </cfRule>
  </conditionalFormatting>
  <conditionalFormatting sqref="G85:L85">
    <cfRule type="cellIs" dxfId="83" priority="25" operator="greaterThan">
      <formula>$G$84</formula>
    </cfRule>
  </conditionalFormatting>
  <conditionalFormatting sqref="C93">
    <cfRule type="cellIs" dxfId="82" priority="24" operator="greaterThan">
      <formula>$C$92</formula>
    </cfRule>
  </conditionalFormatting>
  <conditionalFormatting sqref="D93">
    <cfRule type="cellIs" dxfId="81" priority="23" operator="greaterThan">
      <formula>$D$92</formula>
    </cfRule>
  </conditionalFormatting>
  <conditionalFormatting sqref="E93">
    <cfRule type="cellIs" dxfId="80" priority="22" operator="greaterThan">
      <formula>$E$92</formula>
    </cfRule>
  </conditionalFormatting>
  <conditionalFormatting sqref="F93">
    <cfRule type="cellIs" dxfId="79" priority="21" operator="greaterThan">
      <formula>$F$92</formula>
    </cfRule>
  </conditionalFormatting>
  <conditionalFormatting sqref="G93">
    <cfRule type="cellIs" dxfId="78" priority="20" operator="greaterThan">
      <formula>$G$92</formula>
    </cfRule>
  </conditionalFormatting>
  <conditionalFormatting sqref="H93">
    <cfRule type="cellIs" dxfId="77" priority="19" operator="greaterThan">
      <formula>$H$92</formula>
    </cfRule>
  </conditionalFormatting>
  <conditionalFormatting sqref="I93">
    <cfRule type="cellIs" dxfId="76" priority="18" operator="greaterThan">
      <formula>$I$92</formula>
    </cfRule>
  </conditionalFormatting>
  <conditionalFormatting sqref="J93">
    <cfRule type="cellIs" dxfId="75" priority="17" operator="greaterThan">
      <formula>$J$92</formula>
    </cfRule>
  </conditionalFormatting>
  <conditionalFormatting sqref="K93">
    <cfRule type="cellIs" dxfId="74" priority="16" operator="greaterThan">
      <formula>$K$92</formula>
    </cfRule>
  </conditionalFormatting>
  <conditionalFormatting sqref="L93">
    <cfRule type="cellIs" dxfId="73" priority="15" operator="greaterThan">
      <formula>$L$92</formula>
    </cfRule>
  </conditionalFormatting>
  <conditionalFormatting sqref="C101">
    <cfRule type="cellIs" dxfId="72" priority="14" operator="greaterThan">
      <formula>$C$100</formula>
    </cfRule>
  </conditionalFormatting>
  <conditionalFormatting sqref="D101">
    <cfRule type="cellIs" dxfId="71" priority="13" operator="greaterThan">
      <formula>$D$100</formula>
    </cfRule>
  </conditionalFormatting>
  <conditionalFormatting sqref="E101">
    <cfRule type="cellIs" dxfId="70" priority="12" operator="greaterThan">
      <formula>$E$100</formula>
    </cfRule>
  </conditionalFormatting>
  <conditionalFormatting sqref="F101">
    <cfRule type="cellIs" dxfId="69" priority="11" operator="greaterThan">
      <formula>$F$100</formula>
    </cfRule>
  </conditionalFormatting>
  <conditionalFormatting sqref="G101">
    <cfRule type="cellIs" dxfId="68" priority="10" operator="greaterThan">
      <formula>$G$100</formula>
    </cfRule>
  </conditionalFormatting>
  <conditionalFormatting sqref="H101">
    <cfRule type="cellIs" dxfId="67" priority="9" operator="greaterThan">
      <formula>$H$100</formula>
    </cfRule>
  </conditionalFormatting>
  <conditionalFormatting sqref="I101">
    <cfRule type="cellIs" dxfId="66" priority="8" operator="greaterThan">
      <formula>$I$100</formula>
    </cfRule>
  </conditionalFormatting>
  <conditionalFormatting sqref="J101">
    <cfRule type="cellIs" dxfId="65" priority="7" operator="greaterThan">
      <formula>$J$100</formula>
    </cfRule>
  </conditionalFormatting>
  <conditionalFormatting sqref="K101">
    <cfRule type="cellIs" dxfId="64" priority="6" operator="greaterThan">
      <formula>$K$100</formula>
    </cfRule>
  </conditionalFormatting>
  <conditionalFormatting sqref="L101">
    <cfRule type="cellIs" dxfId="63" priority="5"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 xmlns:xm="http://schemas.microsoft.com/office/excel/2006/main">
          <x14:cfRule type="cellIs" priority="1" operator="equal" id="{D7CF1CC2-3B31-400A-B5AD-A489CAD4EA60}">
            <xm:f>PowellReleaseTemperature!$B$7</xm:f>
            <x14:dxf>
              <font>
                <color auto="1"/>
              </font>
              <fill>
                <patternFill>
                  <bgColor rgb="FFFF0000"/>
                </patternFill>
              </fill>
            </x14:dxf>
          </x14:cfRule>
          <x14:cfRule type="cellIs" priority="2" operator="equal" id="{8524DC6A-41AB-4FEA-8660-75526D11765F}">
            <xm:f>PowellReleaseTemperature!$B$8</xm:f>
            <x14:dxf>
              <font>
                <color rgb="FF9C0006"/>
              </font>
              <fill>
                <patternFill>
                  <bgColor rgb="FFFFC7CE"/>
                </patternFill>
              </fill>
            </x14:dxf>
          </x14:cfRule>
          <x14:cfRule type="cellIs" priority="3" operator="equal" id="{ED9EFE96-C45F-40AA-A3B5-539669D719FB}">
            <xm:f>PowellReleaseTemperature!$B$9</xm:f>
            <x14:dxf>
              <font>
                <color auto="1"/>
              </font>
              <fill>
                <patternFill>
                  <bgColor theme="4" tint="0.39994506668294322"/>
                </patternFill>
              </fill>
            </x14:dxf>
          </x14:cfRule>
          <x14:cfRule type="cellIs" priority="4" operator="equal" id="{2DE9CD6A-C964-4D7E-8D4B-898317911C5D}">
            <xm:f>PowellReleaseTemperature!$B$10</xm:f>
            <x14:dxf>
              <font>
                <color auto="1"/>
              </font>
              <fill>
                <patternFill>
                  <bgColor theme="8" tint="-0.499984740745262"/>
                </patternFill>
              </fill>
            </x14:dxf>
          </x14:cfRule>
          <xm:sqref>C135:L135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ReadMe-Directions</vt:lpstr>
      <vt:lpstr>Versions</vt:lpstr>
      <vt:lpstr>Master</vt:lpstr>
      <vt:lpstr>Master-Today</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2021-07-27T04:57:51Z</dcterms:modified>
</cp:coreProperties>
</file>