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3ADAA51-EF5A-400D-B91D-7D90F198250B}"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47" l="1"/>
  <c r="A61" i="47" l="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N94" i="47"/>
  <c r="N102"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N95" i="47"/>
  <c r="N103" i="47" l="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<sst xmlns="http://schemas.openxmlformats.org/spreadsheetml/2006/main" count="1202" uniqueCount="456">
  <si>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</si>
  <si>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</si>
  <si>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</si>
  <si>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</si>
  <si>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</si>
  <si>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</si>
  <si>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</si>
  <si>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</si>
  <si>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</si>
  <si>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</si>
  <si>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</si>
  <si>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</si>
  <si>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</si>
  <si>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</si>
  <si>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</si>
  <si>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</si>
  <si>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</si>
  <si>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</si>
  <si>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</si>
  <si>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</si>
  <si>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</si>
  <si>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</si>
  <si>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</si>
  <si>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</si>
  <si>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</si>
  <si>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</si>
  <si>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</si>
  <si>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</si>
  <si>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</si>
  <si>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</si>
  <si>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</si>
  <si>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</si>
  <si>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</si>
  <si>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</si>
  <si>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</si>
  <si>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</si>
  <si>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</si>
  <si>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</si>
  <si>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</si>
  <si>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</si>
  <si>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</si>
  <si>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</si>
  <si>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</si>
  <si>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</si>
  <si>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</si>
  <si>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</si>
  <si>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</si>
  <si>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</si>
  <si>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</si>
  <si>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</si>
  <si>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</si>
  <si>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</si>
  <si>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</si>
  <si>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</si>
  <si>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</si>
  <si>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</si>
  <si>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</si>
  <si>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</si>
  <si>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</si>
  <si>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</si>
  <si>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</si>
  <si>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</si>
  <si>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</si>
  <si>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</si>
  <si>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</si>
  <si>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</si>
  <si>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</si>
  <si>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</si>
  <si>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</si>
  <si>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</si>
  <si>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</si>
  <si>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</si>
  <si>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</si>
  <si>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</si>
  <si>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</si>
  <si>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</si>
  <si>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</si>
  <si>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</si>
  <si>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</si>
  <si>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</si>
  <si>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</si>
  <si>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</si>
  <si>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</si>
  <si>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</si>
  <si>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</si>
  <si>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</si>
  <si>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</si>
  <si>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</si>
  <si>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</si>
  <si>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</si>
  <si>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</si>
  <si>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</si>
  <si>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</si>
  <si>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</si>
  <si>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</si>
  <si>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</si>
  <si>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</si>
  <si>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</si>
  <si>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</si>
  <si>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</si>
  <si>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</si>
  <si>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</si>
  <si>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</si>
  <si>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</si>
  <si>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</si>
  <si>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</si>
  <si>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</si>
  <si>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</si>
  <si>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</si>
  <si>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</si>
  <si>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</si>
  <si>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</si>
  <si>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</si>
  <si>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</si>
  <si>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</si>
  <si>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</si>
  <si>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</si>
  <si>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</si>
  <si>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</si>
  <si>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</si>
  <si>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</si>
  <si>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</si>
  <si>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</si>
  <si>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</si>
  <si>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</si>
  <si>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</si>
  <si>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</si>
  <si>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</si>
  <si>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</si>
  <si>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</si>
  <si>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</si>
  <si>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</si>
  <si>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</si>
  <si>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</si>
  <si>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</si>
  <si>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</si>
  <si>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</si>
  <si>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</si>
  <si>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</si>
  <si>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</si>
  <si>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</si>
  <si>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</si>
  <si>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</si>
  <si>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</si>
  <si>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</si>
  <si>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</si>
  <si>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</si>
  <si>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</si>
  <si>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</si>
  <si>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</si>
  <si>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</si>
  <si>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</si>
  <si>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</si>
  <si>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</si>
  <si>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</si>
  <si>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</si>
  <si>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</si>
  <si>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</si>
  <si>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</si>
  <si>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</si>
  <si>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</si>
  <si>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</si>
  <si>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</si>
  <si>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</si>
  <si>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</si>
  <si>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</si>
  <si>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</si>
  <si>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</si>
  <si>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</si>
  <si>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</si>
  <si>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</si>
  <si>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</si>
  <si>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</si>
  <si>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</si>
  <si>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</si>
  <si>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</si>
  <si>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</si>
  <si>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</si>
  <si>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</si>
  <si>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</si>
  <si>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</si>
  <si>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</si>
  <si>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</si>
  <si>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</si>
  <si>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</si>
  <si>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</si>
  <si>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</si>
  <si>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</si>
  <si>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</si>
  <si>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</si>
  <si>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</si>
  <si>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</si>
  <si>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</si>
  <si>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</si>
  <si>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</si>
  <si>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</si>
  <si>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</si>
  <si>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</si>
  <si>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</si>
  <si>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</si>
  <si>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</si>
  <si>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</si>
  <si>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</si>
  <si>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</si>
  <si>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</si>
  <si>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</si>
  <si>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</si>
  <si>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</si>
  <si>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</si>
  <si>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</si>
  <si>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</si>
  <si>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</si>
  <si>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</si>
  <si>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</si>
  <si>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</si>
  <si>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</si>
  <si>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</si>
  <si>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</si>
  <si>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</si>
  <si>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</si>
  <si>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</si>
  <si>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</si>
  <si>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</si>
  <si>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</si>
  <si>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</si>
  <si>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</si>
  <si>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</si>
  <si>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</si>
  <si>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</si>
  <si>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</si>
  <si>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</si>
  <si>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</si>
  <si>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</si>
  <si>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</si>
  <si>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</si>
  <si>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</si>
  <si>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</si>
  <si>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</si>
  <si>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</si>
  <si>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</si>
  <si>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</si>
  <si>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</si>
  <si>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</si>
  <si>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</si>
  <si>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</si>
  <si>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</si>
  <si>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</si>
  <si>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</si>
  <si>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</si>
  <si>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</si>
  <si>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</si>
  <si>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</si>
  <si>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</si>
  <si>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</si>
  <si>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</si>
  <si>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</si>
  <si>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</si>
  <si>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</si>
  <si>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</si>
  <si>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</si>
  <si>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</si>
  <si>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</si>
  <si>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</si>
  <si>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</si>
  <si>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</si>
  <si>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</si>
  <si>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</si>
  <si>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</si>
  <si>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</si>
  <si>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</si>
  <si>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</si>
  <si>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</si>
  <si>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</si>
  <si>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</si>
  <si>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</si>
  <si>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</si>
  <si>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</si>
  <si>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</si>
  <si>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</si>
  <si>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</si>
  <si>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</si>
  <si>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</si>
  <si>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</si>
  <si>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</si>
  <si>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</si>
  <si>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</si>
  <si>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</si>
  <si>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</si>
  <si>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</si>
  <si>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</si>
  <si>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</si>
  <si>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</si>
  <si>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</si>
  <si>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</si>
  <si>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</si>
  <si>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</si>
  <si>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</si>
  <si>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</si>
  <si>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</si>
  <si>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</si>
  <si>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</si>
  <si>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</si>
  <si>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</si>
  <si>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</si>
  <si>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</si>
  <si>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</si>
  <si>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</si>
  <si>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</si>
  <si>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</si>
  <si>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</si>
  <si>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</si>
  <si>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</si>
  <si>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</si>
  <si>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</si>
  <si>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</si>
  <si>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</si>
  <si>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</si>
  <si>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</si>
  <si>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</si>
  <si>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</si>
  <si>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</si>
  <si>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</si>
  <si>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</si>
  <si>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</si>
  <si>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</si>
  <si>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</si>
  <si>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</si>
  <si>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</si>
  <si>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</si>
  <si>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</si>
  <si>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</si>
  <si>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</si>
  <si>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</si>
  <si>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</si>
  <si>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</si>
  <si>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</si>
  <si>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</si>
  <si>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</si>
  <si>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</si>
  <si>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</si>
  <si>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</si>
  <si>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</si>
  <si>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</si>
  <si>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</si>
  <si>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</si>
  <si>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</si>
  <si>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</si>
  <si>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</si>
  <si>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</si>
  <si>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</si>
  <si>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</si>
  <si>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</si>
  <si>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</si>
  <si>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</si>
  <si>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</si>
  <si>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</si>
  <si>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</si>
  <si>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</si>
  <si>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</si>
  <si>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</si>
  <si>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</si>
  <si>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</si>
  <si>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</si>
  <si>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</si>
  <si>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</si>
  <si>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</si>
  <si>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</si>
  <si>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</si>
  <si>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</si>
  <si>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</si>
  <si>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</si>
  <si>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</si>
  <si>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</si>
  <si>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</si>
  <si>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</si>
  <si>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</si>
  <si>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</si>
  <si>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</si>
  <si>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</si>
  <si>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</si>
  <si>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</si>
  <si>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</si>
  <si>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</si>
  <si>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</si>
  <si>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</si>
  <si>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</si>
  <si>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</si>
  <si>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</si>
  <si>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</si>
  <si>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</si>
  <si>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</si>
  <si>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</si>
  <si>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</si>
  <si>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</si>
  <si>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</si>
  <si>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</si>
  <si>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</si>
  <si>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</si>
  <si>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</si>
  <si>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</si>
  <si>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</si>
  <si>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</si>
  <si>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</si>
  <si>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</si>
  <si>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</si>
  <si>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</si>
  <si>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</si>
  <si>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</si>
  <si>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</si>
  <si>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</si>
  <si>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</si>
  <si>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</si>
  <si>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</si>
  <si>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</si>
  <si>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</si>
  <si>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</si>
  <si>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</si>
  <si>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</si>
  <si>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</si>
  <si>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</si>
  <si>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</si>
  <si>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</si>
  <si>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</si>
  <si>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</si>
  <si>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</si>
  <si>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</si>
  <si>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Help</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</si>
  <si>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</si>
  <si>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</si>
  <si>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</si>
  <si>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</si>
  <si>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</si>
  <si>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</si>
  <si>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</si>
  <si>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</si>
  <si>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</si>
  <si>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</si>
  <si>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</si>
  <si>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</si>
  <si>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</si>
  <si>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</si>
  <si>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</si>
  <si>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</si>
  <si>
    <t>https://github.com/dzeke/ColoradoRiverCoding/blob/main/ModelMusings/Support/ModelGuide/ModelGuide-CombinedLakePowellLakeMead.md#i-protect-endangered-native-fish-of-the-grand-canyon</t>
  </si>
  <si>
    <t>https://github.com/dzeke/ColoradoRiverCoding/blob/main/ModelMusings/Support/ModelGuide/ModelGuide-CombinedLakePowellLakeMead.md#6a-combined-storage--end-of-year</t>
  </si>
  <si>
    <t>https://github.com/dzeke/ColoradoRiverCoding/blob/main/ModelMusings/Support/ModelGuide/ModelGuide-CombinedLakePowellLakeMead.md#step-8-move-to-next-year</t>
  </si>
  <si>
    <t>https://github.com/dzeke/ColoradoRiverCoding/blob/main/ModelMusings/Support/ModelGuide/ModelGuide-CombinedLakePowellLakeMead.md#i-powell-and-mead-storage-volumes-and-levels</t>
  </si>
  <si>
    <t>https://github.com/dzeke/ColoradoRiverCoding/blob/main/ModelMusings/Support/ModelGuide/ModelGuide-CombinedLakePowellLakeMead.md#ii-lake-powell-release-to-achieve-powell-and-mead-storage-volumes</t>
  </si>
  <si>
    <t>https://github.com/dzeke/ColoradoRiverCoding/blob/main/ModelMusings/Support/ModelGuide/ModelGuide-CombinedLakePowellLakeMead.md#iv-suitability-of-native-endangered-fish-of-the-grand-canyon</t>
  </si>
  <si>
    <t>https://github.com/dzeke/ColoradoRiverCoding/blob/main/ModelMusings/Support/ModelGuide/ModelGuide-CombinedLakePowellLakeMead.md#v-suitability-for-tailwater-trout</t>
  </si>
  <si>
    <t>https://github.com/dzeke/ColoradoRiverCoding/blob/main/ModelMusings/Support/ModelGuide/ModelGuide-CombinedLakePowellLakeMead.md#i-buy-or-sell-water-from-other-players</t>
  </si>
  <si>
    <t>https://github.com/dzeke/ColoradoRiverCoding/blob/main/ModelMusings/Support/ModelGuide/ModelGuide-CombinedLakePowellLakeMead.md#ii-compensation</t>
  </si>
  <si>
    <t>https://github.com/dzeke/ColoradoRiverCoding/blob/main/ModelMusings/Support/ModelGuide/ModelGuide-CombinedLakePowellLakeMead.md#iii-net-trade-volume-all-players</t>
  </si>
  <si>
    <t>https://github.com/dzeke/ColoradoRiverCoding/blob/main/ModelMusings/Support/ModelGuide/ModelGuide-CombinedLakePowellLakeMead.md#iv-available-water</t>
  </si>
  <si>
    <t>https://github.com/dzeke/ColoradoRiverCoding/blob/main/ModelMusings/Support/ModelGuide/ModelGuide-CombinedLakePowellLakeMead.md#v-enter-withdraw-within-available-water</t>
  </si>
  <si>
    <t>https://github.com/dzeke/ColoradoRiverCoding/blob/main/ModelMusings/Support/ModelGuide/ModelGuide-CombinedLakePowellLakeMead.md#vi-end-of-year-balance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</si>
</sst>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7" fillId="19" borderId="0" xfId="7" applyFill="1" applyAlignment="1">
      <alignment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2" t="s">
        <v>198</v>
      </c>
      <c r="B1" s="192"/>
      <c r="C1" s="192"/>
      <c r="D1" s="192"/>
      <c r="E1" s="192"/>
      <c r="F1" s="192"/>
      <c r="G1" s="192"/>
      <c r="H1" s="192"/>
      <c r="I1" s="192"/>
      <c r="J1" s="192"/>
      <c r="K1" s="192"/>
      <c r="L1" s="192"/>
    </row>
    <row r="2" spans="1:18" x14ac:dyDescent="0.25">
      <c r="A2" s="1"/>
      <c r="B2" s="1"/>
      <c r="C2" s="2"/>
      <c r="D2"/>
    </row>
    <row r="3" spans="1:18" x14ac:dyDescent="0.25">
      <c r="A3" s="1" t="s">
        <v>403</v>
      </c>
      <c r="B3" s="1"/>
      <c r="C3" s="2"/>
      <c r="D3"/>
      <c r="N3" s="1" t="s">
        <v>308</v>
      </c>
    </row>
    <row r="4" spans="1:18" s="77" customFormat="1" ht="66" customHeight="1" x14ac:dyDescent="0.25">
      <c r="A4" s="191" t="s">
        <v>399</v>
      </c>
      <c r="B4" s="191"/>
      <c r="C4" s="191"/>
      <c r="D4" s="191"/>
      <c r="E4" s="191"/>
      <c r="F4" s="191"/>
      <c r="G4" s="191"/>
      <c r="H4" s="191"/>
      <c r="I4" s="191"/>
      <c r="J4" s="191"/>
      <c r="K4" s="191"/>
      <c r="L4" s="191"/>
      <c r="N4" s="189" t="s">
        <v>309</v>
      </c>
      <c r="O4" s="189"/>
      <c r="P4" s="189"/>
      <c r="Q4" s="189"/>
      <c r="R4" s="189"/>
    </row>
    <row r="5" spans="1:18" s="115" customFormat="1" ht="15.95" customHeight="1" x14ac:dyDescent="0.25">
      <c r="A5" s="191" t="s">
        <v>342</v>
      </c>
      <c r="B5" s="191"/>
      <c r="C5" s="191"/>
      <c r="D5" s="191"/>
      <c r="E5" s="191"/>
      <c r="F5" s="191"/>
      <c r="G5" s="191"/>
      <c r="H5" s="191"/>
      <c r="I5" s="191"/>
      <c r="J5" s="191"/>
      <c r="K5" s="191"/>
      <c r="L5" s="191"/>
    </row>
    <row r="6" spans="1:18" s="115" customFormat="1" ht="32.450000000000003" customHeight="1" x14ac:dyDescent="0.25">
      <c r="A6" s="190" t="s">
        <v>222</v>
      </c>
      <c r="B6" s="190"/>
      <c r="C6" s="190"/>
      <c r="D6" s="190"/>
      <c r="E6" s="190"/>
      <c r="F6" s="190"/>
      <c r="G6" s="190"/>
      <c r="H6" s="190"/>
      <c r="I6" s="190"/>
      <c r="J6" s="190"/>
      <c r="K6" s="190"/>
      <c r="L6" s="190"/>
      <c r="N6" s="141" t="s">
        <v>401</v>
      </c>
    </row>
    <row r="7" spans="1:18" s="115" customFormat="1" ht="20.25" customHeight="1" x14ac:dyDescent="0.25">
      <c r="A7" s="190" t="s">
        <v>343</v>
      </c>
      <c r="B7" s="190"/>
      <c r="C7" s="190"/>
      <c r="D7" s="190"/>
      <c r="E7" s="190"/>
      <c r="F7" s="190"/>
      <c r="G7" s="190"/>
      <c r="H7" s="190"/>
      <c r="I7" s="190"/>
      <c r="J7" s="190"/>
      <c r="K7" s="190"/>
      <c r="L7" s="190"/>
    </row>
    <row r="8" spans="1:18" s="115" customFormat="1" ht="16.5" customHeight="1" x14ac:dyDescent="0.25">
      <c r="A8" s="190" t="s">
        <v>344</v>
      </c>
      <c r="B8" s="190"/>
      <c r="C8" s="190"/>
      <c r="D8" s="190"/>
      <c r="E8" s="190"/>
      <c r="F8" s="190"/>
      <c r="G8" s="190"/>
      <c r="H8" s="190"/>
      <c r="I8" s="190"/>
      <c r="J8" s="190"/>
      <c r="K8" s="190"/>
      <c r="L8" s="190"/>
      <c r="N8" s="141" t="s">
        <v>402</v>
      </c>
    </row>
    <row r="9" spans="1:18" s="115" customFormat="1" ht="15" customHeight="1" x14ac:dyDescent="0.25">
      <c r="A9" s="190" t="s">
        <v>345</v>
      </c>
      <c r="B9" s="190"/>
      <c r="C9" s="190"/>
      <c r="D9" s="190"/>
      <c r="E9" s="190"/>
      <c r="F9" s="190"/>
      <c r="G9" s="190"/>
      <c r="H9" s="190"/>
      <c r="I9" s="190"/>
      <c r="J9" s="190"/>
      <c r="K9" s="190"/>
      <c r="L9" s="190"/>
    </row>
    <row r="10" spans="1:18" s="115" customFormat="1" ht="32.1" customHeight="1" x14ac:dyDescent="0.25">
      <c r="A10" s="190" t="s">
        <v>368</v>
      </c>
      <c r="B10" s="190"/>
      <c r="C10" s="190"/>
      <c r="D10" s="190"/>
      <c r="E10" s="190"/>
      <c r="F10" s="190"/>
      <c r="G10" s="190"/>
      <c r="H10" s="190"/>
      <c r="I10" s="190"/>
      <c r="J10" s="190"/>
      <c r="K10" s="190"/>
      <c r="L10" s="190"/>
      <c r="N10" s="115" t="s">
        <v>346</v>
      </c>
    </row>
    <row r="11" spans="1:18" s="83" customFormat="1" ht="15" customHeight="1" x14ac:dyDescent="0.25">
      <c r="A11" s="190" t="s">
        <v>369</v>
      </c>
      <c r="B11" s="190"/>
      <c r="C11" s="190"/>
      <c r="D11" s="190"/>
      <c r="E11" s="190"/>
      <c r="F11" s="190"/>
      <c r="G11" s="190"/>
      <c r="H11" s="190"/>
      <c r="I11" s="190"/>
      <c r="J11" s="190"/>
      <c r="K11" s="190"/>
      <c r="L11" s="190"/>
    </row>
    <row r="12" spans="1:18" s="83" customFormat="1" ht="17.25" customHeight="1" x14ac:dyDescent="0.25">
      <c r="A12" s="190" t="s">
        <v>370</v>
      </c>
      <c r="B12" s="190"/>
      <c r="C12" s="190"/>
      <c r="D12" s="190"/>
      <c r="E12" s="190"/>
      <c r="F12" s="190"/>
      <c r="G12" s="190"/>
      <c r="H12" s="190"/>
      <c r="I12" s="190"/>
      <c r="J12" s="190"/>
      <c r="K12" s="190"/>
      <c r="L12" s="190"/>
    </row>
    <row r="13" spans="1:18" ht="20.25" customHeight="1" x14ac:dyDescent="0.25">
      <c r="A13" s="152"/>
      <c r="B13" s="152"/>
      <c r="C13" s="152"/>
      <c r="D13" s="152"/>
      <c r="E13" s="152"/>
      <c r="F13" s="152"/>
      <c r="G13" s="152"/>
      <c r="H13" s="152"/>
      <c r="I13" s="152"/>
      <c r="J13" s="152"/>
      <c r="K13" s="152"/>
      <c r="L13" s="152"/>
    </row>
    <row r="14" spans="1:18" ht="20.25" customHeight="1" x14ac:dyDescent="0.25">
      <c r="A14" s="203" t="s">
        <v>404</v>
      </c>
      <c r="B14" s="204"/>
      <c r="C14" s="204"/>
      <c r="D14" s="204"/>
      <c r="E14" s="204"/>
      <c r="F14" s="204"/>
      <c r="G14" s="204"/>
      <c r="H14" s="204"/>
      <c r="I14" s="204"/>
      <c r="J14" s="204"/>
      <c r="K14" s="204"/>
      <c r="L14" s="205"/>
      <c r="N14" s="1" t="s">
        <v>409</v>
      </c>
    </row>
    <row r="15" spans="1:18" ht="50.45" customHeight="1" x14ac:dyDescent="0.25">
      <c r="A15" s="200" t="s">
        <v>405</v>
      </c>
      <c r="B15" s="201"/>
      <c r="C15" s="201"/>
      <c r="D15" s="201"/>
      <c r="E15" s="201"/>
      <c r="F15" s="201"/>
      <c r="G15" s="201"/>
      <c r="H15" s="201"/>
      <c r="I15" s="201"/>
      <c r="J15" s="201"/>
      <c r="K15" s="201"/>
      <c r="L15" s="202"/>
      <c r="N15" s="141" t="s">
        <v>410</v>
      </c>
    </row>
    <row r="16" spans="1:18" ht="15" customHeight="1" x14ac:dyDescent="0.25">
      <c r="A16" s="200" t="s">
        <v>406</v>
      </c>
      <c r="B16" s="201"/>
      <c r="C16" s="201"/>
      <c r="D16" s="201"/>
      <c r="E16" s="201"/>
      <c r="F16" s="201"/>
      <c r="G16" s="201"/>
      <c r="H16" s="201"/>
      <c r="I16" s="201"/>
      <c r="J16" s="201"/>
      <c r="K16" s="201"/>
      <c r="L16" s="202"/>
    </row>
    <row r="17" spans="1:12" ht="36.75" customHeight="1" x14ac:dyDescent="0.25">
      <c r="A17" s="206" t="s">
        <v>400</v>
      </c>
      <c r="B17" s="201"/>
      <c r="C17" s="201"/>
      <c r="D17" s="201"/>
      <c r="E17" s="201"/>
      <c r="F17" s="201"/>
      <c r="G17" s="201"/>
      <c r="H17" s="201"/>
      <c r="I17" s="201"/>
      <c r="J17" s="201"/>
      <c r="K17" s="201"/>
      <c r="L17" s="202"/>
    </row>
    <row r="18" spans="1:12" s="82" customFormat="1" ht="20.25" customHeight="1" x14ac:dyDescent="0.25">
      <c r="A18" s="194" t="s">
        <v>407</v>
      </c>
      <c r="B18" s="195"/>
      <c r="C18" s="195"/>
      <c r="D18" s="195"/>
      <c r="E18" s="195"/>
      <c r="F18" s="195"/>
      <c r="G18" s="195"/>
      <c r="H18" s="195"/>
      <c r="I18" s="195"/>
      <c r="J18" s="195"/>
      <c r="K18" s="195"/>
      <c r="L18" s="196"/>
    </row>
    <row r="19" spans="1:12" s="83" customFormat="1" x14ac:dyDescent="0.25">
      <c r="A19" s="197" t="s">
        <v>408</v>
      </c>
      <c r="B19" s="198"/>
      <c r="C19" s="198"/>
      <c r="D19" s="198"/>
      <c r="E19" s="198"/>
      <c r="F19" s="198"/>
      <c r="G19" s="198"/>
      <c r="H19" s="198"/>
      <c r="I19" s="198"/>
      <c r="J19" s="198"/>
      <c r="K19" s="198"/>
      <c r="L19" s="199"/>
    </row>
    <row r="20" spans="1:12" x14ac:dyDescent="0.25">
      <c r="B20" s="178"/>
      <c r="C20" s="178"/>
      <c r="D20" s="178"/>
      <c r="E20" s="178"/>
      <c r="F20" s="178"/>
      <c r="G20" s="178"/>
      <c r="H20" s="178"/>
      <c r="I20" s="178"/>
      <c r="J20" s="178"/>
      <c r="K20" s="178"/>
      <c r="L20" s="178"/>
    </row>
    <row r="21" spans="1:12" x14ac:dyDescent="0.25">
      <c r="A21" s="1" t="s">
        <v>411</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388</v>
      </c>
      <c r="C38" t="s">
        <v>389</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3" t="s">
        <v>223</v>
      </c>
      <c r="B50" s="193"/>
      <c r="C50" s="193"/>
      <c r="D50" s="193"/>
      <c r="E50" s="193"/>
      <c r="F50" s="193"/>
      <c r="G50" s="193"/>
      <c r="H50" s="193"/>
      <c r="I50" s="193"/>
      <c r="J50" s="193"/>
      <c r="K50" s="193"/>
      <c r="L50" s="193"/>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112"/>
      <c r="I3" s="112"/>
      <c r="J3" s="112"/>
      <c r="K3" s="112"/>
    </row>
    <row r="4" spans="1:13" x14ac:dyDescent="0.25">
      <c r="A4" s="51" t="s">
        <v>38</v>
      </c>
      <c r="B4" s="51" t="s">
        <v>42</v>
      </c>
      <c r="C4" s="230" t="s">
        <v>43</v>
      </c>
      <c r="D4" s="231"/>
      <c r="E4" s="231"/>
      <c r="F4" s="231"/>
      <c r="G4" s="232"/>
      <c r="M4" s="1" t="s">
        <v>296</v>
      </c>
    </row>
    <row r="5" spans="1:13" x14ac:dyDescent="0.25">
      <c r="A5" s="122" t="s">
        <v>39</v>
      </c>
      <c r="B5" s="122"/>
      <c r="C5" s="220" t="s">
        <v>207</v>
      </c>
      <c r="D5" s="215"/>
      <c r="E5" s="215"/>
      <c r="F5" s="215"/>
      <c r="G5" s="215"/>
      <c r="M5" t="s">
        <v>297</v>
      </c>
    </row>
    <row r="6" spans="1:13" x14ac:dyDescent="0.25">
      <c r="A6" s="122" t="s">
        <v>40</v>
      </c>
      <c r="B6" s="122"/>
      <c r="C6" s="220" t="s">
        <v>208</v>
      </c>
      <c r="D6" s="215"/>
      <c r="E6" s="215"/>
      <c r="F6" s="215"/>
      <c r="G6" s="215"/>
      <c r="M6" t="s">
        <v>302</v>
      </c>
    </row>
    <row r="7" spans="1:13" x14ac:dyDescent="0.25">
      <c r="A7" s="122" t="s">
        <v>41</v>
      </c>
      <c r="B7" s="122"/>
      <c r="C7" s="220" t="s">
        <v>149</v>
      </c>
      <c r="D7" s="215"/>
      <c r="E7" s="215"/>
      <c r="F7" s="215"/>
      <c r="G7" s="215"/>
      <c r="M7" t="s">
        <v>303</v>
      </c>
    </row>
    <row r="8" spans="1:13" x14ac:dyDescent="0.25">
      <c r="A8" s="111" t="s">
        <v>154</v>
      </c>
      <c r="B8" s="111"/>
      <c r="C8" s="222" t="s">
        <v>307</v>
      </c>
      <c r="D8" s="222"/>
      <c r="E8" s="222"/>
      <c r="F8" s="222"/>
      <c r="G8" s="222"/>
    </row>
    <row r="9" spans="1:13" x14ac:dyDescent="0.25">
      <c r="A9" s="122"/>
      <c r="B9" s="122"/>
      <c r="C9" s="221"/>
      <c r="D9" s="221"/>
      <c r="E9" s="221"/>
      <c r="F9" s="221"/>
      <c r="G9" s="221"/>
    </row>
    <row r="10" spans="1:13" x14ac:dyDescent="0.25">
      <c r="A10" s="122"/>
      <c r="B10" s="122"/>
      <c r="C10" s="221"/>
      <c r="D10" s="221"/>
      <c r="E10" s="221"/>
      <c r="F10" s="221"/>
      <c r="G10" s="221"/>
    </row>
    <row r="11" spans="1:13" x14ac:dyDescent="0.25">
      <c r="A11" s="15"/>
      <c r="B11" s="2"/>
      <c r="C11"/>
    </row>
    <row r="12" spans="1:13" x14ac:dyDescent="0.25">
      <c r="A12" s="18" t="s">
        <v>45</v>
      </c>
      <c r="B12" s="233" t="s">
        <v>195</v>
      </c>
      <c r="C12" s="233"/>
      <c r="D12" s="233"/>
      <c r="E12" s="233"/>
      <c r="F12" s="233"/>
    </row>
    <row r="13" spans="1:13" x14ac:dyDescent="0.25">
      <c r="B13" s="234" t="s">
        <v>316</v>
      </c>
      <c r="C13" s="235"/>
      <c r="D13" s="235"/>
      <c r="E13" s="235"/>
      <c r="F13" s="235"/>
    </row>
    <row r="14" spans="1:13" x14ac:dyDescent="0.25">
      <c r="B14" s="236" t="s">
        <v>305</v>
      </c>
      <c r="C14" s="237"/>
      <c r="D14" s="237"/>
      <c r="E14" s="237"/>
      <c r="F14" s="237"/>
    </row>
    <row r="15" spans="1:13" x14ac:dyDescent="0.25">
      <c r="B15" s="238" t="s">
        <v>46</v>
      </c>
      <c r="C15" s="238"/>
      <c r="D15" s="238"/>
      <c r="E15" s="238"/>
      <c r="F15" s="238"/>
    </row>
    <row r="17" spans="1:14" x14ac:dyDescent="0.25">
      <c r="A17" s="1" t="s">
        <v>53</v>
      </c>
      <c r="D17" s="233" t="s">
        <v>151</v>
      </c>
      <c r="E17" s="233"/>
      <c r="F17" s="233"/>
      <c r="G17" s="23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39" t="s">
        <v>40</v>
      </c>
      <c r="Q1" s="239"/>
      <c r="R1" s="239"/>
      <c r="S1" s="239"/>
      <c r="T1" s="239"/>
      <c r="U1" s="239"/>
      <c r="V1" s="239"/>
      <c r="W1" s="239"/>
      <c r="X1" s="239"/>
      <c r="Y1" s="239"/>
      <c r="AA1" s="239" t="s">
        <v>200</v>
      </c>
      <c r="AB1" s="239"/>
      <c r="AC1" s="239"/>
      <c r="AD1" s="239"/>
      <c r="AE1" s="239"/>
      <c r="AF1" s="239"/>
      <c r="AG1" s="239"/>
      <c r="AH1" s="239"/>
      <c r="AI1" s="239"/>
      <c r="AJ1" s="239"/>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112"/>
      <c r="I3" s="112"/>
      <c r="J3" s="112"/>
      <c r="K3" s="112"/>
    </row>
    <row r="4" spans="1:13" x14ac:dyDescent="0.25">
      <c r="A4" s="51" t="s">
        <v>38</v>
      </c>
      <c r="B4" s="51" t="s">
        <v>42</v>
      </c>
      <c r="C4" s="230" t="s">
        <v>43</v>
      </c>
      <c r="D4" s="231"/>
      <c r="E4" s="231"/>
      <c r="F4" s="231"/>
      <c r="G4" s="232"/>
      <c r="M4" s="1" t="s">
        <v>296</v>
      </c>
    </row>
    <row r="5" spans="1:13" x14ac:dyDescent="0.25">
      <c r="A5" s="122" t="s">
        <v>39</v>
      </c>
      <c r="B5" s="122"/>
      <c r="C5" s="220" t="s">
        <v>207</v>
      </c>
      <c r="D5" s="215"/>
      <c r="E5" s="215"/>
      <c r="F5" s="215"/>
      <c r="G5" s="215"/>
      <c r="M5" t="s">
        <v>297</v>
      </c>
    </row>
    <row r="6" spans="1:13" x14ac:dyDescent="0.25">
      <c r="A6" s="122" t="s">
        <v>40</v>
      </c>
      <c r="B6" s="122"/>
      <c r="C6" s="220" t="s">
        <v>208</v>
      </c>
      <c r="D6" s="215"/>
      <c r="E6" s="215"/>
      <c r="F6" s="215"/>
      <c r="G6" s="215"/>
      <c r="M6" t="s">
        <v>302</v>
      </c>
    </row>
    <row r="7" spans="1:13" x14ac:dyDescent="0.25">
      <c r="A7" s="122" t="s">
        <v>41</v>
      </c>
      <c r="B7" s="122"/>
      <c r="C7" s="220" t="s">
        <v>149</v>
      </c>
      <c r="D7" s="215"/>
      <c r="E7" s="215"/>
      <c r="F7" s="215"/>
      <c r="G7" s="215"/>
      <c r="M7" t="s">
        <v>303</v>
      </c>
    </row>
    <row r="8" spans="1:13" x14ac:dyDescent="0.25">
      <c r="A8" s="111" t="s">
        <v>154</v>
      </c>
      <c r="B8" s="111"/>
      <c r="C8" s="222" t="s">
        <v>307</v>
      </c>
      <c r="D8" s="222"/>
      <c r="E8" s="222"/>
      <c r="F8" s="222"/>
      <c r="G8" s="222"/>
    </row>
    <row r="9" spans="1:13" x14ac:dyDescent="0.25">
      <c r="A9" s="126" t="s">
        <v>145</v>
      </c>
      <c r="B9" s="122"/>
      <c r="C9" s="215" t="s">
        <v>209</v>
      </c>
      <c r="D9" s="215"/>
      <c r="E9" s="215"/>
      <c r="F9" s="215"/>
      <c r="G9" s="215"/>
    </row>
    <row r="10" spans="1:13" x14ac:dyDescent="0.25">
      <c r="A10" s="122"/>
      <c r="B10" s="122"/>
      <c r="C10" s="221"/>
      <c r="D10" s="221"/>
      <c r="E10" s="221"/>
      <c r="F10" s="221"/>
      <c r="G10" s="221"/>
    </row>
    <row r="11" spans="1:13" x14ac:dyDescent="0.25">
      <c r="A11" s="15"/>
      <c r="B11" s="2"/>
      <c r="C11"/>
    </row>
    <row r="12" spans="1:13" x14ac:dyDescent="0.25">
      <c r="A12" s="18" t="s">
        <v>45</v>
      </c>
      <c r="B12" s="233" t="s">
        <v>195</v>
      </c>
      <c r="C12" s="233"/>
      <c r="D12" s="233"/>
      <c r="E12" s="233"/>
      <c r="F12" s="233"/>
    </row>
    <row r="13" spans="1:13" x14ac:dyDescent="0.25">
      <c r="B13" s="234" t="s">
        <v>304</v>
      </c>
      <c r="C13" s="235"/>
      <c r="D13" s="235"/>
      <c r="E13" s="235"/>
      <c r="F13" s="235"/>
    </row>
    <row r="14" spans="1:13" x14ac:dyDescent="0.25">
      <c r="B14" s="236" t="s">
        <v>305</v>
      </c>
      <c r="C14" s="237"/>
      <c r="D14" s="237"/>
      <c r="E14" s="237"/>
      <c r="F14" s="237"/>
    </row>
    <row r="15" spans="1:13" x14ac:dyDescent="0.25">
      <c r="B15" s="238" t="s">
        <v>46</v>
      </c>
      <c r="C15" s="238"/>
      <c r="D15" s="238"/>
      <c r="E15" s="238"/>
      <c r="F15" s="238"/>
    </row>
    <row r="17" spans="1:14" x14ac:dyDescent="0.25">
      <c r="A17" s="1" t="s">
        <v>53</v>
      </c>
      <c r="D17" s="233" t="s">
        <v>151</v>
      </c>
      <c r="E17" s="233"/>
      <c r="F17" s="233"/>
      <c r="G17" s="23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0" t="s">
        <v>226</v>
      </c>
      <c r="E3" s="240"/>
      <c r="F3" s="240" t="s">
        <v>227</v>
      </c>
      <c r="G3" s="240"/>
      <c r="H3" s="240"/>
      <c r="I3" s="240" t="s">
        <v>228</v>
      </c>
      <c r="J3" s="240"/>
      <c r="K3" s="240"/>
      <c r="L3" s="183"/>
      <c r="M3" s="240" t="s">
        <v>41</v>
      </c>
      <c r="N3" s="240"/>
      <c r="O3" s="240"/>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81">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82">
        <f t="shared" ref="P5:P13" si="5">SUM(L5,O5)</f>
        <v>1.375</v>
      </c>
    </row>
    <row r="6" spans="1:16" x14ac:dyDescent="0.25">
      <c r="A6" s="37">
        <v>1030</v>
      </c>
      <c r="B6" s="38">
        <v>6.305377</v>
      </c>
      <c r="C6" s="39">
        <f t="shared" ref="C6:C12" si="6">B5</f>
        <v>5.981122</v>
      </c>
      <c r="D6" s="35">
        <v>400</v>
      </c>
      <c r="E6" s="35">
        <v>17</v>
      </c>
      <c r="F6" s="35">
        <v>240</v>
      </c>
      <c r="G6" s="35">
        <v>10</v>
      </c>
      <c r="H6" s="35">
        <v>350</v>
      </c>
      <c r="I6" s="181">
        <f t="shared" si="0"/>
        <v>640</v>
      </c>
      <c r="J6" s="35">
        <f t="shared" si="1"/>
        <v>27</v>
      </c>
      <c r="K6" s="35">
        <f t="shared" si="2"/>
        <v>350</v>
      </c>
      <c r="L6" s="46">
        <f t="shared" si="3"/>
        <v>1.0169999999999999</v>
      </c>
      <c r="M6" s="35">
        <v>70</v>
      </c>
      <c r="N6" s="35">
        <v>101</v>
      </c>
      <c r="O6" s="35">
        <f t="shared" si="4"/>
        <v>0.17100000000000001</v>
      </c>
      <c r="P6" s="182">
        <f t="shared" si="5"/>
        <v>1.1879999999999999</v>
      </c>
    </row>
    <row r="7" spans="1:16" x14ac:dyDescent="0.25">
      <c r="A7" s="37">
        <v>1035</v>
      </c>
      <c r="B7" s="38">
        <v>6.6375080000000004</v>
      </c>
      <c r="C7" s="39">
        <f t="shared" si="6"/>
        <v>6.305377</v>
      </c>
      <c r="D7" s="35">
        <v>400</v>
      </c>
      <c r="E7" s="35">
        <v>17</v>
      </c>
      <c r="F7" s="35">
        <v>240</v>
      </c>
      <c r="G7" s="35">
        <v>10</v>
      </c>
      <c r="H7" s="35">
        <v>300</v>
      </c>
      <c r="I7" s="181">
        <f t="shared" si="0"/>
        <v>640</v>
      </c>
      <c r="J7" s="35">
        <f t="shared" si="1"/>
        <v>27</v>
      </c>
      <c r="K7" s="35">
        <f t="shared" si="2"/>
        <v>300</v>
      </c>
      <c r="L7" s="46">
        <f t="shared" si="3"/>
        <v>0.96699999999999997</v>
      </c>
      <c r="M7" s="35">
        <v>70</v>
      </c>
      <c r="N7" s="35">
        <v>92</v>
      </c>
      <c r="O7" s="35">
        <f t="shared" si="4"/>
        <v>0.16200000000000001</v>
      </c>
      <c r="P7" s="182">
        <f t="shared" si="5"/>
        <v>1.129</v>
      </c>
    </row>
    <row r="8" spans="1:16" x14ac:dyDescent="0.25">
      <c r="A8" s="37">
        <v>1040</v>
      </c>
      <c r="B8" s="38">
        <v>6.977665</v>
      </c>
      <c r="C8" s="39">
        <f t="shared" si="6"/>
        <v>6.6375080000000004</v>
      </c>
      <c r="D8" s="35">
        <v>400</v>
      </c>
      <c r="E8" s="35">
        <v>17</v>
      </c>
      <c r="F8" s="35">
        <v>240</v>
      </c>
      <c r="G8" s="35">
        <v>10</v>
      </c>
      <c r="H8" s="35">
        <v>250</v>
      </c>
      <c r="I8" s="181">
        <f t="shared" si="0"/>
        <v>640</v>
      </c>
      <c r="J8" s="35">
        <f t="shared" si="1"/>
        <v>27</v>
      </c>
      <c r="K8" s="35">
        <f t="shared" si="2"/>
        <v>250</v>
      </c>
      <c r="L8" s="46">
        <f t="shared" si="3"/>
        <v>0.91700000000000004</v>
      </c>
      <c r="M8" s="35">
        <v>70</v>
      </c>
      <c r="N8" s="35">
        <v>84</v>
      </c>
      <c r="O8" s="35">
        <f t="shared" si="4"/>
        <v>0.154</v>
      </c>
      <c r="P8" s="182">
        <f t="shared" si="5"/>
        <v>1.071</v>
      </c>
    </row>
    <row r="9" spans="1:16" x14ac:dyDescent="0.25">
      <c r="A9" s="37">
        <v>1045</v>
      </c>
      <c r="B9" s="38">
        <v>7.3260519999999998</v>
      </c>
      <c r="C9" s="39">
        <f t="shared" si="6"/>
        <v>6.977665</v>
      </c>
      <c r="D9" s="35">
        <v>400</v>
      </c>
      <c r="E9" s="35">
        <v>17</v>
      </c>
      <c r="F9" s="35">
        <v>240</v>
      </c>
      <c r="G9" s="35">
        <v>10</v>
      </c>
      <c r="H9" s="35">
        <v>200</v>
      </c>
      <c r="I9" s="181">
        <f t="shared" si="0"/>
        <v>640</v>
      </c>
      <c r="J9" s="35">
        <f t="shared" si="1"/>
        <v>27</v>
      </c>
      <c r="K9" s="35">
        <f t="shared" si="2"/>
        <v>200</v>
      </c>
      <c r="L9" s="46">
        <f t="shared" si="3"/>
        <v>0.86699999999999999</v>
      </c>
      <c r="M9" s="35">
        <v>70</v>
      </c>
      <c r="N9" s="35">
        <v>76</v>
      </c>
      <c r="O9" s="35">
        <f t="shared" si="4"/>
        <v>0.14599999999999999</v>
      </c>
      <c r="P9" s="182">
        <f t="shared" si="5"/>
        <v>1.0129999999999999</v>
      </c>
    </row>
    <row r="10" spans="1:16" x14ac:dyDescent="0.25">
      <c r="A10" s="37">
        <v>1050</v>
      </c>
      <c r="B10" s="38">
        <v>7.6828779999999997</v>
      </c>
      <c r="C10" s="39">
        <f t="shared" si="6"/>
        <v>7.3260519999999998</v>
      </c>
      <c r="D10" s="35">
        <v>400</v>
      </c>
      <c r="E10" s="35">
        <v>17</v>
      </c>
      <c r="F10" s="35">
        <v>192</v>
      </c>
      <c r="G10" s="35">
        <v>8</v>
      </c>
      <c r="H10" s="35">
        <v>0</v>
      </c>
      <c r="I10" s="181">
        <f t="shared" si="0"/>
        <v>592</v>
      </c>
      <c r="J10" s="35">
        <f t="shared" si="1"/>
        <v>25</v>
      </c>
      <c r="K10" s="35">
        <f t="shared" si="2"/>
        <v>0</v>
      </c>
      <c r="L10" s="46">
        <f t="shared" si="3"/>
        <v>0.61699999999999999</v>
      </c>
      <c r="M10" s="35">
        <v>70</v>
      </c>
      <c r="N10" s="35">
        <v>34</v>
      </c>
      <c r="O10" s="35">
        <f t="shared" si="4"/>
        <v>0.104</v>
      </c>
      <c r="P10" s="182">
        <f t="shared" si="5"/>
        <v>0.72099999999999997</v>
      </c>
    </row>
    <row r="11" spans="1:16" x14ac:dyDescent="0.25">
      <c r="A11" s="37">
        <v>1075</v>
      </c>
      <c r="B11" s="38">
        <v>9.6009879999900001</v>
      </c>
      <c r="C11" s="39">
        <f t="shared" si="6"/>
        <v>7.6828779999999997</v>
      </c>
      <c r="D11" s="35">
        <v>320</v>
      </c>
      <c r="E11" s="35">
        <v>13</v>
      </c>
      <c r="F11" s="35">
        <v>192</v>
      </c>
      <c r="G11" s="35">
        <v>8</v>
      </c>
      <c r="H11" s="35">
        <v>0</v>
      </c>
      <c r="I11" s="181">
        <f t="shared" si="0"/>
        <v>512</v>
      </c>
      <c r="J11" s="35">
        <f t="shared" si="1"/>
        <v>21</v>
      </c>
      <c r="K11" s="35">
        <f t="shared" si="2"/>
        <v>0</v>
      </c>
      <c r="L11" s="46">
        <f t="shared" si="3"/>
        <v>0.53300000000000003</v>
      </c>
      <c r="M11" s="35">
        <v>50</v>
      </c>
      <c r="N11" s="35">
        <v>30</v>
      </c>
      <c r="O11" s="182">
        <f t="shared" si="4"/>
        <v>0.08</v>
      </c>
      <c r="P11" s="182">
        <f t="shared" si="5"/>
        <v>0.61299999999999999</v>
      </c>
    </row>
    <row r="12" spans="1:16" x14ac:dyDescent="0.25">
      <c r="A12" s="37">
        <v>1090</v>
      </c>
      <c r="B12" s="38">
        <v>10.857008</v>
      </c>
      <c r="C12" s="39">
        <f t="shared" si="6"/>
        <v>9.6009879999900001</v>
      </c>
      <c r="D12" s="35">
        <v>0</v>
      </c>
      <c r="E12" s="35">
        <v>0</v>
      </c>
      <c r="F12" s="35">
        <v>192</v>
      </c>
      <c r="G12" s="35">
        <v>8</v>
      </c>
      <c r="H12" s="35">
        <v>0</v>
      </c>
      <c r="I12" s="181">
        <f t="shared" si="0"/>
        <v>192</v>
      </c>
      <c r="J12" s="35">
        <f t="shared" si="1"/>
        <v>8</v>
      </c>
      <c r="K12" s="35">
        <f t="shared" si="2"/>
        <v>0</v>
      </c>
      <c r="L12" s="46">
        <f t="shared" si="3"/>
        <v>0.2</v>
      </c>
      <c r="M12" s="35">
        <v>0</v>
      </c>
      <c r="N12" s="35">
        <v>41</v>
      </c>
      <c r="O12" s="35">
        <f t="shared" si="4"/>
        <v>4.1000000000000002E-2</v>
      </c>
      <c r="P12" s="182">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396</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1"/>
      <c r="D5" s="241"/>
      <c r="E5" s="241"/>
      <c r="F5" s="241"/>
      <c r="G5" s="241"/>
      <c r="H5" s="241"/>
    </row>
    <row r="6" spans="1:11" x14ac:dyDescent="0.25">
      <c r="A6" s="15" t="s">
        <v>39</v>
      </c>
      <c r="B6" s="44"/>
      <c r="C6" s="241"/>
      <c r="D6" s="241"/>
      <c r="E6" s="241"/>
      <c r="F6" s="241"/>
      <c r="G6" s="241"/>
      <c r="H6" s="241"/>
    </row>
    <row r="7" spans="1:11" x14ac:dyDescent="0.25">
      <c r="A7" s="15" t="s">
        <v>40</v>
      </c>
      <c r="B7" s="44"/>
      <c r="C7" s="241"/>
      <c r="D7" s="241"/>
      <c r="E7" s="241"/>
      <c r="F7" s="241"/>
      <c r="G7" s="241"/>
      <c r="H7" s="241"/>
    </row>
    <row r="8" spans="1:11" x14ac:dyDescent="0.25">
      <c r="A8" s="15" t="s">
        <v>41</v>
      </c>
      <c r="B8" s="44"/>
      <c r="C8" s="241"/>
      <c r="D8" s="241"/>
      <c r="E8" s="241"/>
      <c r="F8" s="241"/>
      <c r="G8" s="241"/>
      <c r="H8" s="241"/>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387</v>
      </c>
    </row>
    <row r="3" spans="1:4" s="1" customFormat="1" x14ac:dyDescent="0.25">
      <c r="A3" s="246" t="s">
        <v>384</v>
      </c>
      <c r="B3" s="246"/>
      <c r="C3" s="246"/>
      <c r="D3" s="173" t="s">
        <v>383</v>
      </c>
    </row>
    <row r="4" spans="1:4" ht="45" x14ac:dyDescent="0.25">
      <c r="A4" s="242" t="s">
        <v>376</v>
      </c>
      <c r="B4" s="242"/>
      <c r="C4" s="242"/>
      <c r="D4" s="56" t="s">
        <v>382</v>
      </c>
    </row>
    <row r="5" spans="1:4" ht="45" x14ac:dyDescent="0.25">
      <c r="A5" s="243" t="s">
        <v>377</v>
      </c>
      <c r="B5" s="243"/>
      <c r="C5" s="243"/>
      <c r="D5" s="56" t="s">
        <v>398</v>
      </c>
    </row>
    <row r="6" spans="1:4" ht="75" x14ac:dyDescent="0.25">
      <c r="A6" s="244" t="s">
        <v>378</v>
      </c>
      <c r="B6" s="244"/>
      <c r="C6" s="244"/>
      <c r="D6" s="56" t="s">
        <v>381</v>
      </c>
    </row>
    <row r="7" spans="1:4" ht="30" x14ac:dyDescent="0.25">
      <c r="A7" s="245" t="s">
        <v>46</v>
      </c>
      <c r="B7" s="245"/>
      <c r="C7" s="245"/>
      <c r="D7" s="56" t="s">
        <v>380</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H3" sqref="H3:J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412</v>
      </c>
      <c r="D3" s="78" t="s">
        <v>150</v>
      </c>
      <c r="E3" s="78" t="s">
        <v>413</v>
      </c>
      <c r="F3" s="80" t="s">
        <v>414</v>
      </c>
      <c r="H3" s="56"/>
      <c r="I3" s="56"/>
      <c r="J3" s="58"/>
    </row>
    <row r="4" spans="1:10" ht="57" customHeight="1" x14ac:dyDescent="0.25">
      <c r="A4" s="78">
        <v>3.6</v>
      </c>
      <c r="B4" s="80">
        <v>44474</v>
      </c>
      <c r="C4" s="79" t="s">
        <v>390</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38" zoomScale="150" zoomScaleNormal="150" workbookViewId="0">
      <selection activeCell="N48" sqref="N48"/>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216" t="s">
        <v>397</v>
      </c>
      <c r="B3" s="216"/>
      <c r="C3" s="216"/>
      <c r="D3" s="216"/>
      <c r="E3" s="216"/>
      <c r="F3" s="216"/>
      <c r="G3" s="216"/>
      <c r="H3" s="112"/>
      <c r="I3" s="112"/>
      <c r="J3" s="112"/>
      <c r="K3" s="112"/>
      <c r="N3" s="179" t="s">
        <v>379</v>
      </c>
    </row>
    <row r="4" spans="1:14" x14ac:dyDescent="0.25">
      <c r="A4" s="171" t="s">
        <v>373</v>
      </c>
      <c r="B4" s="171" t="s">
        <v>42</v>
      </c>
      <c r="C4" s="217" t="s">
        <v>43</v>
      </c>
      <c r="D4" s="218"/>
      <c r="E4" s="218"/>
      <c r="F4" s="218"/>
      <c r="G4" s="219"/>
      <c r="N4" s="177" t="s">
        <v>415</v>
      </c>
    </row>
    <row r="5" spans="1:14" x14ac:dyDescent="0.25">
      <c r="A5" s="122" t="s">
        <v>39</v>
      </c>
      <c r="B5" s="122"/>
      <c r="C5" s="220"/>
      <c r="D5" s="215"/>
      <c r="E5" s="215"/>
      <c r="F5" s="215"/>
      <c r="G5" s="215"/>
    </row>
    <row r="6" spans="1:14" x14ac:dyDescent="0.25">
      <c r="A6" s="122" t="s">
        <v>40</v>
      </c>
      <c r="B6" s="122"/>
      <c r="C6" s="220"/>
      <c r="D6" s="215"/>
      <c r="E6" s="215"/>
      <c r="F6" s="215"/>
      <c r="G6" s="215"/>
    </row>
    <row r="7" spans="1:14" x14ac:dyDescent="0.25">
      <c r="A7" s="122" t="s">
        <v>41</v>
      </c>
      <c r="B7" s="122"/>
      <c r="C7" s="220"/>
      <c r="D7" s="215"/>
      <c r="E7" s="215"/>
      <c r="F7" s="215"/>
      <c r="G7" s="215"/>
    </row>
    <row r="8" spans="1:14" x14ac:dyDescent="0.25">
      <c r="A8" s="154" t="s">
        <v>145</v>
      </c>
      <c r="B8" s="153"/>
      <c r="C8" s="215"/>
      <c r="D8" s="215"/>
      <c r="E8" s="215"/>
      <c r="F8" s="215"/>
      <c r="G8" s="215"/>
    </row>
    <row r="9" spans="1:14" x14ac:dyDescent="0.25">
      <c r="A9" s="122"/>
      <c r="B9" s="122"/>
      <c r="C9" s="221"/>
      <c r="D9" s="221"/>
      <c r="E9" s="221"/>
      <c r="F9" s="221"/>
      <c r="G9" s="221"/>
    </row>
    <row r="10" spans="1:14" x14ac:dyDescent="0.25">
      <c r="A10" s="155" t="s">
        <v>154</v>
      </c>
      <c r="B10" s="155"/>
      <c r="C10" s="222"/>
      <c r="D10" s="222"/>
      <c r="E10" s="222"/>
      <c r="F10" s="222"/>
      <c r="G10" s="222"/>
    </row>
    <row r="11" spans="1:14" x14ac:dyDescent="0.25">
      <c r="A11" s="15"/>
      <c r="B11" s="2"/>
      <c r="C11"/>
    </row>
    <row r="12" spans="1:14" x14ac:dyDescent="0.25">
      <c r="A12" s="18" t="s">
        <v>374</v>
      </c>
      <c r="B12" s="223" t="s">
        <v>376</v>
      </c>
      <c r="C12" s="224"/>
      <c r="D12" s="225"/>
      <c r="N12" s="177" t="s">
        <v>416</v>
      </c>
    </row>
    <row r="13" spans="1:14" x14ac:dyDescent="0.25">
      <c r="B13" s="226" t="s">
        <v>377</v>
      </c>
      <c r="C13" s="227"/>
      <c r="D13" s="228"/>
    </row>
    <row r="14" spans="1:14" x14ac:dyDescent="0.25">
      <c r="B14" s="207" t="s">
        <v>378</v>
      </c>
      <c r="C14" s="208"/>
      <c r="D14" s="209"/>
    </row>
    <row r="15" spans="1:14" x14ac:dyDescent="0.25">
      <c r="B15" s="210" t="s">
        <v>46</v>
      </c>
      <c r="C15" s="211"/>
      <c r="D15" s="212"/>
    </row>
    <row r="17" spans="1:14" x14ac:dyDescent="0.25">
      <c r="A17" s="1" t="s">
        <v>375</v>
      </c>
      <c r="B17" s="1" t="s">
        <v>108</v>
      </c>
      <c r="C17" s="13" t="s">
        <v>109</v>
      </c>
      <c r="N17" s="177" t="s">
        <v>417</v>
      </c>
    </row>
    <row r="18" spans="1:14" x14ac:dyDescent="0.25">
      <c r="A18" t="s">
        <v>107</v>
      </c>
      <c r="B18" s="148">
        <v>5.73</v>
      </c>
      <c r="C18" s="148">
        <v>6</v>
      </c>
      <c r="D18" s="22"/>
      <c r="N18" s="177" t="s">
        <v>418</v>
      </c>
    </row>
    <row r="19" spans="1:14" x14ac:dyDescent="0.25">
      <c r="A19" t="s">
        <v>420</v>
      </c>
      <c r="B19" s="148">
        <v>7.2</v>
      </c>
      <c r="C19" s="148">
        <v>9</v>
      </c>
      <c r="D19" s="174" t="s">
        <v>386</v>
      </c>
      <c r="F19" s="43"/>
      <c r="N19" s="177" t="s">
        <v>419</v>
      </c>
    </row>
    <row r="20" spans="1:14" x14ac:dyDescent="0.25">
      <c r="A20" t="s">
        <v>186</v>
      </c>
      <c r="B20" s="149">
        <v>3525</v>
      </c>
      <c r="C20" s="149">
        <v>1020</v>
      </c>
      <c r="D20" s="11"/>
      <c r="N20" s="177" t="s">
        <v>425</v>
      </c>
    </row>
    <row r="21" spans="1:14" x14ac:dyDescent="0.25">
      <c r="A21" t="s">
        <v>172</v>
      </c>
      <c r="B21" s="148">
        <f>VLOOKUP(B20,'Powell-Elevation-Area'!$A$5:$B$689,2)/1000000</f>
        <v>5.9265762500000001</v>
      </c>
      <c r="C21" s="148">
        <f>VLOOKUP(C20,'Mead-Elevation-Area'!$A$5:$B$689,2)/1000000</f>
        <v>5.664593</v>
      </c>
      <c r="D21" s="11"/>
      <c r="E21" s="43"/>
      <c r="N21" s="177" t="s">
        <v>421</v>
      </c>
    </row>
    <row r="22" spans="1:14" x14ac:dyDescent="0.25">
      <c r="A22" t="s">
        <v>392</v>
      </c>
      <c r="B22" s="148">
        <f>78.1</f>
        <v>78.099999999999994</v>
      </c>
      <c r="C22"/>
      <c r="D22" s="150"/>
      <c r="E22" s="43"/>
      <c r="N22" s="177" t="s">
        <v>422</v>
      </c>
    </row>
    <row r="23" spans="1:14" x14ac:dyDescent="0.25">
      <c r="A23" t="s">
        <v>393</v>
      </c>
      <c r="B23" s="175">
        <v>0.17</v>
      </c>
      <c r="C23"/>
      <c r="D23" s="150"/>
      <c r="E23" s="43"/>
      <c r="N23" s="177" t="s">
        <v>423</v>
      </c>
    </row>
    <row r="24" spans="1:14" x14ac:dyDescent="0.25">
      <c r="A24" t="s">
        <v>391</v>
      </c>
      <c r="B24" s="148">
        <f>10*(7.5+1.5/2)-B22-B23</f>
        <v>4.2300000000000058</v>
      </c>
      <c r="C24"/>
      <c r="D24" s="150"/>
      <c r="E24" s="43"/>
      <c r="N24" s="177" t="s">
        <v>424</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180" t="s">
        <v>426</v>
      </c>
    </row>
    <row r="27" spans="1:14" x14ac:dyDescent="0.25">
      <c r="A27" s="168" t="s">
        <v>358</v>
      </c>
      <c r="B27" s="1"/>
      <c r="C27" s="130"/>
      <c r="D27" s="130"/>
      <c r="E27" s="130"/>
      <c r="F27" s="130"/>
      <c r="G27" s="130"/>
      <c r="H27" s="130"/>
      <c r="I27" s="130"/>
      <c r="J27" s="130"/>
      <c r="K27" s="130"/>
      <c r="L27" s="130"/>
      <c r="N27" s="177"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7" t="s">
        <v>428</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7" t="s">
        <v>429</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7" t="s">
        <v>430</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7"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7" t="s">
        <v>431</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7" t="s">
        <v>431</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7" t="s">
        <v>431</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7" t="s">
        <v>431</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7" t="s">
        <v>431</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7" t="s">
        <v>431</v>
      </c>
    </row>
    <row r="38" spans="1:14" x14ac:dyDescent="0.25">
      <c r="A38" s="1" t="s">
        <v>372</v>
      </c>
      <c r="C38"/>
      <c r="N38" s="177" t="s">
        <v>432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7"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7" t="s">
        <v>435</v>
      </c>
    </row>
    <row r="49" spans="1:14" x14ac:dyDescent="0.25">
      <c r="A49" s="168" t="s">
        <v>394</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4"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84" t="s">
        <v>434</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84" t="s">
        <v>434</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84" t="s">
        <v>434</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84" t="s">
        <v>434</v>
      </c>
    </row>
    <row r="54" spans="1:14" x14ac:dyDescent="0.25">
      <c r="A54" t="str">
        <f t="shared" si="18"/>
        <v/>
      </c>
      <c r="B54" s="128"/>
      <c r="C54" s="106"/>
      <c r="D54" s="106"/>
      <c r="E54" s="106"/>
      <c r="F54" s="106"/>
      <c r="G54" s="106"/>
      <c r="H54" s="106"/>
      <c r="I54" s="106"/>
      <c r="J54" s="106"/>
      <c r="K54" s="106"/>
      <c r="L54" s="106"/>
      <c r="M54" s="27"/>
      <c r="N54" s="184" t="s">
        <v>434</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84" t="s">
        <v>434</v>
      </c>
    </row>
    <row r="56" spans="1:14" x14ac:dyDescent="0.25">
      <c r="B56" s="157"/>
      <c r="C56" s="27"/>
      <c r="D56" s="27"/>
      <c r="E56" s="27"/>
      <c r="F56" s="157"/>
      <c r="G56" s="43"/>
      <c r="N56" s="180"/>
    </row>
    <row r="57" spans="1:14" x14ac:dyDescent="0.25">
      <c r="A57" s="134" t="s">
        <v>395</v>
      </c>
      <c r="B57" s="131"/>
      <c r="C57" s="131"/>
      <c r="D57" s="131"/>
      <c r="E57" s="131"/>
      <c r="F57" s="131"/>
      <c r="G57" s="131"/>
      <c r="H57" s="131"/>
      <c r="I57" s="131"/>
      <c r="J57" s="131"/>
      <c r="K57" s="131"/>
      <c r="L57" s="131"/>
      <c r="M57" s="131"/>
      <c r="N57" s="180" t="s">
        <v>426</v>
      </c>
    </row>
    <row r="58" spans="1:14" x14ac:dyDescent="0.25">
      <c r="A58" s="160" t="str">
        <f>IF(A$5="[Unused]","",A5)</f>
        <v>Upper Basin</v>
      </c>
      <c r="B58" s="132"/>
      <c r="C58" s="132"/>
      <c r="D58" s="132"/>
      <c r="E58" s="132"/>
      <c r="F58" s="132"/>
      <c r="G58" s="132"/>
      <c r="H58" s="132"/>
      <c r="I58" s="132"/>
      <c r="J58" s="132"/>
      <c r="K58" s="132"/>
      <c r="L58" s="132"/>
      <c r="M58" s="133" t="s">
        <v>105</v>
      </c>
      <c r="N58" s="177"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7" t="s">
        <v>450</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7" t="s">
        <v>451</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7" t="s">
        <v>452</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7" t="s">
        <v>453</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7" t="s">
        <v>454</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7" t="s">
        <v>455</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7" t="s">
        <v>436</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7" t="s">
        <v>450</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7" t="s">
        <v>451</v>
      </c>
    </row>
    <row r="69" spans="1:14" x14ac:dyDescent="0.25">
      <c r="A69" s="176" t="str">
        <f>IF(A68="","",$A$61)</f>
        <v xml:space="preserve">   Net trade volume all players (should be zero)</v>
      </c>
      <c r="C69" s="65" t="str">
        <f t="shared" ref="C69:M69" si="27">IF(OR(C$27="",$A69=""),"",C$114)</f>
        <v/>
      </c>
      <c r="D69" s="65" t="str">
        <f t="shared" si="27"/>
        <v/>
      </c>
      <c r="E69" s="65" t="str">
        <f t="shared" si="27"/>
        <v/>
      </c>
      <c r="F69" s="65" t="str">
        <f t="shared" si="27"/>
        <v/>
      </c>
      <c r="G69" s="65" t="str">
        <f t="shared" si="27"/>
        <v/>
      </c>
      <c r="H69" s="65" t="str">
        <f t="shared" si="27"/>
        <v/>
      </c>
      <c r="I69" s="65" t="str">
        <f t="shared" si="27"/>
        <v/>
      </c>
      <c r="J69" s="65" t="str">
        <f t="shared" si="27"/>
        <v/>
      </c>
      <c r="K69" s="65" t="str">
        <f t="shared" si="27"/>
        <v/>
      </c>
      <c r="L69" s="65" t="str">
        <f t="shared" si="27"/>
        <v/>
      </c>
      <c r="M69" t="str">
        <f t="shared" si="27"/>
        <v/>
      </c>
      <c r="N69" s="177" t="s">
        <v>452</v>
      </c>
    </row>
    <row r="70" spans="1:14" x14ac:dyDescent="0.25">
      <c r="A70" s="1" t="str">
        <f>IF(A68="","","   Available Water [maf]")</f>
        <v xml:space="preserve">   Available Water [maf]</v>
      </c>
      <c r="C70" s="14" t="str">
        <f>IF(OR(C$27="",$A70=""),"",C33+C51-C43+C67)</f>
        <v/>
      </c>
      <c r="D70" s="14" t="str">
        <f t="shared" ref="D70:L70" si="28">IF(OR(D$27="",$A70=""),"",D33+D51-D43+D67)</f>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s="177" t="s">
        <v>453</v>
      </c>
    </row>
    <row r="71" spans="1:14" x14ac:dyDescent="0.25">
      <c r="A71" s="168" t="str">
        <f>IF(A70="","",$A$63)</f>
        <v xml:space="preserve">   Enter withdraw [maf] within available water</v>
      </c>
      <c r="C71" s="125"/>
      <c r="D71" s="125"/>
      <c r="E71" s="125"/>
      <c r="F71" s="125"/>
      <c r="G71" s="125"/>
      <c r="H71" s="125"/>
      <c r="I71" s="125"/>
      <c r="J71" s="125"/>
      <c r="K71" s="125"/>
      <c r="L71" s="125"/>
      <c r="N71" s="177" t="s">
        <v>454</v>
      </c>
    </row>
    <row r="72" spans="1:14" x14ac:dyDescent="0.25">
      <c r="A72" s="30" t="str">
        <f>IF(A71="","","   End of Year Balance [maf]")</f>
        <v xml:space="preserve">   End of Year Balance [maf]</v>
      </c>
      <c r="C72" s="64" t="str">
        <f>IF(OR(C$27="",$A72=""),"",C70-C71)</f>
        <v/>
      </c>
      <c r="D72" s="64" t="str">
        <f t="shared" ref="D72:L72" si="29">IF(OR(D$27="",$A72=""),"",D70-D71)</f>
        <v/>
      </c>
      <c r="E72" s="64" t="str">
        <f t="shared" si="29"/>
        <v/>
      </c>
      <c r="F72" s="64" t="str">
        <f t="shared" si="29"/>
        <v/>
      </c>
      <c r="G72" s="64" t="str">
        <f t="shared" si="29"/>
        <v/>
      </c>
      <c r="H72" s="64" t="str">
        <f t="shared" si="29"/>
        <v/>
      </c>
      <c r="I72" s="64" t="str">
        <f t="shared" si="29"/>
        <v/>
      </c>
      <c r="J72" s="64" t="str">
        <f t="shared" si="29"/>
        <v/>
      </c>
      <c r="K72" s="64" t="str">
        <f t="shared" si="29"/>
        <v/>
      </c>
      <c r="L72" s="64" t="str">
        <f t="shared" si="29"/>
        <v/>
      </c>
      <c r="N72" s="177" t="s">
        <v>455</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7" t="s">
        <v>436</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7" t="s">
        <v>450</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7" t="s">
        <v>451</v>
      </c>
    </row>
    <row r="77" spans="1:14" x14ac:dyDescent="0.25">
      <c r="A77" s="176" t="str">
        <f>IF(A76="","",$A$61)</f>
        <v xml:space="preserve">   Net trade volume all players (should be zero)</v>
      </c>
      <c r="C77" s="65" t="str">
        <f t="shared" ref="C77:M77" si="30">IF(OR(C$27="",$A77=""),"",C$114)</f>
        <v/>
      </c>
      <c r="D77" s="65" t="str">
        <f t="shared" si="30"/>
        <v/>
      </c>
      <c r="E77" s="65" t="str">
        <f t="shared" si="30"/>
        <v/>
      </c>
      <c r="F77" s="65" t="str">
        <f t="shared" si="30"/>
        <v/>
      </c>
      <c r="G77" s="65" t="str">
        <f t="shared" si="30"/>
        <v/>
      </c>
      <c r="H77" s="65" t="str">
        <f t="shared" si="30"/>
        <v/>
      </c>
      <c r="I77" s="65" t="str">
        <f t="shared" si="30"/>
        <v/>
      </c>
      <c r="J77" s="65" t="str">
        <f t="shared" si="30"/>
        <v/>
      </c>
      <c r="K77" s="65" t="str">
        <f t="shared" si="30"/>
        <v/>
      </c>
      <c r="L77" s="65" t="str">
        <f t="shared" si="30"/>
        <v/>
      </c>
      <c r="M77" t="str">
        <f t="shared" si="30"/>
        <v/>
      </c>
      <c r="N77" s="177" t="s">
        <v>452</v>
      </c>
    </row>
    <row r="78" spans="1:14" x14ac:dyDescent="0.25">
      <c r="A78" s="1" t="str">
        <f>IF(A76="","","   Available Water [maf]")</f>
        <v xml:space="preserve">   Available Water [maf]</v>
      </c>
      <c r="C78" s="14" t="str">
        <f>IF(OR(C$27="",$A78=""),"",C34+C52-C44+C75)</f>
        <v/>
      </c>
      <c r="D78" s="14" t="str">
        <f t="shared" ref="D78:L78" si="31">IF(OR(D$27="",$A78=""),"",D34+D52-D44+D75)</f>
        <v/>
      </c>
      <c r="E78" s="14" t="str">
        <f t="shared" si="31"/>
        <v/>
      </c>
      <c r="F78" s="14" t="str">
        <f t="shared" si="31"/>
        <v/>
      </c>
      <c r="G78" s="14" t="str">
        <f t="shared" si="31"/>
        <v/>
      </c>
      <c r="H78" s="14" t="str">
        <f t="shared" si="31"/>
        <v/>
      </c>
      <c r="I78" s="14" t="str">
        <f t="shared" si="31"/>
        <v/>
      </c>
      <c r="J78" s="14" t="str">
        <f t="shared" si="31"/>
        <v/>
      </c>
      <c r="K78" s="14" t="str">
        <f t="shared" si="31"/>
        <v/>
      </c>
      <c r="L78" s="14" t="str">
        <f t="shared" si="31"/>
        <v/>
      </c>
      <c r="N78" s="177" t="s">
        <v>453</v>
      </c>
    </row>
    <row r="79" spans="1:14" x14ac:dyDescent="0.25">
      <c r="A79" s="168" t="str">
        <f>IF(A78="","",$A$63)</f>
        <v xml:space="preserve">   Enter withdraw [maf] within available water</v>
      </c>
      <c r="C79" s="125"/>
      <c r="D79" s="125"/>
      <c r="E79" s="125"/>
      <c r="F79" s="125"/>
      <c r="G79" s="125"/>
      <c r="H79" s="125"/>
      <c r="I79" s="125"/>
      <c r="J79" s="125"/>
      <c r="K79" s="125"/>
      <c r="L79" s="125"/>
      <c r="N79" s="177" t="s">
        <v>454</v>
      </c>
    </row>
    <row r="80" spans="1:14" x14ac:dyDescent="0.25">
      <c r="A80" s="30" t="str">
        <f>IF(A79="","","   End of Year Balance [maf]")</f>
        <v xml:space="preserve">   End of Year Balance [maf]</v>
      </c>
      <c r="C80" s="64" t="str">
        <f>IF(OR(C$27="",$A80=""),"",C78-C79)</f>
        <v/>
      </c>
      <c r="D80" s="64" t="str">
        <f t="shared" ref="D80:L80" si="32">IF(OR(D$27="",$A80=""),"",D78-D79)</f>
        <v/>
      </c>
      <c r="E80" s="64" t="str">
        <f t="shared" si="32"/>
        <v/>
      </c>
      <c r="F80" s="64" t="str">
        <f t="shared" si="32"/>
        <v/>
      </c>
      <c r="G80" s="64" t="str">
        <f t="shared" si="32"/>
        <v/>
      </c>
      <c r="H80" s="64" t="str">
        <f t="shared" si="32"/>
        <v/>
      </c>
      <c r="I80" s="64" t="str">
        <f t="shared" si="32"/>
        <v/>
      </c>
      <c r="J80" s="64" t="str">
        <f t="shared" si="32"/>
        <v/>
      </c>
      <c r="K80" s="64" t="str">
        <f t="shared" si="32"/>
        <v/>
      </c>
      <c r="L80" s="64" t="str">
        <f t="shared" si="32"/>
        <v/>
      </c>
      <c r="N80" s="177" t="s">
        <v>455</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7" t="s">
        <v>436</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7" t="s">
        <v>450</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7" t="s">
        <v>451</v>
      </c>
    </row>
    <row r="85" spans="1:14" x14ac:dyDescent="0.25">
      <c r="A85" s="176" t="str">
        <f>IF(A84="","",$A$61)</f>
        <v xml:space="preserve">   Net trade volume all players (should be zero)</v>
      </c>
      <c r="C85" s="65" t="str">
        <f t="shared" ref="C85:M85" si="33">IF(OR(C$27="",$A85=""),"",C$114)</f>
        <v/>
      </c>
      <c r="D85" s="65" t="str">
        <f t="shared" si="33"/>
        <v/>
      </c>
      <c r="E85" s="65" t="str">
        <f t="shared" si="33"/>
        <v/>
      </c>
      <c r="F85" s="65" t="str">
        <f t="shared" si="33"/>
        <v/>
      </c>
      <c r="G85" s="65" t="str">
        <f t="shared" si="33"/>
        <v/>
      </c>
      <c r="H85" s="65" t="str">
        <f t="shared" si="33"/>
        <v/>
      </c>
      <c r="I85" s="65" t="str">
        <f t="shared" si="33"/>
        <v/>
      </c>
      <c r="J85" s="65" t="str">
        <f t="shared" si="33"/>
        <v/>
      </c>
      <c r="K85" s="65" t="str">
        <f t="shared" si="33"/>
        <v/>
      </c>
      <c r="L85" s="65" t="str">
        <f t="shared" si="33"/>
        <v/>
      </c>
      <c r="M85" t="str">
        <f t="shared" si="33"/>
        <v/>
      </c>
      <c r="N85" s="177" t="s">
        <v>452</v>
      </c>
    </row>
    <row r="86" spans="1:14" x14ac:dyDescent="0.25">
      <c r="A86" s="1" t="str">
        <f>IF(A84="","","   Available Water [maf]")</f>
        <v xml:space="preserve">   Available Water [maf]</v>
      </c>
      <c r="C86" s="158" t="str">
        <f>IF(OR(C$27="",$A86=""),"",C35+C53-C45+C83)</f>
        <v/>
      </c>
      <c r="D86" s="158" t="str">
        <f t="shared" ref="D86:L86" si="34">IF(OR(D$27="",$A86=""),"",D35+D53-D45+D83)</f>
        <v/>
      </c>
      <c r="E86" s="158" t="str">
        <f t="shared" si="34"/>
        <v/>
      </c>
      <c r="F86" s="158" t="str">
        <f t="shared" si="34"/>
        <v/>
      </c>
      <c r="G86" s="158" t="str">
        <f t="shared" si="34"/>
        <v/>
      </c>
      <c r="H86" s="158" t="str">
        <f t="shared" si="34"/>
        <v/>
      </c>
      <c r="I86" s="158" t="str">
        <f t="shared" si="34"/>
        <v/>
      </c>
      <c r="J86" s="158" t="str">
        <f t="shared" si="34"/>
        <v/>
      </c>
      <c r="K86" s="158" t="str">
        <f t="shared" si="34"/>
        <v/>
      </c>
      <c r="L86" s="158" t="str">
        <f t="shared" si="34"/>
        <v/>
      </c>
      <c r="N86" s="177" t="s">
        <v>453</v>
      </c>
    </row>
    <row r="87" spans="1:14" x14ac:dyDescent="0.25">
      <c r="A87" s="168" t="str">
        <f>IF(A86="","",$A$63)</f>
        <v xml:space="preserve">   Enter withdraw [maf] within available water</v>
      </c>
      <c r="C87" s="159"/>
      <c r="D87" s="159"/>
      <c r="E87" s="159"/>
      <c r="F87" s="159"/>
      <c r="G87" s="159"/>
      <c r="H87" s="159"/>
      <c r="I87" s="159"/>
      <c r="J87" s="159"/>
      <c r="K87" s="159"/>
      <c r="L87" s="159"/>
      <c r="N87" s="177" t="s">
        <v>454</v>
      </c>
    </row>
    <row r="88" spans="1:14" x14ac:dyDescent="0.25">
      <c r="A88" s="30" t="str">
        <f>IF(A87="","","   End of Year Balance [maf]")</f>
        <v xml:space="preserve">   End of Year Balance [maf]</v>
      </c>
      <c r="C88" s="64" t="str">
        <f>IF(OR(C$27="",$A88=""),"",C86-C87)</f>
        <v/>
      </c>
      <c r="D88" s="64" t="str">
        <f t="shared" ref="D88:L88" si="35">IF(OR(D$27="",$A88=""),"",D86-D87)</f>
        <v/>
      </c>
      <c r="E88" s="64" t="str">
        <f t="shared" si="35"/>
        <v/>
      </c>
      <c r="F88" s="64" t="str">
        <f t="shared" si="35"/>
        <v/>
      </c>
      <c r="G88" s="64" t="str">
        <f t="shared" si="35"/>
        <v/>
      </c>
      <c r="H88" s="64" t="str">
        <f t="shared" si="35"/>
        <v/>
      </c>
      <c r="I88" s="64" t="str">
        <f t="shared" si="35"/>
        <v/>
      </c>
      <c r="J88" s="64" t="str">
        <f t="shared" si="35"/>
        <v/>
      </c>
      <c r="K88" s="64" t="str">
        <f t="shared" si="35"/>
        <v/>
      </c>
      <c r="L88" s="64" t="str">
        <f t="shared" si="35"/>
        <v/>
      </c>
      <c r="N88" s="177" t="s">
        <v>455</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c r="N90" s="172" t="s">
        <v>169</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6">IF(A92="","",N84)</f>
        <v/>
      </c>
    </row>
    <row r="93" spans="1:14" x14ac:dyDescent="0.25">
      <c r="A93" s="176" t="str">
        <f>IF(A92="","",$A$61)</f>
        <v/>
      </c>
      <c r="C93" s="65" t="str">
        <f t="shared" ref="C93:M93" si="37">IF(OR(C$27="",$A93=""),"",C$114)</f>
        <v/>
      </c>
      <c r="D93" s="65" t="str">
        <f t="shared" si="37"/>
        <v/>
      </c>
      <c r="E93" s="65" t="str">
        <f t="shared" si="37"/>
        <v/>
      </c>
      <c r="F93" s="65" t="str">
        <f t="shared" si="37"/>
        <v/>
      </c>
      <c r="G93" s="65" t="str">
        <f t="shared" si="37"/>
        <v/>
      </c>
      <c r="H93" s="65" t="str">
        <f t="shared" si="37"/>
        <v/>
      </c>
      <c r="I93" s="65" t="str">
        <f t="shared" si="37"/>
        <v/>
      </c>
      <c r="J93" s="65" t="str">
        <f t="shared" si="37"/>
        <v/>
      </c>
      <c r="K93" s="65" t="str">
        <f t="shared" si="37"/>
        <v/>
      </c>
      <c r="L93" s="65" t="str">
        <f t="shared" si="37"/>
        <v/>
      </c>
      <c r="M93" t="str">
        <f t="shared" si="37"/>
        <v/>
      </c>
      <c r="N93" s="172" t="str">
        <f t="shared" si="36"/>
        <v/>
      </c>
    </row>
    <row r="94" spans="1:14" x14ac:dyDescent="0.25">
      <c r="A94" s="1" t="str">
        <f>IF(A92="","","   Available Water [maf]")</f>
        <v/>
      </c>
      <c r="C94" s="14" t="str">
        <f>IF(OR(C$27="",$A94=""),"",C36+C54-C46+C91)</f>
        <v/>
      </c>
      <c r="D94" s="14" t="str">
        <f t="shared" ref="D94:L94" si="38">IF(OR(D$27="",$A94=""),"",D36+D54-D46+D91)</f>
        <v/>
      </c>
      <c r="E94" s="14" t="str">
        <f t="shared" si="38"/>
        <v/>
      </c>
      <c r="F94" s="14" t="str">
        <f t="shared" si="38"/>
        <v/>
      </c>
      <c r="G94" s="14" t="str">
        <f t="shared" si="38"/>
        <v/>
      </c>
      <c r="H94" s="14" t="str">
        <f t="shared" si="38"/>
        <v/>
      </c>
      <c r="I94" s="14" t="str">
        <f t="shared" si="38"/>
        <v/>
      </c>
      <c r="J94" s="14" t="str">
        <f t="shared" si="38"/>
        <v/>
      </c>
      <c r="K94" s="14" t="str">
        <f t="shared" si="38"/>
        <v/>
      </c>
      <c r="L94" s="14" t="str">
        <f t="shared" si="38"/>
        <v/>
      </c>
      <c r="N94" s="172" t="str">
        <f t="shared" si="36"/>
        <v/>
      </c>
    </row>
    <row r="95" spans="1:14" x14ac:dyDescent="0.25">
      <c r="A95" s="168" t="str">
        <f>IF(A94="","",$A$63)</f>
        <v/>
      </c>
      <c r="C95" s="125"/>
      <c r="D95" s="125"/>
      <c r="E95" s="125"/>
      <c r="F95" s="125"/>
      <c r="G95" s="125"/>
      <c r="H95" s="125"/>
      <c r="I95" s="125"/>
      <c r="J95" s="125"/>
      <c r="K95" s="125"/>
      <c r="L95" s="125"/>
      <c r="N95" s="172" t="str">
        <f t="shared" si="36"/>
        <v/>
      </c>
    </row>
    <row r="96" spans="1:14" x14ac:dyDescent="0.25">
      <c r="A96" s="30" t="str">
        <f>IF(A95="","","   End of Year Balance [maf]")</f>
        <v/>
      </c>
      <c r="C96" s="64" t="str">
        <f>IF(OR(C$27="",$A96=""),"",C94-C95)</f>
        <v/>
      </c>
      <c r="D96" s="64" t="str">
        <f t="shared" ref="D96:L96" si="39">IF(OR(D$27="",$A96=""),"",D94-D95)</f>
        <v/>
      </c>
      <c r="E96" s="64" t="str">
        <f t="shared" si="39"/>
        <v/>
      </c>
      <c r="F96" s="64" t="str">
        <f t="shared" si="39"/>
        <v/>
      </c>
      <c r="G96" s="64" t="str">
        <f t="shared" si="39"/>
        <v/>
      </c>
      <c r="H96" s="64" t="str">
        <f t="shared" si="39"/>
        <v/>
      </c>
      <c r="I96" s="64" t="str">
        <f t="shared" si="39"/>
        <v/>
      </c>
      <c r="J96" s="64" t="str">
        <f t="shared" si="39"/>
        <v/>
      </c>
      <c r="K96" s="64" t="str">
        <f t="shared" si="39"/>
        <v/>
      </c>
      <c r="L96" s="64" t="str">
        <f t="shared" si="39"/>
        <v/>
      </c>
      <c r="N96" s="172" t="str">
        <f t="shared" si="36"/>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7" t="s">
        <v>437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0">IF(A100="","",N92)</f>
        <v/>
      </c>
    </row>
    <row r="101" spans="1:14" x14ac:dyDescent="0.25">
      <c r="A101" s="176" t="str">
        <f>IF(A100="","",$A$61)</f>
        <v xml:space="preserve">   Net trade volume all players (should be zero)</v>
      </c>
      <c r="C101" s="65" t="str">
        <f t="shared" ref="C101:M101" si="41">IF(OR(C$27="",$A101=""),"",C$114)</f>
        <v/>
      </c>
      <c r="D101" s="65" t="str">
        <f t="shared" si="41"/>
        <v/>
      </c>
      <c r="E101" s="65" t="str">
        <f t="shared" si="41"/>
        <v/>
      </c>
      <c r="F101" s="65" t="str">
        <f t="shared" si="41"/>
        <v/>
      </c>
      <c r="G101" s="65" t="str">
        <f t="shared" si="41"/>
        <v/>
      </c>
      <c r="H101" s="65" t="str">
        <f t="shared" si="41"/>
        <v/>
      </c>
      <c r="I101" s="65" t="str">
        <f t="shared" si="41"/>
        <v/>
      </c>
      <c r="J101" s="65" t="str">
        <f t="shared" si="41"/>
        <v/>
      </c>
      <c r="K101" s="65" t="str">
        <f t="shared" si="41"/>
        <v/>
      </c>
      <c r="L101" s="65" t="str">
        <f t="shared" si="41"/>
        <v/>
      </c>
      <c r="M101" t="str">
        <f t="shared" si="41"/>
        <v/>
      </c>
      <c r="N101" s="172" t="str">
        <f t="shared" si="40"/>
        <v/>
      </c>
    </row>
    <row r="102" spans="1:14" x14ac:dyDescent="0.25">
      <c r="A102" s="1" t="str">
        <f>IF(A100="","","   Available Water [maf]")</f>
        <v xml:space="preserve">   Available Water [maf]</v>
      </c>
      <c r="C102" s="14" t="str">
        <f>IF(OR(C$27="",$A102=""),"",C37+C55-C47+C99)</f>
        <v/>
      </c>
      <c r="D102" s="14" t="str">
        <f t="shared" ref="D102:L102" si="42">IF(OR(D$27="",$A102=""),"",D37+D55-D47+D99)</f>
        <v/>
      </c>
      <c r="E102" s="14" t="str">
        <f t="shared" si="42"/>
        <v/>
      </c>
      <c r="F102" s="14" t="str">
        <f t="shared" si="42"/>
        <v/>
      </c>
      <c r="G102" s="14" t="str">
        <f t="shared" si="42"/>
        <v/>
      </c>
      <c r="H102" s="14" t="str">
        <f t="shared" si="42"/>
        <v/>
      </c>
      <c r="I102" s="14" t="str">
        <f t="shared" si="42"/>
        <v/>
      </c>
      <c r="J102" s="14" t="str">
        <f t="shared" si="42"/>
        <v/>
      </c>
      <c r="K102" s="14" t="str">
        <f t="shared" si="42"/>
        <v/>
      </c>
      <c r="L102" s="14" t="str">
        <f t="shared" si="42"/>
        <v/>
      </c>
      <c r="N102" s="172" t="str">
        <f t="shared" si="40"/>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0"/>
        <v/>
      </c>
    </row>
    <row r="104" spans="1:14" x14ac:dyDescent="0.25">
      <c r="A104" s="30" t="str">
        <f>IF(A103="","","   End of Year Balance [maf]")</f>
        <v xml:space="preserve">   End of Year Balance [maf]</v>
      </c>
      <c r="C104" s="64" t="str">
        <f>IF(OR(C$27="",$A104=""),"",C102-C103)</f>
        <v/>
      </c>
      <c r="D104" s="64" t="str">
        <f t="shared" ref="D104:L104" si="43">IF(OR(D$27="",$A104=""),"",D102-D103)</f>
        <v/>
      </c>
      <c r="E104" s="64" t="str">
        <f t="shared" si="43"/>
        <v/>
      </c>
      <c r="F104" s="64" t="str">
        <f t="shared" si="43"/>
        <v/>
      </c>
      <c r="G104" s="64" t="str">
        <f t="shared" si="43"/>
        <v/>
      </c>
      <c r="H104" s="64" t="str">
        <f t="shared" si="43"/>
        <v/>
      </c>
      <c r="I104" s="64" t="str">
        <f t="shared" si="43"/>
        <v/>
      </c>
      <c r="J104" s="64" t="str">
        <f t="shared" si="43"/>
        <v/>
      </c>
      <c r="K104" s="64" t="str">
        <f t="shared" si="43"/>
        <v/>
      </c>
      <c r="L104" s="64" t="str">
        <f t="shared" si="43"/>
        <v/>
      </c>
      <c r="N104" s="172" t="str">
        <f t="shared" si="40"/>
        <v/>
      </c>
    </row>
    <row r="105" spans="1:14" x14ac:dyDescent="0.25">
      <c r="C105"/>
    </row>
    <row r="106" spans="1:14" x14ac:dyDescent="0.25">
      <c r="A106" s="134" t="s">
        <v>439</v>
      </c>
      <c r="B106" s="134"/>
      <c r="C106" s="134"/>
      <c r="D106" s="134"/>
      <c r="E106" s="134"/>
      <c r="F106" s="134"/>
      <c r="G106" s="134"/>
      <c r="H106" s="134"/>
      <c r="I106" s="134"/>
      <c r="J106" s="134"/>
      <c r="K106" s="134"/>
      <c r="L106" s="134"/>
      <c r="M106" s="134"/>
      <c r="N106" s="177" t="s">
        <v>438</v>
      </c>
    </row>
    <row r="107" spans="1:14" x14ac:dyDescent="0.25">
      <c r="A107" s="1" t="s">
        <v>350</v>
      </c>
      <c r="C107"/>
      <c r="M107" t="s">
        <v>179</v>
      </c>
    </row>
    <row r="108" spans="1:14" x14ac:dyDescent="0.25">
      <c r="A108" t="str">
        <f t="shared" ref="A108:A113" si="44">IF(A5="","","    "&amp;A5)</f>
        <v xml:space="preserve">    Upper Basin</v>
      </c>
      <c r="B108" s="1"/>
      <c r="C108" s="65" t="str">
        <f t="shared" ref="C108:L108" ca="1" si="45">IF(OR(C$27="",$A108=""),"",OFFSET(C$59,8*(ROW(B108)-ROW(B$108)),0))</f>
        <v/>
      </c>
      <c r="D108" s="65" t="str">
        <f t="shared" ca="1" si="45"/>
        <v/>
      </c>
      <c r="E108" s="65" t="str">
        <f t="shared" ca="1" si="45"/>
        <v/>
      </c>
      <c r="F108" s="65" t="str">
        <f t="shared" ca="1" si="45"/>
        <v/>
      </c>
      <c r="G108" s="65" t="str">
        <f t="shared" ca="1" si="45"/>
        <v/>
      </c>
      <c r="H108" s="65" t="str">
        <f t="shared" ca="1" si="45"/>
        <v/>
      </c>
      <c r="I108" s="65" t="str">
        <f t="shared" ca="1" si="45"/>
        <v/>
      </c>
      <c r="J108" s="65" t="str">
        <f t="shared" ca="1" si="45"/>
        <v/>
      </c>
      <c r="K108" s="65" t="str">
        <f t="shared" ca="1" si="45"/>
        <v/>
      </c>
      <c r="L108" s="185" t="str">
        <f t="shared" ca="1" si="45"/>
        <v/>
      </c>
      <c r="M108" s="187">
        <f ca="1">IF(OR($A108=""),"",SUM(C108:L108))</f>
        <v>0</v>
      </c>
      <c r="N108" s="186"/>
    </row>
    <row r="109" spans="1:14" x14ac:dyDescent="0.25">
      <c r="A109" t="str">
        <f t="shared" si="44"/>
        <v xml:space="preserve">    Lower Basin</v>
      </c>
      <c r="B109" s="1"/>
      <c r="C109" s="65" t="str">
        <f t="shared" ref="C109:L109" ca="1" si="46">IF(OR(C$27="",$A109=""),"",OFFSET(C$59,8*(ROW(B109)-ROW(B$108)),0))</f>
        <v/>
      </c>
      <c r="D109" s="65" t="str">
        <f t="shared" ca="1" si="46"/>
        <v/>
      </c>
      <c r="E109" s="65" t="str">
        <f t="shared" ca="1" si="46"/>
        <v/>
      </c>
      <c r="F109" s="65" t="str">
        <f t="shared" ca="1" si="46"/>
        <v/>
      </c>
      <c r="G109" s="65" t="str">
        <f t="shared" ca="1" si="46"/>
        <v/>
      </c>
      <c r="H109" s="65" t="str">
        <f t="shared" ca="1" si="46"/>
        <v/>
      </c>
      <c r="I109" s="65" t="str">
        <f t="shared" ca="1" si="46"/>
        <v/>
      </c>
      <c r="J109" s="65" t="str">
        <f t="shared" ca="1" si="46"/>
        <v/>
      </c>
      <c r="K109" s="65" t="str">
        <f t="shared" ca="1" si="46"/>
        <v/>
      </c>
      <c r="L109" s="185" t="str">
        <f t="shared" ca="1" si="46"/>
        <v/>
      </c>
      <c r="M109" s="187">
        <f t="shared" ref="M109:M113" ca="1" si="47">IF(OR($A109=""),"",SUM(C109:L109))</f>
        <v>0</v>
      </c>
      <c r="N109" s="186"/>
    </row>
    <row r="110" spans="1:14" x14ac:dyDescent="0.25">
      <c r="A110" t="str">
        <f t="shared" si="44"/>
        <v xml:space="preserve">    Mexico</v>
      </c>
      <c r="B110" s="1"/>
      <c r="C110" s="65" t="str">
        <f t="shared" ref="C110:L110" ca="1" si="48">IF(OR(C$27="",$A110=""),"",OFFSET(C$59,8*(ROW(B110)-ROW(B$108)),0))</f>
        <v/>
      </c>
      <c r="D110" s="65" t="str">
        <f t="shared" ca="1" si="48"/>
        <v/>
      </c>
      <c r="E110" s="65" t="str">
        <f t="shared" ca="1" si="48"/>
        <v/>
      </c>
      <c r="F110" s="65" t="str">
        <f t="shared" ca="1" si="48"/>
        <v/>
      </c>
      <c r="G110" s="65" t="str">
        <f t="shared" ca="1" si="48"/>
        <v/>
      </c>
      <c r="H110" s="65" t="str">
        <f t="shared" ca="1" si="48"/>
        <v/>
      </c>
      <c r="I110" s="65" t="str">
        <f t="shared" ca="1" si="48"/>
        <v/>
      </c>
      <c r="J110" s="65" t="str">
        <f t="shared" ca="1" si="48"/>
        <v/>
      </c>
      <c r="K110" s="65" t="str">
        <f t="shared" ca="1" si="48"/>
        <v/>
      </c>
      <c r="L110" s="185" t="str">
        <f t="shared" ca="1" si="48"/>
        <v/>
      </c>
      <c r="M110" s="187">
        <f t="shared" ca="1" si="47"/>
        <v>0</v>
      </c>
      <c r="N110" s="186"/>
    </row>
    <row r="111" spans="1:14" x14ac:dyDescent="0.25">
      <c r="A111" t="str">
        <f t="shared" si="44"/>
        <v xml:space="preserve">    Colorado River Delta</v>
      </c>
      <c r="B111" s="1"/>
      <c r="C111" s="65" t="str">
        <f t="shared" ref="C111:L111" ca="1" si="49">IF(OR(C$27="",$A111=""),"",OFFSET(C$59,8*(ROW(B111)-ROW(B$108)),0))</f>
        <v/>
      </c>
      <c r="D111" s="65" t="str">
        <f t="shared" ca="1" si="49"/>
        <v/>
      </c>
      <c r="E111" s="65" t="str">
        <f t="shared" ca="1" si="49"/>
        <v/>
      </c>
      <c r="F111" s="65" t="str">
        <f t="shared" ca="1" si="49"/>
        <v/>
      </c>
      <c r="G111" s="65" t="str">
        <f t="shared" ca="1" si="49"/>
        <v/>
      </c>
      <c r="H111" s="65" t="str">
        <f t="shared" ca="1" si="49"/>
        <v/>
      </c>
      <c r="I111" s="65" t="str">
        <f t="shared" ca="1" si="49"/>
        <v/>
      </c>
      <c r="J111" s="65" t="str">
        <f t="shared" ca="1" si="49"/>
        <v/>
      </c>
      <c r="K111" s="65" t="str">
        <f t="shared" ca="1" si="49"/>
        <v/>
      </c>
      <c r="L111" s="185" t="str">
        <f t="shared" ca="1" si="49"/>
        <v/>
      </c>
      <c r="M111" s="187">
        <f t="shared" ca="1" si="47"/>
        <v>0</v>
      </c>
      <c r="N111" s="186"/>
    </row>
    <row r="112" spans="1:14" x14ac:dyDescent="0.25">
      <c r="A112" t="str">
        <f t="shared" si="44"/>
        <v/>
      </c>
      <c r="B112" s="1"/>
      <c r="C112" s="65" t="str">
        <f t="shared" ref="C112:L112" ca="1" si="50">IF(OR(C$27="",$A112=""),"",OFFSET(C$59,8*(ROW(B112)-ROW(B$108)),0))</f>
        <v/>
      </c>
      <c r="D112" s="65" t="str">
        <f t="shared" ca="1" si="50"/>
        <v/>
      </c>
      <c r="E112" s="65" t="str">
        <f t="shared" ca="1" si="50"/>
        <v/>
      </c>
      <c r="F112" s="65" t="str">
        <f t="shared" ca="1" si="50"/>
        <v/>
      </c>
      <c r="G112" s="65" t="str">
        <f t="shared" ca="1" si="50"/>
        <v/>
      </c>
      <c r="H112" s="65" t="str">
        <f t="shared" ca="1" si="50"/>
        <v/>
      </c>
      <c r="I112" s="65" t="str">
        <f t="shared" ca="1" si="50"/>
        <v/>
      </c>
      <c r="J112" s="65" t="str">
        <f t="shared" ca="1" si="50"/>
        <v/>
      </c>
      <c r="K112" s="65" t="str">
        <f t="shared" ca="1" si="50"/>
        <v/>
      </c>
      <c r="L112" s="185" t="str">
        <f t="shared" ca="1" si="50"/>
        <v/>
      </c>
      <c r="M112" s="187" t="str">
        <f t="shared" si="47"/>
        <v/>
      </c>
      <c r="N112" s="186"/>
    </row>
    <row r="113" spans="1:14" x14ac:dyDescent="0.25">
      <c r="A113" t="str">
        <f t="shared" si="44"/>
        <v xml:space="preserve">    Shared, Reserve</v>
      </c>
      <c r="B113" s="1"/>
      <c r="C113" s="65" t="str">
        <f t="shared" ref="C113:L113" ca="1" si="51">IF(OR(C$27="",$A113=""),"",OFFSET(C$59,8*(ROW(B113)-ROW(B$108)),0))</f>
        <v/>
      </c>
      <c r="D113" s="65" t="str">
        <f t="shared" ca="1" si="51"/>
        <v/>
      </c>
      <c r="E113" s="65" t="str">
        <f t="shared" ca="1" si="51"/>
        <v/>
      </c>
      <c r="F113" s="65" t="str">
        <f t="shared" ca="1" si="51"/>
        <v/>
      </c>
      <c r="G113" s="65" t="str">
        <f t="shared" ca="1" si="51"/>
        <v/>
      </c>
      <c r="H113" s="65" t="str">
        <f t="shared" ca="1" si="51"/>
        <v/>
      </c>
      <c r="I113" s="65" t="str">
        <f t="shared" ca="1" si="51"/>
        <v/>
      </c>
      <c r="J113" s="65" t="str">
        <f t="shared" ca="1" si="51"/>
        <v/>
      </c>
      <c r="K113" s="65" t="str">
        <f t="shared" ca="1" si="51"/>
        <v/>
      </c>
      <c r="L113" s="185" t="str">
        <f t="shared" ca="1" si="51"/>
        <v/>
      </c>
      <c r="M113" s="187">
        <f t="shared" ca="1" si="47"/>
        <v>0</v>
      </c>
      <c r="N113" s="186"/>
    </row>
    <row r="114" spans="1:14" x14ac:dyDescent="0.25">
      <c r="A114" t="s">
        <v>143</v>
      </c>
      <c r="B114" s="1"/>
      <c r="C114" s="49" t="str">
        <f>IF(C$27&lt;&gt;"",SUM(C108:C113),"")</f>
        <v/>
      </c>
      <c r="D114" s="49" t="str">
        <f t="shared" ref="D114:L114" si="52">IF(D$27&lt;&gt;"",SUM(D108:D113),"")</f>
        <v/>
      </c>
      <c r="E114" s="113" t="str">
        <f t="shared" si="52"/>
        <v/>
      </c>
      <c r="F114" s="49" t="str">
        <f t="shared" si="52"/>
        <v/>
      </c>
      <c r="G114" s="49" t="str">
        <f t="shared" si="52"/>
        <v/>
      </c>
      <c r="H114" s="49" t="str">
        <f t="shared" si="52"/>
        <v/>
      </c>
      <c r="I114" s="49" t="str">
        <f t="shared" si="52"/>
        <v/>
      </c>
      <c r="J114" s="49" t="str">
        <f t="shared" si="52"/>
        <v/>
      </c>
      <c r="K114" s="49" t="str">
        <f t="shared" si="52"/>
        <v/>
      </c>
      <c r="L114" s="49" t="str">
        <f t="shared" si="52"/>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3">IF(OR(C$27="",$A116=""),"",OFFSET(C$63,8*(ROW(B116)-ROW(B$116)),0))</f>
        <v/>
      </c>
      <c r="D116" s="65" t="str">
        <f t="shared" ca="1" si="53"/>
        <v/>
      </c>
      <c r="E116" s="65" t="str">
        <f t="shared" ca="1" si="53"/>
        <v/>
      </c>
      <c r="F116" s="65" t="str">
        <f t="shared" ca="1" si="53"/>
        <v/>
      </c>
      <c r="G116" s="65" t="str">
        <f t="shared" ca="1" si="53"/>
        <v/>
      </c>
      <c r="H116" s="65" t="str">
        <f t="shared" ca="1" si="53"/>
        <v/>
      </c>
      <c r="I116" s="65" t="str">
        <f t="shared" ca="1" si="53"/>
        <v/>
      </c>
      <c r="J116" s="65" t="str">
        <f t="shared" ca="1" si="53"/>
        <v/>
      </c>
      <c r="K116" s="65" t="str">
        <f t="shared" ca="1" si="53"/>
        <v/>
      </c>
      <c r="L116" s="65" t="str">
        <f t="shared" ca="1" si="53"/>
        <v/>
      </c>
    </row>
    <row r="117" spans="1:14" x14ac:dyDescent="0.25">
      <c r="A117" t="str">
        <f>IF(A6="","","    "&amp;A6&amp;" - Release from Mead")</f>
        <v xml:space="preserve">    Lower Basin - Release from Mead</v>
      </c>
      <c r="C117" s="65" t="str">
        <f t="shared" ref="C117:L117" ca="1" si="54">IF(OR(C$27="",$A117=""),"",OFFSET(C$63,8*(ROW(B117)-ROW(B$116)),0))</f>
        <v/>
      </c>
      <c r="D117" s="65" t="str">
        <f t="shared" ca="1" si="54"/>
        <v/>
      </c>
      <c r="E117" s="65" t="str">
        <f t="shared" ca="1" si="54"/>
        <v/>
      </c>
      <c r="F117" s="65" t="str">
        <f t="shared" ca="1" si="54"/>
        <v/>
      </c>
      <c r="G117" s="65" t="str">
        <f t="shared" ca="1" si="54"/>
        <v/>
      </c>
      <c r="H117" s="65" t="str">
        <f t="shared" ca="1" si="54"/>
        <v/>
      </c>
      <c r="I117" s="65" t="str">
        <f t="shared" ca="1" si="54"/>
        <v/>
      </c>
      <c r="J117" s="65" t="str">
        <f t="shared" ca="1" si="54"/>
        <v/>
      </c>
      <c r="K117" s="65" t="str">
        <f t="shared" ca="1" si="54"/>
        <v/>
      </c>
      <c r="L117" s="65" t="str">
        <f t="shared" ca="1" si="54"/>
        <v/>
      </c>
    </row>
    <row r="118" spans="1:14" x14ac:dyDescent="0.25">
      <c r="A118" t="str">
        <f>IF(A7="","","    "&amp;A7&amp;" - Release from Mead")</f>
        <v xml:space="preserve">    Mexico - Release from Mead</v>
      </c>
      <c r="C118" s="65" t="str">
        <f t="shared" ref="C118:L118" ca="1" si="55">IF(OR(C$27="",$A118=""),"",OFFSET(C$63,8*(ROW(B118)-ROW(B$116)),0))</f>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4" x14ac:dyDescent="0.25">
      <c r="A119" t="str">
        <f>IF(A8="","","    "&amp;A8&amp;" - Release from Mead")</f>
        <v xml:space="preserve">    Colorado River Delta - Release from Mead</v>
      </c>
      <c r="C119" s="65" t="str">
        <f t="shared" ref="C119:L119" ca="1" si="56">IF(OR(C$27="",$A119=""),"",OFFSET(C$63,8*(ROW(B119)-ROW(B$116)),0))</f>
        <v/>
      </c>
      <c r="D119" s="65" t="str">
        <f t="shared" ca="1" si="56"/>
        <v/>
      </c>
      <c r="E119" s="65" t="str">
        <f t="shared" ca="1" si="56"/>
        <v/>
      </c>
      <c r="F119" s="65" t="str">
        <f t="shared" ca="1" si="56"/>
        <v/>
      </c>
      <c r="G119" s="65" t="str">
        <f t="shared" ca="1" si="56"/>
        <v/>
      </c>
      <c r="H119" s="65" t="str">
        <f t="shared" ca="1" si="56"/>
        <v/>
      </c>
      <c r="I119" s="65" t="str">
        <f t="shared" ca="1" si="56"/>
        <v/>
      </c>
      <c r="J119" s="65" t="str">
        <f t="shared" ca="1" si="56"/>
        <v/>
      </c>
      <c r="K119" s="65" t="str">
        <f t="shared" ca="1" si="56"/>
        <v/>
      </c>
      <c r="L119" s="65" t="str">
        <f t="shared" ca="1" si="56"/>
        <v/>
      </c>
    </row>
    <row r="120" spans="1:14" x14ac:dyDescent="0.25">
      <c r="A120" t="str">
        <f>IF(A9="","","    "&amp;A9&amp;" - Release from Mead")</f>
        <v/>
      </c>
      <c r="C120" s="65" t="str">
        <f t="shared" ref="C120:L120" ca="1" si="57">IF(OR(C$27="",$A120=""),"",OFFSET(C$63,8*(ROW(B120)-ROW(B$116)),0))</f>
        <v/>
      </c>
      <c r="D120" s="65" t="str">
        <f t="shared" ca="1" si="57"/>
        <v/>
      </c>
      <c r="E120" s="65" t="str">
        <f t="shared" ca="1" si="57"/>
        <v/>
      </c>
      <c r="F120" s="65" t="str">
        <f t="shared" ca="1" si="57"/>
        <v/>
      </c>
      <c r="G120" s="65" t="str">
        <f t="shared" ca="1" si="57"/>
        <v/>
      </c>
      <c r="H120" s="65" t="str">
        <f t="shared" ca="1" si="57"/>
        <v/>
      </c>
      <c r="I120" s="65" t="str">
        <f t="shared" ca="1" si="57"/>
        <v/>
      </c>
      <c r="J120" s="65" t="str">
        <f t="shared" ca="1" si="57"/>
        <v/>
      </c>
      <c r="K120" s="65" t="str">
        <f t="shared" ca="1" si="57"/>
        <v/>
      </c>
      <c r="L120" s="65" t="str">
        <f t="shared" ca="1" si="57"/>
        <v/>
      </c>
    </row>
    <row r="121" spans="1:14" x14ac:dyDescent="0.25">
      <c r="A121" t="str">
        <f>IF(A10="","","    "&amp;A10&amp;" - Release from Mead")</f>
        <v xml:space="preserve">    Shared, Reserve - Release from Mead</v>
      </c>
      <c r="C121" s="65" t="str">
        <f t="shared" ref="C121:L121" ca="1" si="58">IF(OR(C$27="",$A121=""),"",OFFSET(C$63,8*(ROW(B121)-ROW(B$116)),0))</f>
        <v/>
      </c>
      <c r="D121" s="65" t="str">
        <f t="shared" ca="1" si="58"/>
        <v/>
      </c>
      <c r="E121" s="65" t="str">
        <f t="shared" ca="1" si="58"/>
        <v/>
      </c>
      <c r="F121" s="65" t="str">
        <f t="shared" ca="1" si="58"/>
        <v/>
      </c>
      <c r="G121" s="65" t="str">
        <f t="shared" ca="1" si="58"/>
        <v/>
      </c>
      <c r="H121" s="65" t="str">
        <f t="shared" ca="1" si="58"/>
        <v/>
      </c>
      <c r="I121" s="65" t="str">
        <f t="shared" ca="1" si="58"/>
        <v/>
      </c>
      <c r="J121" s="65" t="str">
        <f t="shared" ca="1" si="58"/>
        <v/>
      </c>
      <c r="K121" s="65" t="str">
        <f t="shared" ca="1" si="58"/>
        <v/>
      </c>
      <c r="L121" s="65" t="str">
        <f t="shared" ca="1" si="58"/>
        <v/>
      </c>
    </row>
    <row r="122" spans="1:14" x14ac:dyDescent="0.25">
      <c r="A122" s="1" t="s">
        <v>137</v>
      </c>
      <c r="B122" s="1"/>
      <c r="D122" s="2"/>
      <c r="E122" s="2"/>
      <c r="F122" s="2"/>
      <c r="G122" s="2"/>
      <c r="H122" s="2"/>
      <c r="I122" s="2"/>
      <c r="J122" s="2"/>
      <c r="K122" s="2"/>
      <c r="L122" s="2"/>
    </row>
    <row r="123" spans="1:14" x14ac:dyDescent="0.25">
      <c r="A123" t="str">
        <f t="shared" ref="A123:A128" si="59">IF(A5="","","    "&amp;A5)</f>
        <v xml:space="preserve">    Upper Basin</v>
      </c>
      <c r="C123" s="65" t="str">
        <f t="shared" ref="C123:L123" ca="1" si="60">IF(OR(C$27="",$A123=""),"",OFFSET(C$64,8*(ROW(B123)-ROW(B$123)),0))</f>
        <v/>
      </c>
      <c r="D123" s="65" t="str">
        <f t="shared" ca="1" si="60"/>
        <v/>
      </c>
      <c r="E123" s="65" t="str">
        <f t="shared" ca="1" si="60"/>
        <v/>
      </c>
      <c r="F123" s="65" t="str">
        <f t="shared" ca="1" si="60"/>
        <v/>
      </c>
      <c r="G123" s="65" t="str">
        <f t="shared" ca="1" si="60"/>
        <v/>
      </c>
      <c r="H123" s="65" t="str">
        <f t="shared" ca="1" si="60"/>
        <v/>
      </c>
      <c r="I123" s="65" t="str">
        <f t="shared" ca="1" si="60"/>
        <v/>
      </c>
      <c r="J123" s="65" t="str">
        <f t="shared" ca="1" si="60"/>
        <v/>
      </c>
      <c r="K123" s="65" t="str">
        <f t="shared" ca="1" si="60"/>
        <v/>
      </c>
      <c r="L123" s="65" t="str">
        <f t="shared" ca="1" si="60"/>
        <v/>
      </c>
    </row>
    <row r="124" spans="1:14" x14ac:dyDescent="0.25">
      <c r="A124" t="str">
        <f t="shared" si="59"/>
        <v xml:space="preserve">    Lower Basin</v>
      </c>
      <c r="C124" s="65" t="str">
        <f t="shared" ref="C124:L124" ca="1" si="61">IF(OR(C$27="",$A124=""),"",OFFSET(C$64,8*(ROW(B124)-ROW(B$123)),0))</f>
        <v/>
      </c>
      <c r="D124" s="65" t="str">
        <f t="shared" ca="1" si="61"/>
        <v/>
      </c>
      <c r="E124" s="65" t="str">
        <f t="shared" ca="1" si="61"/>
        <v/>
      </c>
      <c r="F124" s="65" t="str">
        <f t="shared" ca="1" si="61"/>
        <v/>
      </c>
      <c r="G124" s="65" t="str">
        <f t="shared" ca="1" si="61"/>
        <v/>
      </c>
      <c r="H124" s="65" t="str">
        <f t="shared" ca="1" si="61"/>
        <v/>
      </c>
      <c r="I124" s="65" t="str">
        <f t="shared" ca="1" si="61"/>
        <v/>
      </c>
      <c r="J124" s="65" t="str">
        <f t="shared" ca="1" si="61"/>
        <v/>
      </c>
      <c r="K124" s="65" t="str">
        <f t="shared" ca="1" si="61"/>
        <v/>
      </c>
      <c r="L124" s="65" t="str">
        <f t="shared" ca="1" si="61"/>
        <v/>
      </c>
    </row>
    <row r="125" spans="1:14" x14ac:dyDescent="0.25">
      <c r="A125" t="str">
        <f t="shared" si="59"/>
        <v xml:space="preserve">    Mexico</v>
      </c>
      <c r="C125" s="65" t="str">
        <f t="shared" ref="C125:L125" ca="1" si="62">IF(OR(C$27="",$A125=""),"",OFFSET(C$64,8*(ROW(B125)-ROW(B$123)),0))</f>
        <v/>
      </c>
      <c r="D125" s="65" t="str">
        <f t="shared" ca="1" si="62"/>
        <v/>
      </c>
      <c r="E125" s="65" t="str">
        <f t="shared" ca="1" si="62"/>
        <v/>
      </c>
      <c r="F125" s="65" t="str">
        <f t="shared" ca="1" si="62"/>
        <v/>
      </c>
      <c r="G125" s="65" t="str">
        <f t="shared" ca="1" si="62"/>
        <v/>
      </c>
      <c r="H125" s="65" t="str">
        <f t="shared" ca="1" si="62"/>
        <v/>
      </c>
      <c r="I125" s="65" t="str">
        <f t="shared" ca="1" si="62"/>
        <v/>
      </c>
      <c r="J125" s="65" t="str">
        <f t="shared" ca="1" si="62"/>
        <v/>
      </c>
      <c r="K125" s="65" t="str">
        <f t="shared" ca="1" si="62"/>
        <v/>
      </c>
      <c r="L125" s="65" t="str">
        <f t="shared" ca="1" si="62"/>
        <v/>
      </c>
    </row>
    <row r="126" spans="1:14" x14ac:dyDescent="0.25">
      <c r="A126" t="str">
        <f t="shared" si="59"/>
        <v xml:space="preserve">    Colorado River Delta</v>
      </c>
      <c r="C126" s="65" t="str">
        <f t="shared" ref="C126:L126" ca="1" si="63">IF(OR(C$27="",$A126=""),"",OFFSET(C$64,8*(ROW(B126)-ROW(B$123)),0))</f>
        <v/>
      </c>
      <c r="D126" s="65" t="str">
        <f t="shared" ca="1" si="63"/>
        <v/>
      </c>
      <c r="E126" s="65" t="str">
        <f t="shared" ca="1" si="63"/>
        <v/>
      </c>
      <c r="F126" s="65" t="str">
        <f t="shared" ca="1" si="63"/>
        <v/>
      </c>
      <c r="G126" s="65" t="str">
        <f t="shared" ca="1" si="63"/>
        <v/>
      </c>
      <c r="H126" s="65" t="str">
        <f t="shared" ca="1" si="63"/>
        <v/>
      </c>
      <c r="I126" s="65" t="str">
        <f t="shared" ca="1" si="63"/>
        <v/>
      </c>
      <c r="J126" s="65" t="str">
        <f t="shared" ca="1" si="63"/>
        <v/>
      </c>
      <c r="K126" s="65" t="str">
        <f t="shared" ca="1" si="63"/>
        <v/>
      </c>
      <c r="L126" s="65" t="str">
        <f t="shared" ca="1" si="63"/>
        <v/>
      </c>
    </row>
    <row r="127" spans="1:14" x14ac:dyDescent="0.25">
      <c r="A127" t="str">
        <f t="shared" si="59"/>
        <v/>
      </c>
      <c r="C127" s="65" t="str">
        <f t="shared" ref="C127:L127" ca="1" si="64">IF(OR(C$27="",$A127=""),"",OFFSET(C$64,8*(ROW(B127)-ROW(B$123)),0))</f>
        <v/>
      </c>
      <c r="D127" s="65" t="str">
        <f t="shared" ca="1" si="64"/>
        <v/>
      </c>
      <c r="E127" s="65" t="str">
        <f t="shared" ca="1" si="64"/>
        <v/>
      </c>
      <c r="F127" s="65" t="str">
        <f t="shared" ca="1" si="64"/>
        <v/>
      </c>
      <c r="G127" s="65" t="str">
        <f t="shared" ca="1" si="64"/>
        <v/>
      </c>
      <c r="H127" s="65" t="str">
        <f t="shared" ca="1" si="64"/>
        <v/>
      </c>
      <c r="I127" s="65" t="str">
        <f t="shared" ca="1" si="64"/>
        <v/>
      </c>
      <c r="J127" s="65" t="str">
        <f t="shared" ca="1" si="64"/>
        <v/>
      </c>
      <c r="K127" s="65" t="str">
        <f t="shared" ca="1" si="64"/>
        <v/>
      </c>
      <c r="L127" s="65" t="str">
        <f t="shared" ca="1" si="64"/>
        <v/>
      </c>
    </row>
    <row r="128" spans="1:14" x14ac:dyDescent="0.25">
      <c r="A128" t="str">
        <f t="shared" si="59"/>
        <v xml:space="preserve">    Shared, Reserve</v>
      </c>
      <c r="C128" s="65" t="str">
        <f t="shared" ref="C128:L128" ca="1" si="65">IF(OR(C$27="",$A128=""),"",OFFSET(C$64,8*(ROW(B128)-ROW(B$123)),0))</f>
        <v/>
      </c>
      <c r="D128" s="65" t="str">
        <f t="shared" ca="1" si="65"/>
        <v/>
      </c>
      <c r="E128" s="65" t="str">
        <f t="shared" ca="1" si="65"/>
        <v/>
      </c>
      <c r="F128" s="65" t="str">
        <f t="shared" ca="1" si="65"/>
        <v/>
      </c>
      <c r="G128" s="65" t="str">
        <f t="shared" ca="1" si="65"/>
        <v/>
      </c>
      <c r="H128" s="65" t="str">
        <f t="shared" ca="1" si="65"/>
        <v/>
      </c>
      <c r="I128" s="65" t="str">
        <f t="shared" ca="1" si="65"/>
        <v/>
      </c>
      <c r="J128" s="65" t="str">
        <f t="shared" ca="1" si="65"/>
        <v/>
      </c>
      <c r="K128" s="65" t="str">
        <f t="shared" ca="1" si="65"/>
        <v/>
      </c>
      <c r="L128" s="65" t="str">
        <f t="shared" ca="1" si="65"/>
        <v/>
      </c>
    </row>
    <row r="129" spans="1:14" x14ac:dyDescent="0.25">
      <c r="A129" s="1" t="s">
        <v>352</v>
      </c>
      <c r="B129" s="1"/>
      <c r="C129" s="14" t="str">
        <f>IF(C$27&lt;&gt;"",SUM(C123:C128),"")</f>
        <v/>
      </c>
      <c r="D129" s="14" t="str">
        <f t="shared" ref="D129:L129" si="66">IF(D$27&lt;&gt;"",SUM(D123:D128),"")</f>
        <v/>
      </c>
      <c r="E129" s="14" t="str">
        <f t="shared" si="66"/>
        <v/>
      </c>
      <c r="F129" s="14" t="str">
        <f t="shared" si="66"/>
        <v/>
      </c>
      <c r="G129" s="14" t="str">
        <f t="shared" si="66"/>
        <v/>
      </c>
      <c r="H129" s="14" t="str">
        <f t="shared" si="66"/>
        <v/>
      </c>
      <c r="I129" s="14" t="str">
        <f t="shared" si="66"/>
        <v/>
      </c>
      <c r="J129" s="14" t="str">
        <f t="shared" si="66"/>
        <v/>
      </c>
      <c r="K129" s="14" t="str">
        <f t="shared" si="66"/>
        <v/>
      </c>
      <c r="L129" s="14" t="str">
        <f t="shared" si="66"/>
        <v/>
      </c>
      <c r="N129" s="177" t="s">
        <v>444</v>
      </c>
    </row>
    <row r="130" spans="1:14" ht="29.45" customHeight="1" x14ac:dyDescent="0.25">
      <c r="A130" s="213" t="s">
        <v>440</v>
      </c>
      <c r="B130" s="214"/>
      <c r="C130" s="170"/>
      <c r="D130" s="170"/>
      <c r="E130" s="170"/>
      <c r="F130" s="170"/>
      <c r="G130" s="170"/>
      <c r="H130" s="170"/>
      <c r="I130" s="170"/>
      <c r="J130" s="170"/>
      <c r="K130" s="170"/>
      <c r="L130" s="170"/>
      <c r="N130" s="247" t="s">
        <v>441</v>
      </c>
    </row>
    <row r="131" spans="1:14" x14ac:dyDescent="0.25">
      <c r="A131" s="1" t="s">
        <v>363</v>
      </c>
      <c r="B131" s="1"/>
      <c r="C131" s="14" t="str">
        <f>IF(C27="","",C$130*C$129)</f>
        <v/>
      </c>
      <c r="D131" s="14" t="str">
        <f t="shared" ref="D131:L131" si="67">IF(D27="","",D$130*D$129)</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77" t="s">
        <v>446</v>
      </c>
    </row>
    <row r="132" spans="1:14" x14ac:dyDescent="0.25">
      <c r="A132" s="1" t="s">
        <v>364</v>
      </c>
      <c r="B132" s="1"/>
      <c r="C132" s="14" t="str">
        <f>IF(C28="","",(1-C$130)*C$129)</f>
        <v/>
      </c>
      <c r="D132" s="14" t="str">
        <f t="shared" ref="D132:L132" si="68">IF(D28="","",(1-D$130)*D$129)</f>
        <v/>
      </c>
      <c r="E132" s="14" t="str">
        <f t="shared" si="68"/>
        <v/>
      </c>
      <c r="F132" s="14" t="str">
        <f t="shared" si="68"/>
        <v/>
      </c>
      <c r="G132" s="14" t="str">
        <f t="shared" si="68"/>
        <v/>
      </c>
      <c r="H132" s="14" t="str">
        <f t="shared" si="68"/>
        <v/>
      </c>
      <c r="I132" s="14" t="str">
        <f t="shared" si="68"/>
        <v/>
      </c>
      <c r="J132" s="14" t="str">
        <f t="shared" si="68"/>
        <v/>
      </c>
      <c r="K132" s="14" t="str">
        <f t="shared" si="68"/>
        <v/>
      </c>
      <c r="L132" s="14" t="str">
        <f t="shared" si="68"/>
        <v/>
      </c>
      <c r="N132" s="177" t="s">
        <v>446</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77" t="s">
        <v>446</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77" t="s">
        <v>446</v>
      </c>
    </row>
    <row r="135" spans="1:14" x14ac:dyDescent="0.25">
      <c r="A135" s="1" t="s">
        <v>365</v>
      </c>
      <c r="B135" s="1"/>
      <c r="N135" s="177" t="s">
        <v>443</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7" t="s">
        <v>447</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7" t="s">
        <v>448</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247" t="s">
        <v>448</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247" t="s">
        <v>449</v>
      </c>
    </row>
    <row r="140" spans="1:14" x14ac:dyDescent="0.25">
      <c r="A140" s="188" t="s">
        <v>442</v>
      </c>
      <c r="C140" s="27"/>
      <c r="N140" s="177" t="s">
        <v>445</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 ref="N131" r:id="rId12" location="i-powell-and-mead-storage-volumes-and-levels" xr:uid="{3B36938C-4B3F-4DCB-8892-48BF7E0D20FB}"/>
    <hyperlink ref="N132:N134" r:id="rId13" location="i-powell-and-mead-storage-volumes-and-levels" display="https://github.com/dzeke/ColoradoRiverCoding/blob/main/ModelMusings/Support/ModelGuide/ModelGuide-CombinedLakePowellLakeMead.md#i-powell-and-mead-storage-volumes-and-levels" xr:uid="{493E6579-022E-4D12-A899-76D188924AD1}"/>
    <hyperlink ref="N136" r:id="rId14" location="ii-lake-powell-release-to-achieve-powell-and-mead-storage-volumes" xr:uid="{25E6D5AD-0576-4B21-9504-85CBFABA44A8}"/>
    <hyperlink ref="N137" r:id="rId15" location="iv-suitability-of-native-endangered-fish-of-the-grand-canyon" xr:uid="{C5B752E3-7AF7-431D-94B1-B7500FC7E01E}"/>
    <hyperlink ref="N20" r:id="rId16" location="iii-protection-elevations" xr:uid="{A1372B11-032B-4C16-9B56-11AD4A42595C}"/>
    <hyperlink ref="N22" r:id="rId17" location="v-prior-9-year-lake-powell-release" xr:uid="{D0959D6A-D0C3-4A06-A106-39DA3F7C736B}"/>
    <hyperlink ref="N23" r:id="rId18" location="vi-prior-9-year-paria-river-flow" xr:uid="{EAB4BE8C-534D-423E-8899-2F05A908CA3E}"/>
    <hyperlink ref="N24" r:id="rId19" location="vii-delivery-to-meet-10-year-requirement" xr:uid="{8AB3A3B4-4A09-4BDD-907D-EB4BC5ECB444}"/>
    <hyperlink ref="N27" r:id="rId20" location="step-2-specify-natural-inflow-to-lake-powell" xr:uid="{627F65C8-BDBB-478C-B382-6050B3A88EE8}"/>
    <hyperlink ref="N28" r:id="rId21" location="2a-intervening-grand-canyon-flow" xr:uid="{898763B6-F08B-4705-A0C1-A490F6ADF1DE}"/>
    <hyperlink ref="N29" r:id="rId22" location="2b-mead-to-imperial-dam-intervening-flow" xr:uid="{2430AEE5-D321-48A7-BDC6-8FE1C6E826C4}"/>
    <hyperlink ref="N30" r:id="rId23" location="2c-havasuparker-evaporation-and-evapotranspiration" xr:uid="{14D5BF09-6121-4F84-9CC7-21417169B7F9}"/>
    <hyperlink ref="N38" r:id="rId24" location="3a-begin-of-year-reservoir-storage" xr:uid="{A1E800B5-59C7-480D-9BC2-50BD9E333231}"/>
    <hyperlink ref="N41" r:id="rId25" location="3b-calculate-powell--mead-evaporation" xr:uid="{FF96D4C3-E500-4336-9EAD-F6D7A56E5787}"/>
    <hyperlink ref="N59" r:id="rId26" location="i-buy-or-sell-water-from-other-players" xr:uid="{05DBCE00-D79F-4E39-B88D-F7541C4810F2}"/>
    <hyperlink ref="N60" r:id="rId27" location="ii-compensation" xr:uid="{309C9328-C1E6-4111-96FA-5AECD7059C10}"/>
    <hyperlink ref="N61" r:id="rId28" location="iii-net-trade-volume-all-players" xr:uid="{567A1D10-4041-44C2-BBB6-A52C43060265}"/>
    <hyperlink ref="N62" r:id="rId29" location="iv-available-water" xr:uid="{D8A8837B-4A92-4570-92B2-494F4402E453}"/>
    <hyperlink ref="N63" r:id="rId30" location="v-enter-withdraw-within-available-water" xr:uid="{B2F5238E-F3EC-45B6-9E04-3D258E6E8F64}"/>
    <hyperlink ref="N64" r:id="rId31" location="vi-end-of-year-balance" xr:uid="{448E3157-A635-4B20-BA49-CED90EB8A84E}"/>
    <hyperlink ref="N66" r:id="rId32" location="step-5-player-dashboards--conserve-consume-and-trade" xr:uid="{2E5DC9A5-E53F-4189-A182-A77AFD961AB4}"/>
    <hyperlink ref="N67" r:id="rId33" location="i-buy-or-sell-water-from-other-players" xr:uid="{F1C43B47-2BF1-4951-BE0F-F117C2920276}"/>
    <hyperlink ref="N68" r:id="rId34" location="ii-compensation" xr:uid="{5D32638B-200F-415B-B45B-E8274A6D2A39}"/>
    <hyperlink ref="N69" r:id="rId35" location="iii-net-trade-volume-all-players" xr:uid="{4941ADE6-A101-4F01-9A5E-5C35A14183DA}"/>
    <hyperlink ref="N70" r:id="rId36" location="iv-available-water" xr:uid="{98C5075D-C873-49E4-82E9-20E4301BADAA}"/>
    <hyperlink ref="N71" r:id="rId37" location="v-enter-withdraw-within-available-water" xr:uid="{F44BB84D-2293-48E1-9B34-B6122C37BAB7}"/>
    <hyperlink ref="N72" r:id="rId38" location="vi-end-of-year-balance" xr:uid="{B367D564-C494-4B57-BBF1-3DDBBCB6C3E7}"/>
    <hyperlink ref="N74" r:id="rId39" location="step-5-player-dashboards--conserve-consume-and-trade" xr:uid="{91173B21-623F-4E7F-A99E-9DD44B247360}"/>
    <hyperlink ref="N75" r:id="rId40" location="i-buy-or-sell-water-from-other-players" xr:uid="{40DC9705-20A7-466D-A9D9-CCB91829B3FF}"/>
    <hyperlink ref="N76" r:id="rId41" location="ii-compensation" xr:uid="{9EA01F1F-B785-49CD-A595-24CA1FA3FD58}"/>
    <hyperlink ref="N77" r:id="rId42" location="iii-net-trade-volume-all-players" xr:uid="{35A1BA02-14D7-4490-B7EA-12538DE6F7B6}"/>
    <hyperlink ref="N78" r:id="rId43" location="iv-available-water" xr:uid="{E1E4C3C3-D93F-48ED-A271-46EDC8FE5B13}"/>
    <hyperlink ref="N79" r:id="rId44" location="v-enter-withdraw-within-available-water" xr:uid="{EB029BD5-524C-400D-A377-F2784C2337A0}"/>
    <hyperlink ref="N80" r:id="rId45" location="vi-end-of-year-balance" xr:uid="{6A396BB5-5871-4C1B-93F8-7BEF4E6A08D8}"/>
    <hyperlink ref="N82" r:id="rId46" location="step-5-player-dashboards--conserve-consume-and-trade" xr:uid="{B4A2350A-A3B1-49EA-BD06-E744F841ADDF}"/>
    <hyperlink ref="N83" r:id="rId47" location="i-buy-or-sell-water-from-other-players" xr:uid="{328D7975-BD8B-42F5-9DB0-8E466CE1FC3E}"/>
    <hyperlink ref="N84" r:id="rId48" location="ii-compensation" xr:uid="{0660BBAF-762C-4B0A-814E-F069A00C9FCB}"/>
    <hyperlink ref="N85" r:id="rId49" location="iii-net-trade-volume-all-players" xr:uid="{1271A0D9-1A5E-47B9-B37D-9D98955A8317}"/>
    <hyperlink ref="N86" r:id="rId50" location="iv-available-water" xr:uid="{66900BC8-A9AF-4F34-A412-053FE4E8589A}"/>
    <hyperlink ref="N87" r:id="rId51" location="v-enter-withdraw-within-available-water" xr:uid="{C91F302C-D568-462F-B1D0-9D088420973E}"/>
    <hyperlink ref="N88" r:id="rId52" location="vi-end-of-year-balance" xr:uid="{EDB16D18-64B2-4185-BDE5-9C8828096308}"/>
    <hyperlink ref="N98" r:id="rId53" location="5a-shared-reserve-dashboard" xr:uid="{B56AD3AC-8B78-43C2-909B-6EA9F549F4E7}"/>
    <hyperlink ref="N106" r:id="rId54" location="step-6-summary-of-player-actions" xr:uid="{84BA25EF-8523-4269-860C-934EAE6986FC}"/>
    <hyperlink ref="N129" r:id="rId55" location="6a-combined-storage--end-of-year" xr:uid="{EE3597C2-AB8E-41BD-9602-A6D0A00AF44F}"/>
    <hyperlink ref="N130" r:id="rId56" location="step-7-assign-combined-storage-to-powell-and-mead" xr:uid="{44085D51-786F-4107-BEC7-379F2D48A7A2}"/>
    <hyperlink ref="N135" r:id="rId57" location="i-protect-endangered-native-fish-of-the-grand-canyon" xr:uid="{0431445A-E7BB-479C-BED9-475AAD6F4EE6}"/>
    <hyperlink ref="N138" r:id="rId58" location="iv-suitability-of-native-endangered-fish-of-the-grand-canyon" xr:uid="{498960CB-0D5F-48F2-8FEC-EF21C6A247E0}"/>
    <hyperlink ref="N139" r:id="rId59" location="v-suitability-for-tailwater-trout" xr:uid="{E527F924-C0A1-4748-AC3B-E0F478A46F72}"/>
    <hyperlink ref="N140" r:id="rId60" location="step-8-move-to-next-year" xr:uid="{7133883A-36FF-4FCB-9A6F-88DC9CC1493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143"/>
      <c r="I3" s="143"/>
      <c r="J3" s="143"/>
      <c r="K3" s="143"/>
    </row>
    <row r="4" spans="1:13" x14ac:dyDescent="0.25">
      <c r="A4" s="51" t="s">
        <v>38</v>
      </c>
      <c r="B4" s="51" t="s">
        <v>42</v>
      </c>
      <c r="C4" s="230" t="s">
        <v>43</v>
      </c>
      <c r="D4" s="231"/>
      <c r="E4" s="231"/>
      <c r="F4" s="231"/>
      <c r="G4" s="232"/>
      <c r="M4" s="1" t="s">
        <v>296</v>
      </c>
    </row>
    <row r="5" spans="1:13" x14ac:dyDescent="0.25">
      <c r="A5" s="142" t="s">
        <v>39</v>
      </c>
      <c r="B5" s="142" t="str">
        <f>IF(Master!B5="","",Master!B5)</f>
        <v/>
      </c>
      <c r="C5" s="220" t="s">
        <v>306</v>
      </c>
      <c r="D5" s="215"/>
      <c r="E5" s="215"/>
      <c r="F5" s="215"/>
      <c r="G5" s="215"/>
      <c r="M5" t="s">
        <v>297</v>
      </c>
    </row>
    <row r="6" spans="1:13" x14ac:dyDescent="0.25">
      <c r="A6" s="142" t="s">
        <v>40</v>
      </c>
      <c r="B6" s="142" t="str">
        <f>IF(Master!B6="","",Master!B6)</f>
        <v/>
      </c>
      <c r="C6" s="220" t="s">
        <v>306</v>
      </c>
      <c r="D6" s="215"/>
      <c r="E6" s="215"/>
      <c r="F6" s="215"/>
      <c r="G6" s="215"/>
      <c r="M6" t="s">
        <v>302</v>
      </c>
    </row>
    <row r="7" spans="1:13" x14ac:dyDescent="0.25">
      <c r="A7" s="142" t="s">
        <v>41</v>
      </c>
      <c r="B7" s="142" t="str">
        <f>IF(Master!B7="","",Master!B7)</f>
        <v/>
      </c>
      <c r="C7" s="220" t="s">
        <v>306</v>
      </c>
      <c r="D7" s="215"/>
      <c r="E7" s="215"/>
      <c r="F7" s="215"/>
      <c r="G7" s="215"/>
      <c r="M7" t="s">
        <v>303</v>
      </c>
    </row>
    <row r="8" spans="1:13" x14ac:dyDescent="0.25">
      <c r="A8" s="154" t="s">
        <v>145</v>
      </c>
      <c r="B8" s="153" t="str">
        <f>IF(Master!B8="","",Master!B8)</f>
        <v/>
      </c>
      <c r="C8" s="220" t="s">
        <v>209</v>
      </c>
      <c r="D8" s="215"/>
      <c r="E8" s="215"/>
      <c r="F8" s="215"/>
      <c r="G8" s="215"/>
    </row>
    <row r="9" spans="1:13" x14ac:dyDescent="0.25">
      <c r="A9" s="142" t="str">
        <f>IF(Master!A9="","",Master!A9)</f>
        <v/>
      </c>
      <c r="B9" s="142" t="str">
        <f>IF(Master!B9="","",Master!B9)</f>
        <v/>
      </c>
      <c r="C9" s="221"/>
      <c r="D9" s="221"/>
      <c r="E9" s="221"/>
      <c r="F9" s="221"/>
      <c r="G9" s="221"/>
    </row>
    <row r="10" spans="1:13" x14ac:dyDescent="0.25">
      <c r="A10" s="155" t="s">
        <v>154</v>
      </c>
      <c r="B10" s="155" t="str">
        <f>IF(Master!B10="","",Master!B10)</f>
        <v/>
      </c>
      <c r="C10" s="222" t="s">
        <v>338</v>
      </c>
      <c r="D10" s="222"/>
      <c r="E10" s="222"/>
      <c r="F10" s="222"/>
      <c r="G10" s="222"/>
    </row>
    <row r="11" spans="1:13" x14ac:dyDescent="0.25">
      <c r="A11" s="15"/>
      <c r="B11" s="2"/>
      <c r="C11"/>
    </row>
    <row r="12" spans="1:13" x14ac:dyDescent="0.25">
      <c r="A12" s="18" t="s">
        <v>374</v>
      </c>
      <c r="B12" s="223" t="s">
        <v>376</v>
      </c>
      <c r="C12" s="224"/>
      <c r="D12" s="225"/>
    </row>
    <row r="13" spans="1:13" x14ac:dyDescent="0.25">
      <c r="B13" s="226" t="s">
        <v>377</v>
      </c>
      <c r="C13" s="227"/>
      <c r="D13" s="228"/>
    </row>
    <row r="14" spans="1:13" x14ac:dyDescent="0.25">
      <c r="B14" s="207" t="s">
        <v>378</v>
      </c>
      <c r="C14" s="208"/>
      <c r="D14" s="209"/>
    </row>
    <row r="15" spans="1:13" x14ac:dyDescent="0.25">
      <c r="B15" s="210" t="s">
        <v>46</v>
      </c>
      <c r="C15" s="211"/>
      <c r="D15" s="212"/>
    </row>
    <row r="17" spans="1:14" x14ac:dyDescent="0.25">
      <c r="A17" s="1" t="s">
        <v>385</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62"/>
      <c r="I3" s="62"/>
      <c r="J3" s="62"/>
      <c r="K3" s="62"/>
    </row>
    <row r="4" spans="1:13" x14ac:dyDescent="0.25">
      <c r="A4" s="51" t="s">
        <v>38</v>
      </c>
      <c r="B4" s="51" t="s">
        <v>42</v>
      </c>
      <c r="C4" s="230" t="s">
        <v>43</v>
      </c>
      <c r="D4" s="231"/>
      <c r="E4" s="231"/>
      <c r="F4" s="231"/>
      <c r="G4" s="232"/>
      <c r="M4" s="1" t="s">
        <v>296</v>
      </c>
    </row>
    <row r="5" spans="1:13" x14ac:dyDescent="0.25">
      <c r="A5" s="122" t="s">
        <v>39</v>
      </c>
      <c r="B5" s="122" t="s">
        <v>150</v>
      </c>
      <c r="C5" s="220" t="s">
        <v>299</v>
      </c>
      <c r="D5" s="215"/>
      <c r="E5" s="215"/>
      <c r="F5" s="215"/>
      <c r="G5" s="215"/>
      <c r="M5" t="s">
        <v>297</v>
      </c>
    </row>
    <row r="6" spans="1:13" x14ac:dyDescent="0.25">
      <c r="A6" s="122" t="s">
        <v>40</v>
      </c>
      <c r="B6" s="122" t="s">
        <v>150</v>
      </c>
      <c r="C6" s="220" t="s">
        <v>300</v>
      </c>
      <c r="D6" s="215"/>
      <c r="E6" s="215"/>
      <c r="F6" s="215"/>
      <c r="G6" s="215"/>
      <c r="M6" t="s">
        <v>302</v>
      </c>
    </row>
    <row r="7" spans="1:13" x14ac:dyDescent="0.25">
      <c r="A7" s="122" t="s">
        <v>41</v>
      </c>
      <c r="B7" s="122" t="s">
        <v>150</v>
      </c>
      <c r="C7" s="220" t="s">
        <v>301</v>
      </c>
      <c r="D7" s="215"/>
      <c r="E7" s="215"/>
      <c r="F7" s="215"/>
      <c r="G7" s="215"/>
      <c r="M7" t="s">
        <v>303</v>
      </c>
    </row>
    <row r="8" spans="1:13" x14ac:dyDescent="0.25">
      <c r="A8" s="105" t="s">
        <v>154</v>
      </c>
      <c r="B8" s="105" t="s">
        <v>150</v>
      </c>
      <c r="C8" s="222" t="s">
        <v>298</v>
      </c>
      <c r="D8" s="222"/>
      <c r="E8" s="222"/>
      <c r="F8" s="222"/>
      <c r="G8" s="222"/>
    </row>
    <row r="9" spans="1:13" x14ac:dyDescent="0.25">
      <c r="A9" s="122"/>
      <c r="B9" s="122"/>
      <c r="C9" s="221"/>
      <c r="D9" s="221"/>
      <c r="E9" s="221"/>
      <c r="F9" s="221"/>
      <c r="G9" s="221"/>
    </row>
    <row r="10" spans="1:13" x14ac:dyDescent="0.25">
      <c r="A10" s="122"/>
      <c r="B10" s="122"/>
      <c r="C10" s="221"/>
      <c r="D10" s="221"/>
      <c r="E10" s="221"/>
      <c r="F10" s="221"/>
      <c r="G10" s="221"/>
    </row>
    <row r="11" spans="1:13" x14ac:dyDescent="0.25">
      <c r="A11" s="15"/>
      <c r="B11" s="2"/>
      <c r="C11"/>
    </row>
    <row r="12" spans="1:13" x14ac:dyDescent="0.25">
      <c r="A12" s="18" t="s">
        <v>45</v>
      </c>
      <c r="B12" s="233" t="s">
        <v>195</v>
      </c>
      <c r="C12" s="233"/>
      <c r="D12" s="233"/>
      <c r="E12" s="233"/>
      <c r="F12" s="233"/>
    </row>
    <row r="13" spans="1:13" x14ac:dyDescent="0.25">
      <c r="B13" s="234" t="s">
        <v>316</v>
      </c>
      <c r="C13" s="235"/>
      <c r="D13" s="235"/>
      <c r="E13" s="235"/>
      <c r="F13" s="235"/>
    </row>
    <row r="14" spans="1:13" x14ac:dyDescent="0.25">
      <c r="B14" s="236" t="s">
        <v>305</v>
      </c>
      <c r="C14" s="237"/>
      <c r="D14" s="237"/>
      <c r="E14" s="237"/>
      <c r="F14" s="237"/>
    </row>
    <row r="15" spans="1:13" x14ac:dyDescent="0.25">
      <c r="B15" s="238" t="s">
        <v>46</v>
      </c>
      <c r="C15" s="238"/>
      <c r="D15" s="238"/>
      <c r="E15" s="238"/>
      <c r="F15" s="238"/>
    </row>
    <row r="17" spans="1:14" x14ac:dyDescent="0.25">
      <c r="A17" s="1" t="s">
        <v>53</v>
      </c>
      <c r="D17" s="233" t="s">
        <v>151</v>
      </c>
      <c r="E17" s="233"/>
      <c r="F17" s="233"/>
      <c r="G17" s="23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112"/>
      <c r="I3" s="112"/>
      <c r="J3" s="112"/>
      <c r="K3" s="112"/>
    </row>
    <row r="4" spans="1:13" x14ac:dyDescent="0.25">
      <c r="A4" s="51" t="s">
        <v>38</v>
      </c>
      <c r="B4" s="51" t="s">
        <v>42</v>
      </c>
      <c r="C4" s="230" t="s">
        <v>43</v>
      </c>
      <c r="D4" s="231"/>
      <c r="E4" s="231"/>
      <c r="F4" s="231"/>
      <c r="G4" s="232"/>
      <c r="M4" s="1" t="s">
        <v>296</v>
      </c>
    </row>
    <row r="5" spans="1:13" x14ac:dyDescent="0.25">
      <c r="A5" s="122" t="s">
        <v>39</v>
      </c>
      <c r="B5" s="122" t="s">
        <v>150</v>
      </c>
      <c r="C5" s="220" t="s">
        <v>306</v>
      </c>
      <c r="D5" s="215"/>
      <c r="E5" s="215"/>
      <c r="F5" s="215"/>
      <c r="G5" s="215"/>
      <c r="M5" t="s">
        <v>297</v>
      </c>
    </row>
    <row r="6" spans="1:13" x14ac:dyDescent="0.25">
      <c r="A6" s="122" t="s">
        <v>40</v>
      </c>
      <c r="B6" s="122" t="s">
        <v>150</v>
      </c>
      <c r="C6" s="220" t="s">
        <v>306</v>
      </c>
      <c r="D6" s="215"/>
      <c r="E6" s="215"/>
      <c r="F6" s="215"/>
      <c r="G6" s="215"/>
      <c r="M6" t="s">
        <v>302</v>
      </c>
    </row>
    <row r="7" spans="1:13" x14ac:dyDescent="0.25">
      <c r="A7" s="122" t="s">
        <v>41</v>
      </c>
      <c r="B7" s="122" t="s">
        <v>150</v>
      </c>
      <c r="C7" s="220" t="s">
        <v>306</v>
      </c>
      <c r="D7" s="215"/>
      <c r="E7" s="215"/>
      <c r="F7" s="215"/>
      <c r="G7" s="215"/>
      <c r="M7" t="s">
        <v>303</v>
      </c>
    </row>
    <row r="8" spans="1:13" x14ac:dyDescent="0.25">
      <c r="A8" s="111" t="s">
        <v>154</v>
      </c>
      <c r="B8" s="111" t="s">
        <v>150</v>
      </c>
      <c r="C8" s="222" t="s">
        <v>298</v>
      </c>
      <c r="D8" s="222"/>
      <c r="E8" s="222"/>
      <c r="F8" s="222"/>
      <c r="G8" s="222"/>
    </row>
    <row r="9" spans="1:13" x14ac:dyDescent="0.25">
      <c r="A9" s="122"/>
      <c r="B9" s="122"/>
      <c r="C9" s="221"/>
      <c r="D9" s="221"/>
      <c r="E9" s="221"/>
      <c r="F9" s="221"/>
      <c r="G9" s="221"/>
    </row>
    <row r="10" spans="1:13" x14ac:dyDescent="0.25">
      <c r="A10" s="122"/>
      <c r="B10" s="122"/>
      <c r="C10" s="221"/>
      <c r="D10" s="221"/>
      <c r="E10" s="221"/>
      <c r="F10" s="221"/>
      <c r="G10" s="221"/>
    </row>
    <row r="11" spans="1:13" x14ac:dyDescent="0.25">
      <c r="A11" s="15"/>
      <c r="B11" s="2"/>
      <c r="C11"/>
    </row>
    <row r="12" spans="1:13" x14ac:dyDescent="0.25">
      <c r="A12" s="18" t="s">
        <v>45</v>
      </c>
      <c r="B12" s="233" t="s">
        <v>195</v>
      </c>
      <c r="C12" s="233"/>
      <c r="D12" s="233"/>
      <c r="E12" s="233"/>
      <c r="F12" s="233"/>
    </row>
    <row r="13" spans="1:13" x14ac:dyDescent="0.25">
      <c r="B13" s="234" t="s">
        <v>316</v>
      </c>
      <c r="C13" s="235"/>
      <c r="D13" s="235"/>
      <c r="E13" s="235"/>
      <c r="F13" s="235"/>
    </row>
    <row r="14" spans="1:13" x14ac:dyDescent="0.25">
      <c r="B14" s="236" t="s">
        <v>305</v>
      </c>
      <c r="C14" s="237"/>
      <c r="D14" s="237"/>
      <c r="E14" s="237"/>
      <c r="F14" s="237"/>
    </row>
    <row r="15" spans="1:13" x14ac:dyDescent="0.25">
      <c r="B15" s="238" t="s">
        <v>46</v>
      </c>
      <c r="C15" s="238"/>
      <c r="D15" s="238"/>
      <c r="E15" s="238"/>
      <c r="F15" s="238"/>
    </row>
    <row r="17" spans="1:14" x14ac:dyDescent="0.25">
      <c r="A17" s="1" t="s">
        <v>53</v>
      </c>
      <c r="D17" s="233" t="s">
        <v>151</v>
      </c>
      <c r="E17" s="233"/>
      <c r="F17" s="233"/>
      <c r="G17" s="23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9" t="s">
        <v>148</v>
      </c>
      <c r="B3" s="229"/>
      <c r="C3" s="229"/>
      <c r="D3" s="229"/>
      <c r="E3" s="229"/>
      <c r="F3" s="229"/>
      <c r="G3" s="229"/>
      <c r="H3" s="112"/>
      <c r="I3" s="112"/>
      <c r="J3" s="112"/>
      <c r="K3" s="112"/>
    </row>
    <row r="4" spans="1:13" x14ac:dyDescent="0.25">
      <c r="A4" s="51" t="s">
        <v>38</v>
      </c>
      <c r="B4" s="51" t="s">
        <v>42</v>
      </c>
      <c r="C4" s="230" t="s">
        <v>43</v>
      </c>
      <c r="D4" s="231"/>
      <c r="E4" s="231"/>
      <c r="F4" s="231"/>
      <c r="G4" s="232"/>
      <c r="M4" s="1" t="s">
        <v>296</v>
      </c>
    </row>
    <row r="5" spans="1:13" x14ac:dyDescent="0.25">
      <c r="A5" s="122" t="s">
        <v>39</v>
      </c>
      <c r="B5" s="122"/>
      <c r="C5" s="220" t="s">
        <v>149</v>
      </c>
      <c r="D5" s="215"/>
      <c r="E5" s="215"/>
      <c r="F5" s="215"/>
      <c r="G5" s="215"/>
      <c r="M5" t="s">
        <v>297</v>
      </c>
    </row>
    <row r="6" spans="1:13" x14ac:dyDescent="0.25">
      <c r="A6" s="122" t="s">
        <v>40</v>
      </c>
      <c r="B6" s="122"/>
      <c r="C6" s="220" t="s">
        <v>149</v>
      </c>
      <c r="D6" s="215"/>
      <c r="E6" s="215"/>
      <c r="F6" s="215"/>
      <c r="G6" s="215"/>
      <c r="M6" t="s">
        <v>302</v>
      </c>
    </row>
    <row r="7" spans="1:13" x14ac:dyDescent="0.25">
      <c r="A7" s="122" t="s">
        <v>41</v>
      </c>
      <c r="B7" s="122"/>
      <c r="C7" s="220" t="s">
        <v>149</v>
      </c>
      <c r="D7" s="215"/>
      <c r="E7" s="215"/>
      <c r="F7" s="215"/>
      <c r="G7" s="215"/>
      <c r="M7" t="s">
        <v>303</v>
      </c>
    </row>
    <row r="8" spans="1:13" x14ac:dyDescent="0.25">
      <c r="A8" s="111" t="s">
        <v>154</v>
      </c>
      <c r="B8" s="111"/>
      <c r="C8" s="222" t="s">
        <v>307</v>
      </c>
      <c r="D8" s="222"/>
      <c r="E8" s="222"/>
      <c r="F8" s="222"/>
      <c r="G8" s="222"/>
    </row>
    <row r="9" spans="1:13" x14ac:dyDescent="0.25">
      <c r="A9" s="122"/>
      <c r="B9" s="122"/>
      <c r="C9" s="221"/>
      <c r="D9" s="221"/>
      <c r="E9" s="221"/>
      <c r="F9" s="221"/>
      <c r="G9" s="221"/>
    </row>
    <row r="10" spans="1:13" x14ac:dyDescent="0.25">
      <c r="A10" s="122"/>
      <c r="B10" s="122"/>
      <c r="C10" s="221"/>
      <c r="D10" s="221"/>
      <c r="E10" s="221"/>
      <c r="F10" s="221"/>
      <c r="G10" s="221"/>
    </row>
    <row r="11" spans="1:13" x14ac:dyDescent="0.25">
      <c r="A11" s="15"/>
      <c r="B11" s="2"/>
      <c r="C11"/>
    </row>
    <row r="12" spans="1:13" x14ac:dyDescent="0.25">
      <c r="A12" s="18" t="s">
        <v>45</v>
      </c>
      <c r="B12" s="233" t="s">
        <v>195</v>
      </c>
      <c r="C12" s="233"/>
      <c r="D12" s="233"/>
      <c r="E12" s="233"/>
      <c r="F12" s="233"/>
    </row>
    <row r="13" spans="1:13" x14ac:dyDescent="0.25">
      <c r="B13" s="234" t="s">
        <v>316</v>
      </c>
      <c r="C13" s="235"/>
      <c r="D13" s="235"/>
      <c r="E13" s="235"/>
      <c r="F13" s="235"/>
    </row>
    <row r="14" spans="1:13" x14ac:dyDescent="0.25">
      <c r="B14" s="236" t="s">
        <v>305</v>
      </c>
      <c r="C14" s="237"/>
      <c r="D14" s="237"/>
      <c r="E14" s="237"/>
      <c r="F14" s="237"/>
    </row>
    <row r="15" spans="1:13" x14ac:dyDescent="0.25">
      <c r="B15" s="238" t="s">
        <v>46</v>
      </c>
      <c r="C15" s="238"/>
      <c r="D15" s="238"/>
      <c r="E15" s="238"/>
      <c r="F15" s="238"/>
    </row>
    <row r="17" spans="1:14" x14ac:dyDescent="0.25">
      <c r="A17" s="1" t="s">
        <v>53</v>
      </c>
      <c r="D17" s="233" t="s">
        <v>151</v>
      </c>
      <c r="E17" s="233"/>
      <c r="F17" s="233"/>
      <c r="G17" s="23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2021-10-11T18:43:56Z</dcterms:modified>
</cp:coreProperties>
</file>