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BC57EF70-2041-4D1A-9F8E-285CD0DA5E5F}"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54" r:id="rId3"/>
    <sheet name="Today" sheetId="47" r:id="rId4"/>
    <sheet name="Today-LawOfRiver" sheetId="52" r:id="rId5"/>
    <sheet name="Today-Plots" sheetId="53" r:id="rId6"/>
    <sheet name="8.1-Trade" sheetId="33" r:id="rId7"/>
    <sheet name="8.1-LawOfRiver" sheetId="48" r:id="rId8"/>
    <sheet name="8.1-Plots" sheetId="19" r:id="rId9"/>
    <sheet name="MillenniumRecover-LawOfRiver" sheetId="49" r:id="rId10"/>
    <sheet name="MillenniumRecover-Trade" sheetId="50" r:id="rId11"/>
    <sheet name="Millennium-Plots" sheetId="28" r:id="rId12"/>
    <sheet name="MillenniumRecover-Delta" sheetId="51" r:id="rId13"/>
    <sheet name="LowerBasinCuts" sheetId="41" r:id="rId14"/>
    <sheet name="HydrologicScenarios" sheetId="7" r:id="rId15"/>
    <sheet name="PowellReleaseTemperature" sheetId="43" r:id="rId16"/>
    <sheet name="Powell-Elevation-Area" sheetId="2" r:id="rId17"/>
    <sheet name="Mead-Elevation-Area" sheetId="10" r:id="rId18"/>
    <sheet name="11.0-LawOfRiverShort" sheetId="16" r:id="rId19"/>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9" i="54" l="1"/>
  <c r="K139" i="54"/>
  <c r="J139" i="54"/>
  <c r="I139" i="54"/>
  <c r="H139" i="54"/>
  <c r="G139" i="54"/>
  <c r="F139" i="54"/>
  <c r="E139" i="54"/>
  <c r="D139" i="54"/>
  <c r="C139" i="54"/>
  <c r="L138" i="54"/>
  <c r="K138" i="54"/>
  <c r="J138" i="54"/>
  <c r="I138" i="54"/>
  <c r="H138" i="54"/>
  <c r="G138" i="54"/>
  <c r="F138" i="54"/>
  <c r="E138" i="54"/>
  <c r="D138" i="54"/>
  <c r="C138" i="54"/>
  <c r="L137" i="54"/>
  <c r="K137" i="54"/>
  <c r="J137" i="54"/>
  <c r="I137" i="54"/>
  <c r="H137" i="54"/>
  <c r="G137" i="54"/>
  <c r="F137" i="54"/>
  <c r="E137" i="54"/>
  <c r="D137" i="54"/>
  <c r="C137" i="54"/>
  <c r="L136" i="54"/>
  <c r="K136" i="54"/>
  <c r="J136" i="54"/>
  <c r="I136" i="54"/>
  <c r="H136" i="54"/>
  <c r="G136" i="54"/>
  <c r="F136" i="54"/>
  <c r="E136" i="54"/>
  <c r="D136" i="54"/>
  <c r="C136" i="54"/>
  <c r="L134" i="54"/>
  <c r="K134" i="54"/>
  <c r="J134" i="54"/>
  <c r="I134" i="54"/>
  <c r="H134" i="54"/>
  <c r="G134" i="54"/>
  <c r="F134" i="54"/>
  <c r="E134" i="54"/>
  <c r="D134" i="54"/>
  <c r="C134" i="54"/>
  <c r="L133" i="54"/>
  <c r="K133" i="54"/>
  <c r="J133" i="54"/>
  <c r="I133" i="54"/>
  <c r="H133" i="54"/>
  <c r="G133" i="54"/>
  <c r="F133" i="54"/>
  <c r="E133" i="54"/>
  <c r="D133" i="54"/>
  <c r="C133" i="54"/>
  <c r="L132" i="54"/>
  <c r="K132" i="54"/>
  <c r="D132" i="54"/>
  <c r="C132" i="54"/>
  <c r="L131" i="54"/>
  <c r="K131" i="54"/>
  <c r="J131" i="54"/>
  <c r="I131" i="54"/>
  <c r="H131" i="54"/>
  <c r="G131" i="54"/>
  <c r="F131" i="54"/>
  <c r="E131" i="54"/>
  <c r="D131" i="54"/>
  <c r="C131" i="54"/>
  <c r="L129" i="54"/>
  <c r="K129" i="54"/>
  <c r="J129" i="54"/>
  <c r="I129" i="54"/>
  <c r="H129" i="54"/>
  <c r="G129" i="54"/>
  <c r="F129" i="54"/>
  <c r="E129" i="54"/>
  <c r="D129" i="54"/>
  <c r="C129" i="54"/>
  <c r="I128" i="54"/>
  <c r="G128" i="54"/>
  <c r="A128" i="54"/>
  <c r="F128" i="54" s="1"/>
  <c r="L127" i="54"/>
  <c r="D127" i="54"/>
  <c r="A127" i="54"/>
  <c r="I127" i="54" s="1"/>
  <c r="H126" i="54"/>
  <c r="G126" i="54"/>
  <c r="E126" i="54"/>
  <c r="A126" i="54"/>
  <c r="L126" i="54" s="1"/>
  <c r="A125" i="54"/>
  <c r="K124" i="54"/>
  <c r="F124" i="54"/>
  <c r="E124" i="54"/>
  <c r="C124" i="54"/>
  <c r="A124" i="54"/>
  <c r="J124" i="54" s="1"/>
  <c r="K123" i="54"/>
  <c r="I123" i="54"/>
  <c r="H123" i="54"/>
  <c r="F123" i="54"/>
  <c r="E123" i="54"/>
  <c r="C123" i="54"/>
  <c r="A123" i="54"/>
  <c r="L123" i="54" s="1"/>
  <c r="L121" i="54"/>
  <c r="K121" i="54"/>
  <c r="I121" i="54"/>
  <c r="H121" i="54"/>
  <c r="G121" i="54"/>
  <c r="F121" i="54"/>
  <c r="E121" i="54"/>
  <c r="D121" i="54"/>
  <c r="C121" i="54"/>
  <c r="A121" i="54"/>
  <c r="J121" i="54" s="1"/>
  <c r="L120" i="54"/>
  <c r="I120" i="54"/>
  <c r="G120" i="54"/>
  <c r="F120" i="54"/>
  <c r="D120" i="54"/>
  <c r="C120" i="54"/>
  <c r="A120" i="54"/>
  <c r="K120" i="54" s="1"/>
  <c r="I119" i="54"/>
  <c r="G119" i="54"/>
  <c r="A119" i="54"/>
  <c r="F119" i="54" s="1"/>
  <c r="A118" i="54"/>
  <c r="H117" i="54"/>
  <c r="G117" i="54"/>
  <c r="E117" i="54"/>
  <c r="A117" i="54"/>
  <c r="L117" i="54" s="1"/>
  <c r="H116" i="54"/>
  <c r="A116" i="54"/>
  <c r="L114" i="54"/>
  <c r="K114" i="54"/>
  <c r="J114" i="54"/>
  <c r="I114" i="54"/>
  <c r="H114" i="54"/>
  <c r="G114" i="54"/>
  <c r="F114" i="54"/>
  <c r="E114" i="54"/>
  <c r="D114" i="54"/>
  <c r="C114" i="54"/>
  <c r="I113" i="54"/>
  <c r="G113" i="54"/>
  <c r="A113" i="54"/>
  <c r="N113" i="54" s="1"/>
  <c r="N112" i="54"/>
  <c r="L112" i="54"/>
  <c r="I112" i="54"/>
  <c r="G112" i="54"/>
  <c r="F112" i="54"/>
  <c r="D112" i="54"/>
  <c r="A112" i="54"/>
  <c r="K112" i="54" s="1"/>
  <c r="L111" i="54"/>
  <c r="K111" i="54"/>
  <c r="I111" i="54"/>
  <c r="H111" i="54"/>
  <c r="F111" i="54"/>
  <c r="D111" i="54"/>
  <c r="C111" i="54"/>
  <c r="A111" i="54"/>
  <c r="G111" i="54" s="1"/>
  <c r="N110" i="54"/>
  <c r="K110" i="54"/>
  <c r="I110" i="54"/>
  <c r="H110" i="54"/>
  <c r="F110" i="54"/>
  <c r="C110" i="54"/>
  <c r="A110" i="54"/>
  <c r="N109" i="54"/>
  <c r="K109" i="54"/>
  <c r="H109" i="54"/>
  <c r="F109" i="54"/>
  <c r="E109" i="54"/>
  <c r="C109" i="54"/>
  <c r="A109" i="54"/>
  <c r="J109" i="54" s="1"/>
  <c r="J108" i="54"/>
  <c r="H108" i="54"/>
  <c r="A108" i="54"/>
  <c r="M100" i="54"/>
  <c r="A100" i="54"/>
  <c r="A101" i="54" s="1"/>
  <c r="M99" i="54"/>
  <c r="A99" i="54"/>
  <c r="N99" i="54" s="1"/>
  <c r="A98" i="54"/>
  <c r="J94" i="54"/>
  <c r="A94" i="54"/>
  <c r="M92" i="54"/>
  <c r="A92" i="54"/>
  <c r="M91" i="54"/>
  <c r="A90" i="54"/>
  <c r="A91" i="54" s="1"/>
  <c r="N91" i="54" s="1"/>
  <c r="M84" i="54"/>
  <c r="N111" i="54" s="1"/>
  <c r="M83" i="54"/>
  <c r="A82" i="54"/>
  <c r="A83" i="54" s="1"/>
  <c r="M76" i="54"/>
  <c r="M75" i="54"/>
  <c r="A75" i="54"/>
  <c r="A74" i="54"/>
  <c r="M68" i="54"/>
  <c r="M67" i="54"/>
  <c r="A66" i="54"/>
  <c r="A67" i="54" s="1"/>
  <c r="N67" i="54" s="1"/>
  <c r="M60" i="54"/>
  <c r="M59" i="54"/>
  <c r="A58" i="54"/>
  <c r="A59" i="54" s="1"/>
  <c r="N59" i="54" s="1"/>
  <c r="A55" i="54"/>
  <c r="A54" i="54"/>
  <c r="L53" i="54"/>
  <c r="K53" i="54"/>
  <c r="I53" i="54"/>
  <c r="G53" i="54"/>
  <c r="D53" i="54"/>
  <c r="C53" i="54"/>
  <c r="A53" i="54"/>
  <c r="H53" i="54" s="1"/>
  <c r="L52" i="54"/>
  <c r="G52" i="54"/>
  <c r="F52" i="54"/>
  <c r="D52" i="54"/>
  <c r="A52" i="54"/>
  <c r="K52" i="54" s="1"/>
  <c r="B51" i="54"/>
  <c r="A51" i="54"/>
  <c r="K50" i="54"/>
  <c r="I50" i="54"/>
  <c r="F50" i="54"/>
  <c r="E50" i="54"/>
  <c r="C50" i="54"/>
  <c r="A50" i="54"/>
  <c r="J50" i="54" s="1"/>
  <c r="L49" i="54"/>
  <c r="K49" i="54"/>
  <c r="J49" i="54"/>
  <c r="I49" i="54"/>
  <c r="H49" i="54"/>
  <c r="G49" i="54"/>
  <c r="F49" i="54"/>
  <c r="E49" i="54"/>
  <c r="D49" i="54"/>
  <c r="C49" i="54"/>
  <c r="L48" i="54"/>
  <c r="K48" i="54"/>
  <c r="J48" i="54"/>
  <c r="I48" i="54"/>
  <c r="H48" i="54"/>
  <c r="G48" i="54"/>
  <c r="F48" i="54"/>
  <c r="E48" i="54"/>
  <c r="D48" i="54"/>
  <c r="C48" i="54"/>
  <c r="D47" i="54"/>
  <c r="A47" i="54"/>
  <c r="K46" i="54"/>
  <c r="H46" i="54"/>
  <c r="G46" i="54"/>
  <c r="E46" i="54"/>
  <c r="C46" i="54"/>
  <c r="A46" i="54"/>
  <c r="L46" i="54" s="1"/>
  <c r="A45" i="54"/>
  <c r="K44" i="54"/>
  <c r="I44" i="54"/>
  <c r="F44" i="54"/>
  <c r="E44" i="54"/>
  <c r="C44" i="54"/>
  <c r="A44" i="54"/>
  <c r="J44" i="54" s="1"/>
  <c r="L43" i="54"/>
  <c r="I43" i="54"/>
  <c r="H43" i="54"/>
  <c r="F43" i="54"/>
  <c r="D43" i="54"/>
  <c r="A43" i="54"/>
  <c r="E43" i="54" s="1"/>
  <c r="L42" i="54"/>
  <c r="K42" i="54"/>
  <c r="I42" i="54"/>
  <c r="G42" i="54"/>
  <c r="E42" i="54"/>
  <c r="D42" i="54"/>
  <c r="C42" i="54"/>
  <c r="A42" i="54"/>
  <c r="H42" i="54" s="1"/>
  <c r="L41" i="54"/>
  <c r="K41" i="54"/>
  <c r="J41" i="54"/>
  <c r="I41" i="54"/>
  <c r="H41" i="54"/>
  <c r="G41" i="54"/>
  <c r="F41" i="54"/>
  <c r="E41" i="54"/>
  <c r="D41" i="54"/>
  <c r="C41" i="54"/>
  <c r="L40" i="54"/>
  <c r="K40" i="54"/>
  <c r="J40" i="54"/>
  <c r="I40" i="54"/>
  <c r="H40" i="54"/>
  <c r="G40" i="54"/>
  <c r="F40" i="54"/>
  <c r="E40" i="54"/>
  <c r="D40" i="54"/>
  <c r="C40" i="54"/>
  <c r="L39" i="54"/>
  <c r="K39" i="54"/>
  <c r="J39" i="54"/>
  <c r="I39" i="54"/>
  <c r="H39" i="54"/>
  <c r="G39" i="54"/>
  <c r="F39" i="54"/>
  <c r="E39" i="54"/>
  <c r="D39" i="54"/>
  <c r="C39" i="54"/>
  <c r="L37" i="54"/>
  <c r="J37" i="54"/>
  <c r="E37" i="54"/>
  <c r="D37" i="54"/>
  <c r="A37" i="54"/>
  <c r="K36" i="54"/>
  <c r="H36" i="54"/>
  <c r="G36" i="54"/>
  <c r="E36" i="54"/>
  <c r="C36" i="54"/>
  <c r="A36" i="54"/>
  <c r="L36" i="54" s="1"/>
  <c r="K35" i="54"/>
  <c r="J35" i="54"/>
  <c r="H35" i="54"/>
  <c r="F35" i="54"/>
  <c r="C35" i="54"/>
  <c r="A35" i="54"/>
  <c r="G35" i="54" s="1"/>
  <c r="L34" i="54"/>
  <c r="G34" i="54"/>
  <c r="F34" i="54"/>
  <c r="D34" i="54"/>
  <c r="A34" i="54"/>
  <c r="K34" i="54" s="1"/>
  <c r="B33" i="54"/>
  <c r="A33" i="54"/>
  <c r="K32" i="54"/>
  <c r="F32" i="54"/>
  <c r="E32" i="54"/>
  <c r="C32" i="54"/>
  <c r="A32" i="54"/>
  <c r="J32" i="54" s="1"/>
  <c r="L31" i="54"/>
  <c r="K31" i="54"/>
  <c r="J31" i="54"/>
  <c r="I31" i="54"/>
  <c r="H31" i="54"/>
  <c r="G31" i="54"/>
  <c r="F31" i="54"/>
  <c r="E31" i="54"/>
  <c r="D31" i="54"/>
  <c r="C31" i="54"/>
  <c r="L30" i="54"/>
  <c r="K30" i="54"/>
  <c r="J30" i="54"/>
  <c r="I30" i="54"/>
  <c r="H30" i="54"/>
  <c r="G30" i="54"/>
  <c r="F30" i="54"/>
  <c r="E30" i="54"/>
  <c r="D30" i="54"/>
  <c r="C30" i="54"/>
  <c r="L29" i="54"/>
  <c r="K29" i="54"/>
  <c r="J29" i="54"/>
  <c r="I29" i="54"/>
  <c r="H29" i="54"/>
  <c r="G29" i="54"/>
  <c r="F29" i="54"/>
  <c r="E29" i="54"/>
  <c r="D29" i="54"/>
  <c r="C29" i="54"/>
  <c r="L28" i="54"/>
  <c r="K28" i="54"/>
  <c r="J28" i="54"/>
  <c r="J132" i="54" s="1"/>
  <c r="I28" i="54"/>
  <c r="I132" i="54" s="1"/>
  <c r="H28" i="54"/>
  <c r="H132" i="54" s="1"/>
  <c r="G28" i="54"/>
  <c r="G132" i="54" s="1"/>
  <c r="F28" i="54"/>
  <c r="F132" i="54" s="1"/>
  <c r="E28" i="54"/>
  <c r="E132" i="54" s="1"/>
  <c r="D28" i="54"/>
  <c r="C28" i="54"/>
  <c r="C23" i="54"/>
  <c r="B23" i="54"/>
  <c r="B32" i="54" s="1"/>
  <c r="A1" i="54"/>
  <c r="G45" i="54" l="1"/>
  <c r="F45" i="54"/>
  <c r="E45" i="54"/>
  <c r="L45" i="54"/>
  <c r="D45" i="54"/>
  <c r="I45" i="54"/>
  <c r="G94" i="54"/>
  <c r="A95" i="54"/>
  <c r="F94" i="54"/>
  <c r="K94" i="54"/>
  <c r="N94" i="54"/>
  <c r="E94" i="54"/>
  <c r="C94" i="54"/>
  <c r="L94" i="54"/>
  <c r="D94" i="54"/>
  <c r="I94" i="54"/>
  <c r="A102" i="54"/>
  <c r="G125" i="54"/>
  <c r="K125" i="54"/>
  <c r="F125" i="54"/>
  <c r="E125" i="54"/>
  <c r="C125" i="54"/>
  <c r="L125" i="54"/>
  <c r="D125" i="54"/>
  <c r="I125" i="54"/>
  <c r="H125" i="54"/>
  <c r="I37" i="54"/>
  <c r="H37" i="54"/>
  <c r="G37" i="54"/>
  <c r="F37" i="54"/>
  <c r="K37" i="54"/>
  <c r="C37" i="54"/>
  <c r="C45" i="54"/>
  <c r="H94" i="54"/>
  <c r="J125" i="54"/>
  <c r="F51" i="54"/>
  <c r="E51" i="54"/>
  <c r="L51" i="54"/>
  <c r="D51" i="54"/>
  <c r="K51" i="54"/>
  <c r="C51" i="54"/>
  <c r="H51" i="54"/>
  <c r="N101" i="54"/>
  <c r="F101" i="54"/>
  <c r="M101" i="54"/>
  <c r="E101" i="54"/>
  <c r="L101" i="54"/>
  <c r="D101" i="54"/>
  <c r="K101" i="54"/>
  <c r="C101" i="54"/>
  <c r="H101" i="54"/>
  <c r="J45" i="54"/>
  <c r="I47" i="54"/>
  <c r="H47" i="54"/>
  <c r="G47" i="54"/>
  <c r="F47" i="54"/>
  <c r="K47" i="54"/>
  <c r="C47" i="54"/>
  <c r="A93" i="54"/>
  <c r="N92" i="54"/>
  <c r="I118" i="54"/>
  <c r="H118" i="54"/>
  <c r="E118" i="54"/>
  <c r="G118" i="54"/>
  <c r="F118" i="54"/>
  <c r="K118" i="54"/>
  <c r="C118" i="54"/>
  <c r="H45" i="54"/>
  <c r="K45" i="54"/>
  <c r="A76" i="54"/>
  <c r="N75" i="54"/>
  <c r="B35" i="54"/>
  <c r="B31" i="54" s="1"/>
  <c r="E47" i="54"/>
  <c r="I51" i="54"/>
  <c r="G101" i="54"/>
  <c r="G116" i="54"/>
  <c r="F116" i="54"/>
  <c r="K116" i="54"/>
  <c r="C116" i="54"/>
  <c r="E116" i="54"/>
  <c r="L116" i="54"/>
  <c r="D116" i="54"/>
  <c r="I116" i="54"/>
  <c r="D118" i="54"/>
  <c r="F33" i="54"/>
  <c r="E33" i="54"/>
  <c r="L33" i="54"/>
  <c r="D33" i="54"/>
  <c r="K33" i="54"/>
  <c r="C33" i="54"/>
  <c r="H33" i="54"/>
  <c r="A68" i="54"/>
  <c r="N83" i="54"/>
  <c r="A84" i="54"/>
  <c r="J47" i="54"/>
  <c r="J118" i="54"/>
  <c r="G33" i="54"/>
  <c r="G51" i="54"/>
  <c r="N100" i="54"/>
  <c r="I33" i="54"/>
  <c r="J33" i="54"/>
  <c r="J51" i="54"/>
  <c r="I101" i="54"/>
  <c r="L47" i="54"/>
  <c r="A60" i="54"/>
  <c r="J101" i="54"/>
  <c r="G108" i="54"/>
  <c r="N108" i="54"/>
  <c r="F108" i="54"/>
  <c r="C108" i="54"/>
  <c r="E108" i="54"/>
  <c r="K108" i="54"/>
  <c r="L108" i="54"/>
  <c r="D108" i="54"/>
  <c r="I108" i="54"/>
  <c r="J116" i="54"/>
  <c r="L118" i="54"/>
  <c r="J127" i="54"/>
  <c r="D32" i="54"/>
  <c r="L32" i="54"/>
  <c r="E34" i="54"/>
  <c r="I35" i="54"/>
  <c r="F36" i="54"/>
  <c r="J42" i="54"/>
  <c r="G43" i="54"/>
  <c r="D44" i="54"/>
  <c r="L44" i="54"/>
  <c r="F46" i="54"/>
  <c r="D50" i="54"/>
  <c r="L50" i="54"/>
  <c r="E52" i="54"/>
  <c r="J53" i="54"/>
  <c r="D109" i="54"/>
  <c r="L109" i="54"/>
  <c r="G110" i="54"/>
  <c r="J111" i="54"/>
  <c r="E112" i="54"/>
  <c r="M112" i="54"/>
  <c r="H113" i="54"/>
  <c r="F117" i="54"/>
  <c r="H119" i="54"/>
  <c r="E120" i="54"/>
  <c r="G123" i="54"/>
  <c r="D124" i="54"/>
  <c r="L124" i="54"/>
  <c r="F126" i="54"/>
  <c r="C127" i="54"/>
  <c r="K127" i="54"/>
  <c r="H128" i="54"/>
  <c r="G32" i="54"/>
  <c r="H34" i="54"/>
  <c r="D35" i="54"/>
  <c r="L35" i="54"/>
  <c r="I36" i="54"/>
  <c r="J43" i="54"/>
  <c r="G44" i="54"/>
  <c r="I46" i="54"/>
  <c r="G50" i="54"/>
  <c r="H52" i="54"/>
  <c r="E53" i="54"/>
  <c r="G109" i="54"/>
  <c r="J110" i="54"/>
  <c r="E111" i="54"/>
  <c r="M111" i="54" s="1"/>
  <c r="H112" i="54"/>
  <c r="C113" i="54"/>
  <c r="K113" i="54"/>
  <c r="I117" i="54"/>
  <c r="C119" i="54"/>
  <c r="K119" i="54"/>
  <c r="H120" i="54"/>
  <c r="J123" i="54"/>
  <c r="G124" i="54"/>
  <c r="I126" i="54"/>
  <c r="F127" i="54"/>
  <c r="C128" i="54"/>
  <c r="K128" i="54"/>
  <c r="E127" i="54"/>
  <c r="H32" i="54"/>
  <c r="I34" i="54"/>
  <c r="E35" i="54"/>
  <c r="J36" i="54"/>
  <c r="F42" i="54"/>
  <c r="C43" i="54"/>
  <c r="K43" i="54"/>
  <c r="H44" i="54"/>
  <c r="J46" i="54"/>
  <c r="H50" i="54"/>
  <c r="I52" i="54"/>
  <c r="F53" i="54"/>
  <c r="D113" i="54"/>
  <c r="L113" i="54"/>
  <c r="J117" i="54"/>
  <c r="D119" i="54"/>
  <c r="L119" i="54"/>
  <c r="H124" i="54"/>
  <c r="J126" i="54"/>
  <c r="G127" i="54"/>
  <c r="D128" i="54"/>
  <c r="L128" i="54"/>
  <c r="J113" i="54"/>
  <c r="J119" i="54"/>
  <c r="J128" i="54"/>
  <c r="J34" i="54"/>
  <c r="J52" i="54"/>
  <c r="I109" i="54"/>
  <c r="D110" i="54"/>
  <c r="L110" i="54"/>
  <c r="J112" i="54"/>
  <c r="E113" i="54"/>
  <c r="M113" i="54"/>
  <c r="C117" i="54"/>
  <c r="K117" i="54"/>
  <c r="E119" i="54"/>
  <c r="J120" i="54"/>
  <c r="D123" i="54"/>
  <c r="I124" i="54"/>
  <c r="C126" i="54"/>
  <c r="K126" i="54"/>
  <c r="H127" i="54"/>
  <c r="E128" i="54"/>
  <c r="I32" i="54"/>
  <c r="C34" i="54"/>
  <c r="D36" i="54"/>
  <c r="D46" i="54"/>
  <c r="C52" i="54"/>
  <c r="E110" i="54"/>
  <c r="C112" i="54"/>
  <c r="F113" i="54"/>
  <c r="D117" i="54"/>
  <c r="D126" i="54"/>
  <c r="M110" i="54" l="1"/>
  <c r="M108" i="54"/>
  <c r="M109" i="54"/>
  <c r="A85" i="54"/>
  <c r="A86" i="54"/>
  <c r="A69" i="54"/>
  <c r="A70" i="54"/>
  <c r="A78" i="54"/>
  <c r="A77" i="54"/>
  <c r="L93" i="54"/>
  <c r="D93" i="54"/>
  <c r="H93" i="54"/>
  <c r="K93" i="54"/>
  <c r="C93" i="54"/>
  <c r="J93" i="54"/>
  <c r="I93" i="54"/>
  <c r="N93" i="54"/>
  <c r="F93" i="54"/>
  <c r="M93" i="54"/>
  <c r="G93" i="54"/>
  <c r="E93" i="54"/>
  <c r="A61" i="54"/>
  <c r="N60" i="54"/>
  <c r="N68" i="54" s="1"/>
  <c r="N76" i="54" s="1"/>
  <c r="N84" i="54" s="1"/>
  <c r="A62" i="54"/>
  <c r="I102" i="54"/>
  <c r="H102" i="54"/>
  <c r="E102" i="54"/>
  <c r="G102" i="54"/>
  <c r="A103" i="54"/>
  <c r="F102" i="54"/>
  <c r="N102" i="54"/>
  <c r="K102" i="54"/>
  <c r="C102" i="54"/>
  <c r="J102" i="54"/>
  <c r="L102" i="54"/>
  <c r="D102" i="54"/>
  <c r="N95" i="54"/>
  <c r="A96" i="54"/>
  <c r="G62" i="54" l="1"/>
  <c r="A63" i="54"/>
  <c r="F62" i="54"/>
  <c r="N62" i="54"/>
  <c r="N70" i="54" s="1"/>
  <c r="N78" i="54" s="1"/>
  <c r="N86" i="54" s="1"/>
  <c r="E62" i="54"/>
  <c r="L62" i="54"/>
  <c r="D62" i="54"/>
  <c r="I62" i="54"/>
  <c r="H62" i="54"/>
  <c r="C62" i="54"/>
  <c r="K62" i="54"/>
  <c r="J62" i="54"/>
  <c r="I70" i="54"/>
  <c r="H70" i="54"/>
  <c r="G70" i="54"/>
  <c r="A71" i="54"/>
  <c r="F70" i="54"/>
  <c r="K70" i="54"/>
  <c r="C70" i="54"/>
  <c r="J70" i="54"/>
  <c r="D70" i="54"/>
  <c r="L70" i="54"/>
  <c r="E70" i="54"/>
  <c r="A104" i="54"/>
  <c r="N103" i="54"/>
  <c r="F69" i="54"/>
  <c r="M69" i="54"/>
  <c r="E69" i="54"/>
  <c r="L69" i="54"/>
  <c r="D69" i="54"/>
  <c r="K69" i="54"/>
  <c r="C69" i="54"/>
  <c r="H69" i="54"/>
  <c r="I69" i="54"/>
  <c r="G69" i="54"/>
  <c r="J69" i="54"/>
  <c r="H77" i="54"/>
  <c r="G77" i="54"/>
  <c r="F77" i="54"/>
  <c r="M77" i="54"/>
  <c r="E77" i="54"/>
  <c r="J77" i="54"/>
  <c r="L77" i="54"/>
  <c r="I77" i="54"/>
  <c r="K77" i="54"/>
  <c r="D77" i="54"/>
  <c r="C77" i="54"/>
  <c r="K78" i="54"/>
  <c r="C78" i="54"/>
  <c r="J78" i="54"/>
  <c r="I78" i="54"/>
  <c r="G78" i="54"/>
  <c r="H78" i="54"/>
  <c r="E78" i="54"/>
  <c r="L78" i="54"/>
  <c r="F78" i="54"/>
  <c r="D78" i="54"/>
  <c r="A79" i="54"/>
  <c r="E86" i="54"/>
  <c r="I86" i="54"/>
  <c r="L86" i="54"/>
  <c r="D86" i="54"/>
  <c r="K86" i="54"/>
  <c r="C86" i="54"/>
  <c r="J86" i="54"/>
  <c r="G86" i="54"/>
  <c r="H86" i="54"/>
  <c r="A87" i="54"/>
  <c r="F86" i="54"/>
  <c r="L61" i="54"/>
  <c r="D61" i="54"/>
  <c r="K61" i="54"/>
  <c r="C61" i="54"/>
  <c r="J61" i="54"/>
  <c r="I61" i="54"/>
  <c r="N61" i="54"/>
  <c r="N69" i="54" s="1"/>
  <c r="N77" i="54" s="1"/>
  <c r="N85" i="54" s="1"/>
  <c r="F61" i="54"/>
  <c r="M61" i="54"/>
  <c r="H61" i="54"/>
  <c r="G61" i="54"/>
  <c r="E61" i="54"/>
  <c r="I96" i="54"/>
  <c r="E96" i="54"/>
  <c r="H96" i="54"/>
  <c r="G96" i="54"/>
  <c r="N96" i="54"/>
  <c r="F96" i="54"/>
  <c r="K96" i="54"/>
  <c r="C96" i="54"/>
  <c r="L96" i="54"/>
  <c r="D96" i="54"/>
  <c r="J96" i="54"/>
  <c r="J85" i="54"/>
  <c r="F85" i="54"/>
  <c r="I85" i="54"/>
  <c r="H85" i="54"/>
  <c r="G85" i="54"/>
  <c r="L85" i="54"/>
  <c r="D85" i="54"/>
  <c r="C85" i="54"/>
  <c r="M85" i="54"/>
  <c r="K85" i="54"/>
  <c r="E85" i="54"/>
  <c r="A80" i="54" l="1"/>
  <c r="A72" i="54"/>
  <c r="N63" i="54"/>
  <c r="N71" i="54" s="1"/>
  <c r="N79" i="54" s="1"/>
  <c r="N87" i="54" s="1"/>
  <c r="A64" i="54"/>
  <c r="A88" i="54"/>
  <c r="K104" i="54"/>
  <c r="C104" i="54"/>
  <c r="J104" i="54"/>
  <c r="G104" i="54"/>
  <c r="I104" i="54"/>
  <c r="H104" i="54"/>
  <c r="N104" i="54"/>
  <c r="E104" i="54"/>
  <c r="L104" i="54"/>
  <c r="F104" i="54"/>
  <c r="D104" i="54"/>
  <c r="I64" i="54" l="1"/>
  <c r="H64" i="54"/>
  <c r="G64" i="54"/>
  <c r="F64" i="54"/>
  <c r="K64" i="54"/>
  <c r="C64" i="54"/>
  <c r="N64" i="54"/>
  <c r="N72" i="54" s="1"/>
  <c r="N80" i="54" s="1"/>
  <c r="N88" i="54" s="1"/>
  <c r="L64" i="54"/>
  <c r="E64" i="54"/>
  <c r="J64" i="54"/>
  <c r="D64" i="54"/>
  <c r="K72" i="54"/>
  <c r="C72" i="54"/>
  <c r="J72" i="54"/>
  <c r="I72" i="54"/>
  <c r="H72" i="54"/>
  <c r="E72" i="54"/>
  <c r="D72" i="54"/>
  <c r="L72" i="54"/>
  <c r="G72" i="54"/>
  <c r="F72" i="54"/>
  <c r="G88" i="54"/>
  <c r="F88" i="54"/>
  <c r="E88" i="54"/>
  <c r="C88" i="54"/>
  <c r="L88" i="54"/>
  <c r="D88" i="54"/>
  <c r="K88" i="54"/>
  <c r="I88" i="54"/>
  <c r="H88" i="54"/>
  <c r="J88" i="54"/>
  <c r="E80" i="54"/>
  <c r="I80" i="54"/>
  <c r="L80" i="54"/>
  <c r="D80" i="54"/>
  <c r="K80" i="54"/>
  <c r="C80" i="54"/>
  <c r="J80" i="54"/>
  <c r="G80" i="54"/>
  <c r="F80" i="54"/>
  <c r="H80" i="54"/>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N84"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3"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<sst xmlns="http://schemas.openxmlformats.org/spreadsheetml/2006/main" count="1211" uniqueCount="369">
  <si>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</si>
  <si>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</si>
  <si>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</si>
  <si>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</si>
  <si>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</si>
  <si>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</si>
  <si>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</si>
  <si>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</si>
  <si>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</si>
  <si>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</si>
  <si>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</si>
  <si>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</si>
  <si>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</si>
  <si>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</si>
  <si>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</si>
  <si>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</si>
  <si>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</si>
  <si>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</si>
  <si>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</si>
  <si>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</si>
  <si>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</si>
  <si>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</si>
  <si>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</si>
  <si>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</si>
  <si>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</si>
  <si>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</si>
  <si>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</si>
  <si>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</si>
  <si>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</si>
  <si>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</si>
  <si>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</si>
  <si>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</si>
  <si>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</si>
  <si>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</si>
  <si>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</si>
  <si>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</si>
  <si>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</si>
  <si>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</si>
  <si>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</si>
  <si>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</si>
  <si>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</si>
  <si>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</si>
  <si>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</si>
  <si>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</si>
  <si>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</si>
  <si>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</si>
  <si>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</si>
  <si>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</si>
  <si>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</si>
  <si>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</si>
  <si>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</si>
  <si>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</si>
  <si>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</si>
  <si>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</si>
  <si>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</si>
  <si>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</si>
  <si>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</si>
  <si>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</si>
  <si>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</si>
  <si>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</si>
  <si>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</si>
  <si>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</si>
  <si>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</si>
  <si>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</si>
  <si>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</si>
  <si>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</si>
  <si>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</si>
  <si>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</si>
  <si>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</si>
  <si>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</si>
  <si>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</si>
  <si>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</si>
  <si>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</si>
  <si>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</si>
  <si>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</si>
  <si>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</si>
  <si>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</si>
  <si>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</si>
  <si>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</si>
  <si>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</si>
  <si>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</si>
  <si>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</si>
  <si>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</si>
  <si>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</si>
  <si>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</si>
  <si>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</si>
  <si>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</si>
  <si>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</si>
  <si>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</si>
  <si>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</si>
  <si>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</si>
  <si>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</si>
  <si>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</si>
  <si>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</si>
  <si>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</si>
  <si>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</si>
  <si>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</si>
  <si>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</si>
  <si>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</si>
  <si>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</si>
  <si>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</si>
  <si>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</si>
  <si>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</si>
  <si>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</si>
  <si>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</si>
  <si>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</si>
  <si>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</si>
  <si>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</si>
  <si>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</si>
  <si>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</si>
  <si>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</si>
  <si>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</si>
  <si>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</si>
  <si>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</si>
  <si>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</si>
  <si>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</si>
  <si>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</si>
  <si>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</si>
  <si>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</si>
  <si>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</si>
  <si>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</si>
  <si>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</si>
  <si>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</si>
  <si>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</si>
  <si>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</si>
  <si>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</si>
  <si>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</si>
  <si>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</si>
  <si>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</si>
  <si>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</si>
  <si>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</si>
  <si>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</si>
  <si>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</si>
  <si>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</si>
  <si>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</si>
  <si>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</si>
  <si>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</si>
  <si>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</si>
  <si>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</si>
  <si>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</si>
  <si>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</si>
  <si>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</si>
  <si>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</si>
  <si>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</si>
  <si>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</si>
  <si>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</si>
  <si>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</si>
  <si>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</si>
  <si>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</si>
  <si>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</si>
  <si>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</si>
  <si>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</si>
  <si>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</si>
  <si>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</si>
  <si>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</si>
  <si>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</si>
  <si>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</si>
  <si>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</si>
  <si>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</si>
  <si>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</si>
  <si>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</si>
  <si>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</si>
  <si>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</si>
  <si>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</si>
  <si>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</si>
  <si>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</si>
  <si>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</si>
  <si>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</si>
  <si>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</si>
  <si>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</si>
  <si>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</si>
  <si>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</si>
  <si>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</si>
  <si>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</si>
  <si>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</si>
  <si>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</si>
  <si>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</si>
  <si>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</si>
  <si>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</si>
  <si>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</si>
  <si>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</si>
  <si>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</si>
  <si>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</si>
  <si>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</si>
  <si>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</si>
  <si>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</si>
  <si>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</si>
  <si>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</si>
  <si>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</si>
  <si>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</si>
  <si>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</si>
  <si>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</si>
  <si>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</si>
  <si>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</si>
  <si>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</si>
  <si>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</si>
  <si>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</si>
  <si>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</si>
  <si>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</si>
  <si>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</si>
  <si>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</si>
  <si>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</si>
  <si>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</si>
  <si>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</si>
  <si>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</si>
  <si>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</si>
  <si>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</si>
  <si>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</si>
  <si>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</si>
  <si>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</si>
  <si>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</si>
  <si>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</si>
  <si>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</si>
  <si>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</si>
  <si>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</si>
  <si>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</si>
  <si>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</si>
  <si>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</si>
  <si>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</si>
  <si>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</si>
  <si>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</si>
  <si>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</si>
  <si>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</si>
  <si>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</si>
  <si>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</si>
  <si>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</si>
  <si>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</si>
  <si>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</si>
  <si>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</si>
  <si>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</si>
  <si>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</si>
  <si>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</si>
  <si>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</si>
  <si>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</si>
  <si>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</si>
  <si>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</si>
  <si>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</si>
  <si>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</si>
  <si>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</si>
  <si>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</si>
  <si>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</si>
  <si>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</si>
  <si>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</si>
  <si>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</si>
  <si>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</si>
  <si>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</si>
  <si>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</si>
  <si>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</si>
  <si>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</si>
  <si>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</si>
  <si>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</si>
  <si>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</si>
  <si>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</si>
  <si>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</si>
  <si>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</si>
  <si>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</si>
  <si>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</si>
  <si>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</si>
  <si>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</si>
  <si>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</si>
  <si>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</si>
  <si>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</si>
  <si>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</si>
  <si>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</si>
  <si>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</si>
  <si>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</si>
  <si>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</si>
  <si>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</si>
  <si>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</si>
  <si>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</si>
  <si>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</si>
  <si>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</si>
  <si>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</si>
  <si>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</si>
  <si>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</si>
  <si>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</si>
  <si>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</si>
  <si>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</si>
  <si>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</si>
  <si>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</si>
  <si>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</si>
  <si>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</si>
  <si>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</si>
  <si>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</si>
  <si>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</si>
  <si>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</si>
  <si>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</si>
  <si>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</si>
  <si>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</si>
  <si>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</si>
  <si>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</si>
  <si>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</si>
  <si>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</si>
  <si>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</si>
  <si>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</si>
  <si>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</si>
  <si>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</si>
  <si>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</si>
  <si>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</si>
  <si>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</si>
  <si>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</si>
  <si>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</si>
  <si>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</si>
  <si>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</si>
  <si>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</si>
  <si>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</si>
  <si>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</si>
  <si>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</si>
  <si>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</si>
  <si>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</si>
  <si>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</si>
  <si>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</si>
  <si>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</si>
  <si>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</si>
  <si>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</si>
  <si>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</si>
  <si>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</si>
  <si>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</si>
  <si>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</si>
  <si>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</si>
  <si>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</si>
  <si>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</si>
  <si>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</si>
  <si>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</si>
  <si>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</si>
  <si>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</si>
  <si>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</si>
  <si>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</si>
  <si>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</si>
  <si>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</si>
  <si>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</si>
  <si>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</si>
  <si>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</si>
  <si>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</si>
  <si>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</si>
  <si>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</si>
  <si>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Today</t>
  </si>
  <si>
    <t>Copy of Master. Use to play because links to to Today-LawOfRiver and Today-Plots</t>
  </si>
  <si>
    <t>Today-LawOfRiver</t>
  </si>
  <si>
    <t>Uses same hydrology as on Today worksheet. All political choices are coded for the Law of River. Compare Today and Today-LawOfRiver Results on Today-Plots worksheet</t>
  </si>
  <si>
    <t>Today-Plots</t>
  </si>
  <si>
    <t>Plots of Lower and Upper Basin consuptive use, account balance, and combined balance for the Today and Today-LawOfRiver worksheets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</si>
  <si>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</si>
  <si>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</si>
  <si>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</si>
  <si>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</si>
  <si>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</si>
  <si>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</si>
  <si>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Start work in the "Today" worksheet to compare results to Law of River operations. OR copy the Master workshet and rename.</t>
  </si>
  <si>
    <t>On the "Today"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</si>
  <si>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reveal the hydrologic scenario to the players. Or the players may choose each annual hydrology. See the HydrologicScenarios worksheet for some potential hydrologies.</t>
    </r>
  </si>
  <si>
    <t xml:space="preserve">   Prior 9 year Lake Powell Release (maf)</t>
  </si>
  <si>
    <t>Set in Upper and Lower Basin drought contingency plans</t>
  </si>
  <si>
    <t xml:space="preserve">Because of prior 9 year release, Upper Basin can hold some water in Year 1 </t>
  </si>
  <si>
    <t>Mead to Imperial Dam intervening inflow</t>
  </si>
  <si>
    <t>David R., Funder</t>
  </si>
  <si>
    <t>Account for joint power revenues from Mead and Powell</t>
  </si>
  <si>
    <t>Carry over Version 3.5 changes to other worksheets</t>
  </si>
  <si>
    <t xml:space="preserve">In Year 1, Upper </t>
  </si>
  <si>
    <t>Enter reservoir evaporation rates, storating storages, and protect elevations for Lake Powell and Lake Mead in Rows 20-23. Enter Prior 9-year Lake Powell release in Row 24.</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</si>
  <si>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</si>
  <si>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</si>
  <si>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</si>
  <si>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</si>
  <si>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</si>
  <si>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</si>
  <si>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</si>
  <si>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</si>
  <si>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Add Hoover to Imperial intervening flow up top on Today sheet. Upper Basin can draw on 9-year Powell Release in Year 1 when calculate share of Powell Natural Inflow. Upper and Lower Basin share of inflow effected by shared, reserve volume in each basin. Replicated for Master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</si>
</sst>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418">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Today!$C$26:$G$26</c:f>
              <c:strCache>
                <c:ptCount val="5"/>
                <c:pt idx="0">
                  <c:v>Year 1</c:v>
                </c:pt>
                <c:pt idx="1">
                  <c:v>Year 2</c:v>
                </c:pt>
                <c:pt idx="2">
                  <c:v>Year 3</c:v>
                </c:pt>
                <c:pt idx="3">
                  <c:v>Year 4</c:v>
                </c:pt>
                <c:pt idx="4">
                  <c:v>Year 5</c:v>
                </c:pt>
              </c:strCache>
            </c:strRef>
          </c:cat>
          <c:val>
            <c:numRef>
              <c:f>Today!$C$117:$G$117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Today!$C$26:$G$26</c:f>
              <c:strCache>
                <c:ptCount val="5"/>
                <c:pt idx="0">
                  <c:v>Year 1</c:v>
                </c:pt>
                <c:pt idx="1">
                  <c:v>Year 2</c:v>
                </c:pt>
                <c:pt idx="2">
                  <c:v>Year 3</c:v>
                </c:pt>
                <c:pt idx="3">
                  <c:v>Year 4</c:v>
                </c:pt>
                <c:pt idx="4">
                  <c:v>Year 5</c:v>
                </c:pt>
              </c:strCache>
            </c:strRef>
          </c:cat>
          <c:val>
            <c:numRef>
              <c:f>'Today-LawOfRiver'!$C$115:$G$115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59" t="s">
        <v>331</v>
      </c>
      <c r="B4" s="159"/>
      <c r="C4" s="159"/>
      <c r="D4" s="159"/>
      <c r="E4" s="159"/>
      <c r="F4" s="159"/>
      <c r="G4" s="159"/>
      <c r="H4" s="159"/>
      <c r="I4" s="159"/>
      <c r="J4" s="159"/>
      <c r="K4" s="159"/>
      <c r="L4" s="159"/>
      <c r="N4" s="163" t="s">
        <v>320</v>
      </c>
      <c r="O4" s="163"/>
      <c r="P4" s="163"/>
      <c r="Q4" s="163"/>
      <c r="R4" s="163"/>
    </row>
    <row r="5" spans="1:18" s="32" customFormat="1" ht="16" customHeight="1" x14ac:dyDescent="0.35">
      <c r="A5" s="159" t="s">
        <v>321</v>
      </c>
      <c r="B5" s="159"/>
      <c r="C5" s="159"/>
      <c r="D5" s="159"/>
      <c r="E5" s="159"/>
      <c r="F5" s="159"/>
      <c r="G5" s="159"/>
      <c r="H5" s="159"/>
      <c r="I5" s="159"/>
      <c r="J5" s="159"/>
      <c r="K5" s="159"/>
      <c r="L5" s="159"/>
    </row>
    <row r="6" spans="1:18" s="32" customFormat="1" ht="32.5" customHeight="1" x14ac:dyDescent="0.35">
      <c r="A6" s="160" t="s">
        <v>230</v>
      </c>
      <c r="B6" s="160"/>
      <c r="C6" s="160"/>
      <c r="D6" s="160"/>
      <c r="E6" s="160"/>
      <c r="F6" s="160"/>
      <c r="G6" s="160"/>
      <c r="H6" s="160"/>
      <c r="I6" s="160"/>
      <c r="J6" s="160"/>
      <c r="K6" s="160"/>
      <c r="L6" s="160"/>
      <c r="N6" s="148" t="s">
        <v>322</v>
      </c>
    </row>
    <row r="7" spans="1:18" s="32" customFormat="1" ht="32.5" customHeight="1" x14ac:dyDescent="0.35">
      <c r="A7" s="160" t="s">
        <v>232</v>
      </c>
      <c r="B7" s="160"/>
      <c r="C7" s="160"/>
      <c r="D7" s="160"/>
      <c r="E7" s="160"/>
      <c r="F7" s="160"/>
      <c r="G7" s="160"/>
      <c r="H7" s="160"/>
      <c r="I7" s="160"/>
      <c r="J7" s="160"/>
      <c r="K7" s="160"/>
      <c r="L7" s="160"/>
    </row>
    <row r="8" spans="1:18" s="32" customFormat="1" ht="16.5" customHeight="1" x14ac:dyDescent="0.35">
      <c r="A8" s="160" t="s">
        <v>323</v>
      </c>
      <c r="B8" s="160"/>
      <c r="C8" s="160"/>
      <c r="D8" s="160"/>
      <c r="E8" s="160"/>
      <c r="F8" s="160"/>
      <c r="G8" s="160"/>
      <c r="H8" s="160"/>
      <c r="I8" s="160"/>
      <c r="J8" s="160"/>
      <c r="K8" s="160"/>
      <c r="L8" s="160"/>
    </row>
    <row r="9" spans="1:18" s="32" customFormat="1" ht="15" customHeight="1" x14ac:dyDescent="0.35">
      <c r="A9" s="160" t="s">
        <v>235</v>
      </c>
      <c r="B9" s="160"/>
      <c r="C9" s="160"/>
      <c r="D9" s="160"/>
      <c r="E9" s="160"/>
      <c r="F9" s="160"/>
      <c r="G9" s="160"/>
      <c r="H9" s="160"/>
      <c r="I9" s="160"/>
      <c r="J9" s="160"/>
      <c r="K9" s="160"/>
      <c r="L9" s="160"/>
    </row>
    <row r="10" spans="1:18" s="32" customFormat="1" ht="32" customHeight="1" x14ac:dyDescent="0.35">
      <c r="A10" s="160" t="s">
        <v>332</v>
      </c>
      <c r="B10" s="160"/>
      <c r="C10" s="160"/>
      <c r="D10" s="160"/>
      <c r="E10" s="160"/>
      <c r="F10" s="160"/>
      <c r="G10" s="160"/>
      <c r="H10" s="160"/>
      <c r="I10" s="160"/>
      <c r="J10" s="160"/>
      <c r="K10" s="160"/>
      <c r="L10" s="160"/>
    </row>
    <row r="11" spans="1:18" ht="69" customHeight="1" x14ac:dyDescent="0.35">
      <c r="A11" s="160" t="s">
        <v>333</v>
      </c>
      <c r="B11" s="160"/>
      <c r="C11" s="160"/>
      <c r="D11" s="160"/>
      <c r="E11" s="160"/>
      <c r="F11" s="160"/>
      <c r="G11" s="160"/>
      <c r="H11" s="160"/>
      <c r="I11" s="160"/>
      <c r="J11" s="160"/>
      <c r="K11" s="160"/>
      <c r="L11" s="160"/>
    </row>
    <row r="12" spans="1:18" ht="50.5" customHeight="1" x14ac:dyDescent="0.35">
      <c r="A12" s="160" t="s">
        <v>346</v>
      </c>
      <c r="B12" s="160"/>
      <c r="C12" s="160"/>
      <c r="D12" s="160"/>
      <c r="E12" s="160"/>
      <c r="F12" s="160"/>
      <c r="G12" s="160"/>
      <c r="H12" s="160"/>
      <c r="I12" s="160"/>
      <c r="J12" s="160"/>
      <c r="K12" s="160"/>
      <c r="L12" s="160"/>
    </row>
    <row r="13" spans="1:18" ht="48.5" customHeight="1" x14ac:dyDescent="0.35">
      <c r="A13" s="160" t="s">
        <v>200</v>
      </c>
      <c r="B13" s="160"/>
      <c r="C13" s="160"/>
      <c r="D13" s="160"/>
      <c r="E13" s="160"/>
      <c r="F13" s="160"/>
      <c r="G13" s="160"/>
      <c r="H13" s="160"/>
      <c r="I13" s="160"/>
      <c r="J13" s="160"/>
      <c r="K13" s="160"/>
      <c r="L13" s="160"/>
    </row>
    <row r="14" spans="1:18" ht="15.5" customHeight="1" x14ac:dyDescent="0.35">
      <c r="A14" s="160" t="s">
        <v>347</v>
      </c>
      <c r="B14" s="160"/>
      <c r="C14" s="160"/>
      <c r="D14" s="160"/>
      <c r="E14" s="160"/>
      <c r="F14" s="160"/>
      <c r="G14" s="160"/>
      <c r="H14" s="160"/>
      <c r="I14" s="160"/>
      <c r="J14" s="160"/>
      <c r="K14" s="160"/>
      <c r="L14" s="160"/>
    </row>
    <row r="15" spans="1:18" x14ac:dyDescent="0.35">
      <c r="B15" s="15"/>
      <c r="C15" s="15"/>
      <c r="D15" s="15"/>
      <c r="E15" s="15"/>
      <c r="F15" s="15"/>
      <c r="G15" s="15"/>
      <c r="H15" s="15"/>
      <c r="I15" s="15"/>
      <c r="J15" s="15"/>
      <c r="K15" s="15"/>
      <c r="L15" s="15"/>
    </row>
    <row r="16" spans="1:18" ht="16.5" customHeight="1" x14ac:dyDescent="0.35">
      <c r="A16" s="165" t="s">
        <v>201</v>
      </c>
      <c r="B16" s="166"/>
      <c r="C16" s="166"/>
      <c r="D16" s="166"/>
      <c r="E16" s="166"/>
      <c r="F16" s="166"/>
      <c r="G16" s="166"/>
      <c r="H16" s="166"/>
      <c r="I16" s="166"/>
      <c r="J16" s="166"/>
      <c r="K16" s="166"/>
      <c r="L16" s="167"/>
    </row>
    <row r="17" spans="1:12" ht="16.5" customHeight="1" x14ac:dyDescent="0.35">
      <c r="A17" s="28">
        <v>1</v>
      </c>
      <c r="B17" s="161" t="s">
        <v>141</v>
      </c>
      <c r="C17" s="161"/>
      <c r="D17" s="161"/>
      <c r="E17" s="161"/>
      <c r="F17" s="161"/>
      <c r="G17" s="161"/>
      <c r="H17" s="161"/>
      <c r="I17" s="161"/>
      <c r="J17" s="161"/>
      <c r="K17" s="161"/>
      <c r="L17" s="162"/>
    </row>
    <row r="18" spans="1:12" ht="16.5" customHeight="1" x14ac:dyDescent="0.35">
      <c r="A18" s="28">
        <v>2</v>
      </c>
      <c r="B18" s="161" t="s">
        <v>202</v>
      </c>
      <c r="C18" s="161"/>
      <c r="D18" s="161"/>
      <c r="E18" s="161"/>
      <c r="F18" s="161"/>
      <c r="G18" s="161"/>
      <c r="H18" s="161"/>
      <c r="I18" s="161"/>
      <c r="J18" s="161"/>
      <c r="K18" s="161"/>
      <c r="L18" s="162"/>
    </row>
    <row r="19" spans="1:12" ht="18" customHeight="1" x14ac:dyDescent="0.35">
      <c r="A19" s="28">
        <v>3</v>
      </c>
      <c r="B19" s="161" t="s">
        <v>348</v>
      </c>
      <c r="C19" s="161"/>
      <c r="D19" s="161"/>
      <c r="E19" s="161"/>
      <c r="F19" s="161"/>
      <c r="G19" s="161"/>
      <c r="H19" s="161"/>
      <c r="I19" s="161"/>
      <c r="J19" s="161"/>
      <c r="K19" s="161"/>
      <c r="L19" s="162"/>
    </row>
    <row r="20" spans="1:12" ht="32.5" customHeight="1" x14ac:dyDescent="0.35">
      <c r="A20" s="28">
        <v>4</v>
      </c>
      <c r="B20" s="161" t="s">
        <v>349</v>
      </c>
      <c r="C20" s="161"/>
      <c r="D20" s="161"/>
      <c r="E20" s="161"/>
      <c r="F20" s="161"/>
      <c r="G20" s="161"/>
      <c r="H20" s="161"/>
      <c r="I20" s="161"/>
      <c r="J20" s="161"/>
      <c r="K20" s="161"/>
      <c r="L20" s="162"/>
    </row>
    <row r="21" spans="1:12" ht="29" customHeight="1" x14ac:dyDescent="0.35">
      <c r="A21" s="28">
        <v>5</v>
      </c>
      <c r="B21" s="161" t="s">
        <v>350</v>
      </c>
      <c r="C21" s="161"/>
      <c r="D21" s="161"/>
      <c r="E21" s="161"/>
      <c r="F21" s="161"/>
      <c r="G21" s="161"/>
      <c r="H21" s="161"/>
      <c r="I21" s="161"/>
      <c r="J21" s="161"/>
      <c r="K21" s="161"/>
      <c r="L21" s="162"/>
    </row>
    <row r="22" spans="1:12" ht="30" customHeight="1" x14ac:dyDescent="0.35">
      <c r="A22" s="28">
        <v>6</v>
      </c>
      <c r="B22" s="161" t="s">
        <v>359</v>
      </c>
      <c r="C22" s="161"/>
      <c r="D22" s="161"/>
      <c r="E22" s="161"/>
      <c r="F22" s="161"/>
      <c r="G22" s="161"/>
      <c r="H22" s="161"/>
      <c r="I22" s="161"/>
      <c r="J22" s="161"/>
      <c r="K22" s="161"/>
      <c r="L22" s="162"/>
    </row>
    <row r="23" spans="1:12" ht="34" customHeight="1" x14ac:dyDescent="0.35">
      <c r="A23" s="28">
        <v>7</v>
      </c>
      <c r="B23" s="161" t="s">
        <v>360</v>
      </c>
      <c r="C23" s="161"/>
      <c r="D23" s="161"/>
      <c r="E23" s="161"/>
      <c r="F23" s="161"/>
      <c r="G23" s="161"/>
      <c r="H23" s="161"/>
      <c r="I23" s="161"/>
      <c r="J23" s="161"/>
      <c r="K23" s="161"/>
      <c r="L23" s="162"/>
    </row>
    <row r="24" spans="1:12" ht="31.5" customHeight="1" x14ac:dyDescent="0.35">
      <c r="A24" s="28">
        <v>8</v>
      </c>
      <c r="B24" s="161" t="s">
        <v>361</v>
      </c>
      <c r="C24" s="161"/>
      <c r="D24" s="161"/>
      <c r="E24" s="161"/>
      <c r="F24" s="161"/>
      <c r="G24" s="161"/>
      <c r="H24" s="161"/>
      <c r="I24" s="161"/>
      <c r="J24" s="161"/>
      <c r="K24" s="161"/>
      <c r="L24" s="162"/>
    </row>
    <row r="25" spans="1:12" ht="60.5" customHeight="1" x14ac:dyDescent="0.35">
      <c r="A25" s="28">
        <v>10</v>
      </c>
      <c r="B25" s="161" t="s">
        <v>362</v>
      </c>
      <c r="C25" s="161"/>
      <c r="D25" s="161"/>
      <c r="E25" s="161"/>
      <c r="F25" s="161"/>
      <c r="G25" s="161"/>
      <c r="H25" s="161"/>
      <c r="I25" s="161"/>
      <c r="J25" s="161"/>
      <c r="K25" s="161"/>
      <c r="L25" s="162"/>
    </row>
    <row r="26" spans="1:12" ht="16.5" customHeight="1" x14ac:dyDescent="0.35">
      <c r="A26" s="28">
        <v>11</v>
      </c>
      <c r="B26" s="161" t="s">
        <v>363</v>
      </c>
      <c r="C26" s="161"/>
      <c r="D26" s="161"/>
      <c r="E26" s="161"/>
      <c r="F26" s="161"/>
      <c r="G26" s="161"/>
      <c r="H26" s="161"/>
      <c r="I26" s="161"/>
      <c r="J26" s="161"/>
      <c r="K26" s="161"/>
      <c r="L26" s="162"/>
    </row>
    <row r="27" spans="1:12" ht="16.5" customHeight="1" x14ac:dyDescent="0.35">
      <c r="A27" s="28">
        <v>12</v>
      </c>
      <c r="B27" s="161" t="s">
        <v>364</v>
      </c>
      <c r="C27" s="161"/>
      <c r="D27" s="161"/>
      <c r="E27" s="161"/>
      <c r="F27" s="161"/>
      <c r="G27" s="161"/>
      <c r="H27" s="161"/>
      <c r="I27" s="161"/>
      <c r="J27" s="161"/>
      <c r="K27" s="161"/>
      <c r="L27" s="162"/>
    </row>
    <row r="28" spans="1:12" ht="32" customHeight="1" x14ac:dyDescent="0.35">
      <c r="A28" s="28">
        <v>13</v>
      </c>
      <c r="B28" s="161" t="s">
        <v>365</v>
      </c>
      <c r="C28" s="161"/>
      <c r="D28" s="161"/>
      <c r="E28" s="161"/>
      <c r="F28" s="161"/>
      <c r="G28" s="161"/>
      <c r="H28" s="161"/>
      <c r="I28" s="161"/>
      <c r="J28" s="161"/>
      <c r="K28" s="161"/>
      <c r="L28" s="162"/>
    </row>
    <row r="29" spans="1:12" ht="17.5" customHeight="1" x14ac:dyDescent="0.35">
      <c r="A29" s="28">
        <v>14</v>
      </c>
      <c r="B29" s="161" t="s">
        <v>366</v>
      </c>
      <c r="C29" s="161"/>
      <c r="D29" s="161"/>
      <c r="E29" s="161"/>
      <c r="F29" s="161"/>
      <c r="G29" s="161"/>
      <c r="H29" s="161"/>
      <c r="I29" s="161"/>
      <c r="J29" s="161"/>
      <c r="K29" s="161"/>
      <c r="L29" s="162"/>
    </row>
    <row r="30" spans="1:12" ht="30" customHeight="1" x14ac:dyDescent="0.35">
      <c r="A30" s="28">
        <v>15</v>
      </c>
      <c r="B30" s="161" t="s">
        <v>367</v>
      </c>
      <c r="C30" s="161"/>
      <c r="D30" s="161"/>
      <c r="E30" s="161"/>
      <c r="F30" s="161"/>
      <c r="G30" s="161"/>
      <c r="H30" s="161"/>
      <c r="I30" s="161"/>
      <c r="J30" s="161"/>
      <c r="K30" s="161"/>
      <c r="L30" s="162"/>
    </row>
    <row r="31" spans="1:12" ht="16.5" customHeight="1" x14ac:dyDescent="0.35">
      <c r="A31" s="28">
        <v>16</v>
      </c>
      <c r="B31" s="168" t="s">
        <v>203</v>
      </c>
      <c r="C31" s="168"/>
      <c r="D31" s="168"/>
      <c r="E31" s="168"/>
      <c r="F31" s="168"/>
      <c r="G31" s="168"/>
      <c r="H31" s="168"/>
      <c r="I31" s="168"/>
      <c r="J31" s="168"/>
      <c r="K31" s="168"/>
      <c r="L31" s="169"/>
    </row>
    <row r="32" spans="1:12" ht="32" customHeight="1" x14ac:dyDescent="0.35">
      <c r="A32" s="28">
        <v>17</v>
      </c>
      <c r="B32" s="161" t="s">
        <v>204</v>
      </c>
      <c r="C32" s="161"/>
      <c r="D32" s="161"/>
      <c r="E32" s="161"/>
      <c r="F32" s="161"/>
      <c r="G32" s="161"/>
      <c r="H32" s="161"/>
      <c r="I32" s="161"/>
      <c r="J32" s="161"/>
      <c r="K32" s="161"/>
      <c r="L32" s="162"/>
    </row>
    <row r="33" spans="1:12" ht="31" customHeight="1" x14ac:dyDescent="0.35">
      <c r="A33" s="28">
        <v>18</v>
      </c>
      <c r="B33" s="170" t="s">
        <v>207</v>
      </c>
      <c r="C33" s="170"/>
      <c r="D33" s="170"/>
      <c r="E33" s="170"/>
      <c r="F33" s="170"/>
      <c r="G33" s="170"/>
      <c r="H33" s="170"/>
      <c r="I33" s="170"/>
      <c r="J33" s="170"/>
      <c r="K33" s="170"/>
      <c r="L33" s="171"/>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336</v>
      </c>
      <c r="C38" t="s">
        <v>337</v>
      </c>
    </row>
    <row r="39" spans="1:12" x14ac:dyDescent="0.35">
      <c r="B39" s="2" t="s">
        <v>338</v>
      </c>
      <c r="C39" t="s">
        <v>339</v>
      </c>
    </row>
    <row r="40" spans="1:12" x14ac:dyDescent="0.35">
      <c r="B40" s="2" t="s">
        <v>340</v>
      </c>
      <c r="C40" t="s">
        <v>341</v>
      </c>
    </row>
    <row r="41" spans="1:12" x14ac:dyDescent="0.35">
      <c r="B41" s="2" t="s">
        <v>342</v>
      </c>
      <c r="C41" t="s">
        <v>345</v>
      </c>
    </row>
    <row r="42" spans="1:12" x14ac:dyDescent="0.35">
      <c r="B42" s="2" t="s">
        <v>343</v>
      </c>
      <c r="C42" t="s">
        <v>265</v>
      </c>
    </row>
    <row r="43" spans="1:12" x14ac:dyDescent="0.35">
      <c r="B43" s="2" t="s">
        <v>344</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4" t="s">
        <v>231</v>
      </c>
      <c r="B63" s="164"/>
      <c r="C63" s="164"/>
      <c r="D63" s="164"/>
      <c r="E63" s="164"/>
      <c r="F63" s="164"/>
      <c r="G63" s="164"/>
      <c r="H63" s="164"/>
      <c r="I63" s="164"/>
      <c r="J63" s="164"/>
      <c r="K63" s="164"/>
      <c r="L63" s="164"/>
    </row>
  </sheetData>
  <mergeCells count="31">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151</v>
      </c>
      <c r="D5" s="178"/>
      <c r="E5" s="178"/>
      <c r="F5" s="178"/>
      <c r="G5" s="178"/>
      <c r="M5" t="s">
        <v>308</v>
      </c>
    </row>
    <row r="6" spans="1:13" x14ac:dyDescent="0.35">
      <c r="A6" s="129" t="s">
        <v>40</v>
      </c>
      <c r="B6" s="129"/>
      <c r="C6" s="177" t="s">
        <v>151</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93" priority="46" operator="greaterThan">
      <formula>$C$76</formula>
    </cfRule>
  </conditionalFormatting>
  <conditionalFormatting sqref="C85:L85">
    <cfRule type="cellIs" dxfId="192" priority="36" operator="greaterThan">
      <formula>$C$84</formula>
    </cfRule>
  </conditionalFormatting>
  <conditionalFormatting sqref="C93">
    <cfRule type="cellIs" dxfId="191" priority="35" operator="greaterThan">
      <formula>$C$92</formula>
    </cfRule>
  </conditionalFormatting>
  <conditionalFormatting sqref="D93">
    <cfRule type="cellIs" dxfId="190" priority="34" operator="greaterThan">
      <formula>$D$92</formula>
    </cfRule>
  </conditionalFormatting>
  <conditionalFormatting sqref="E93">
    <cfRule type="cellIs" dxfId="189" priority="33" operator="greaterThan">
      <formula>$E$92</formula>
    </cfRule>
  </conditionalFormatting>
  <conditionalFormatting sqref="F93">
    <cfRule type="cellIs" dxfId="188" priority="32" operator="greaterThan">
      <formula>$F$92</formula>
    </cfRule>
  </conditionalFormatting>
  <conditionalFormatting sqref="G93">
    <cfRule type="cellIs" dxfId="187" priority="31" operator="greaterThan">
      <formula>$G$92</formula>
    </cfRule>
  </conditionalFormatting>
  <conditionalFormatting sqref="H93">
    <cfRule type="cellIs" dxfId="186" priority="30" operator="greaterThan">
      <formula>$H$92</formula>
    </cfRule>
  </conditionalFormatting>
  <conditionalFormatting sqref="I93">
    <cfRule type="cellIs" dxfId="185" priority="29" operator="greaterThan">
      <formula>$I$92</formula>
    </cfRule>
  </conditionalFormatting>
  <conditionalFormatting sqref="J93">
    <cfRule type="cellIs" dxfId="184" priority="28" operator="greaterThan">
      <formula>$J$92</formula>
    </cfRule>
  </conditionalFormatting>
  <conditionalFormatting sqref="K93">
    <cfRule type="cellIs" dxfId="183" priority="27" operator="greaterThan">
      <formula>$K$92</formula>
    </cfRule>
  </conditionalFormatting>
  <conditionalFormatting sqref="L93">
    <cfRule type="cellIs" dxfId="182" priority="26" operator="greaterThan">
      <formula>$L$92</formula>
    </cfRule>
  </conditionalFormatting>
  <conditionalFormatting sqref="C101">
    <cfRule type="cellIs" dxfId="181" priority="25" operator="greaterThan">
      <formula>$C$100</formula>
    </cfRule>
  </conditionalFormatting>
  <conditionalFormatting sqref="D101">
    <cfRule type="cellIs" dxfId="180" priority="24" operator="greaterThan">
      <formula>$D$100</formula>
    </cfRule>
  </conditionalFormatting>
  <conditionalFormatting sqref="E101">
    <cfRule type="cellIs" dxfId="179" priority="23" operator="greaterThan">
      <formula>$E$100</formula>
    </cfRule>
  </conditionalFormatting>
  <conditionalFormatting sqref="F101">
    <cfRule type="cellIs" dxfId="178" priority="22" operator="greaterThan">
      <formula>$F$100</formula>
    </cfRule>
  </conditionalFormatting>
  <conditionalFormatting sqref="G101">
    <cfRule type="cellIs" dxfId="177" priority="21" operator="greaterThan">
      <formula>$G$100</formula>
    </cfRule>
  </conditionalFormatting>
  <conditionalFormatting sqref="H101">
    <cfRule type="cellIs" dxfId="176" priority="20" operator="greaterThan">
      <formula>$H$100</formula>
    </cfRule>
  </conditionalFormatting>
  <conditionalFormatting sqref="I101">
    <cfRule type="cellIs" dxfId="175" priority="19" operator="greaterThan">
      <formula>$I$100</formula>
    </cfRule>
  </conditionalFormatting>
  <conditionalFormatting sqref="J101">
    <cfRule type="cellIs" dxfId="174" priority="18" operator="greaterThan">
      <formula>$J$100</formula>
    </cfRule>
  </conditionalFormatting>
  <conditionalFormatting sqref="K101">
    <cfRule type="cellIs" dxfId="173" priority="17" operator="greaterThan">
      <formula>$K$100</formula>
    </cfRule>
  </conditionalFormatting>
  <conditionalFormatting sqref="L101">
    <cfRule type="cellIs" dxfId="172" priority="16" operator="greaterThan">
      <formula>$L$100</formula>
    </cfRule>
  </conditionalFormatting>
  <conditionalFormatting sqref="C61:L61">
    <cfRule type="cellIs" dxfId="171" priority="3" operator="greaterThan">
      <formula>$C$60</formula>
    </cfRule>
  </conditionalFormatting>
  <conditionalFormatting sqref="C69:L69">
    <cfRule type="cellIs" dxfId="170"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215</v>
      </c>
      <c r="D5" s="178"/>
      <c r="E5" s="178"/>
      <c r="F5" s="178"/>
      <c r="G5" s="178"/>
      <c r="M5" t="s">
        <v>308</v>
      </c>
    </row>
    <row r="6" spans="1:13" x14ac:dyDescent="0.35">
      <c r="A6" s="129" t="s">
        <v>40</v>
      </c>
      <c r="B6" s="129"/>
      <c r="C6" s="177" t="s">
        <v>216</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58" priority="36" operator="greaterThan">
      <formula>$C$76</formula>
    </cfRule>
  </conditionalFormatting>
  <conditionalFormatting sqref="C85:L85">
    <cfRule type="cellIs" dxfId="157" priority="35" operator="greaterThan">
      <formula>$C$84</formula>
    </cfRule>
  </conditionalFormatting>
  <conditionalFormatting sqref="C93">
    <cfRule type="cellIs" dxfId="156" priority="34" operator="greaterThan">
      <formula>$C$92</formula>
    </cfRule>
  </conditionalFormatting>
  <conditionalFormatting sqref="D93">
    <cfRule type="cellIs" dxfId="155" priority="33" operator="greaterThan">
      <formula>$D$92</formula>
    </cfRule>
  </conditionalFormatting>
  <conditionalFormatting sqref="E93">
    <cfRule type="cellIs" dxfId="154" priority="32" operator="greaterThan">
      <formula>$E$92</formula>
    </cfRule>
  </conditionalFormatting>
  <conditionalFormatting sqref="F93">
    <cfRule type="cellIs" dxfId="153" priority="31" operator="greaterThan">
      <formula>$F$92</formula>
    </cfRule>
  </conditionalFormatting>
  <conditionalFormatting sqref="G93">
    <cfRule type="cellIs" dxfId="152" priority="30" operator="greaterThan">
      <formula>$G$92</formula>
    </cfRule>
  </conditionalFormatting>
  <conditionalFormatting sqref="H93">
    <cfRule type="cellIs" dxfId="151" priority="29" operator="greaterThan">
      <formula>$H$92</formula>
    </cfRule>
  </conditionalFormatting>
  <conditionalFormatting sqref="I93">
    <cfRule type="cellIs" dxfId="150" priority="28" operator="greaterThan">
      <formula>$I$92</formula>
    </cfRule>
  </conditionalFormatting>
  <conditionalFormatting sqref="J93">
    <cfRule type="cellIs" dxfId="149" priority="27" operator="greaterThan">
      <formula>$J$92</formula>
    </cfRule>
  </conditionalFormatting>
  <conditionalFormatting sqref="K93">
    <cfRule type="cellIs" dxfId="148" priority="26" operator="greaterThan">
      <formula>$K$92</formula>
    </cfRule>
  </conditionalFormatting>
  <conditionalFormatting sqref="L93">
    <cfRule type="cellIs" dxfId="147" priority="25" operator="greaterThan">
      <formula>$L$92</formula>
    </cfRule>
  </conditionalFormatting>
  <conditionalFormatting sqref="C101">
    <cfRule type="cellIs" dxfId="146" priority="24" operator="greaterThan">
      <formula>$C$100</formula>
    </cfRule>
  </conditionalFormatting>
  <conditionalFormatting sqref="D101">
    <cfRule type="cellIs" dxfId="145" priority="23" operator="greaterThan">
      <formula>$D$100</formula>
    </cfRule>
  </conditionalFormatting>
  <conditionalFormatting sqref="E101">
    <cfRule type="cellIs" dxfId="144" priority="22" operator="greaterThan">
      <formula>$E$100</formula>
    </cfRule>
  </conditionalFormatting>
  <conditionalFormatting sqref="F101">
    <cfRule type="cellIs" dxfId="143" priority="21" operator="greaterThan">
      <formula>$F$100</formula>
    </cfRule>
  </conditionalFormatting>
  <conditionalFormatting sqref="G101">
    <cfRule type="cellIs" dxfId="142" priority="20" operator="greaterThan">
      <formula>$G$100</formula>
    </cfRule>
  </conditionalFormatting>
  <conditionalFormatting sqref="H101">
    <cfRule type="cellIs" dxfId="141" priority="19" operator="greaterThan">
      <formula>$H$100</formula>
    </cfRule>
  </conditionalFormatting>
  <conditionalFormatting sqref="I101">
    <cfRule type="cellIs" dxfId="140" priority="18" operator="greaterThan">
      <formula>$I$100</formula>
    </cfRule>
  </conditionalFormatting>
  <conditionalFormatting sqref="J101">
    <cfRule type="cellIs" dxfId="139" priority="17" operator="greaterThan">
      <formula>$J$100</formula>
    </cfRule>
  </conditionalFormatting>
  <conditionalFormatting sqref="K101">
    <cfRule type="cellIs" dxfId="138" priority="16" operator="greaterThan">
      <formula>$K$100</formula>
    </cfRule>
  </conditionalFormatting>
  <conditionalFormatting sqref="L101">
    <cfRule type="cellIs" dxfId="137" priority="15" operator="greaterThan">
      <formula>$L$100</formula>
    </cfRule>
  </conditionalFormatting>
  <conditionalFormatting sqref="C61:L61">
    <cfRule type="cellIs" dxfId="136" priority="3" operator="greaterThan">
      <formula>$C$60</formula>
    </cfRule>
  </conditionalFormatting>
  <conditionalFormatting sqref="C69:L69">
    <cfRule type="cellIs" dxfId="13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6" t="s">
        <v>40</v>
      </c>
      <c r="Q1" s="186"/>
      <c r="R1" s="186"/>
      <c r="S1" s="186"/>
      <c r="T1" s="186"/>
      <c r="U1" s="186"/>
      <c r="V1" s="186"/>
      <c r="W1" s="186"/>
      <c r="X1" s="186"/>
      <c r="Y1" s="186"/>
      <c r="AA1" s="186" t="s">
        <v>208</v>
      </c>
      <c r="AB1" s="186"/>
      <c r="AC1" s="186"/>
      <c r="AD1" s="186"/>
      <c r="AE1" s="186"/>
      <c r="AF1" s="186"/>
      <c r="AG1" s="186"/>
      <c r="AH1" s="186"/>
      <c r="AI1" s="186"/>
      <c r="AJ1" s="186"/>
    </row>
  </sheetData>
  <mergeCells count="2">
    <mergeCell ref="P1:Y1"/>
    <mergeCell ref="AA1:AJ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215</v>
      </c>
      <c r="D5" s="178"/>
      <c r="E5" s="178"/>
      <c r="F5" s="178"/>
      <c r="G5" s="178"/>
      <c r="M5" t="s">
        <v>308</v>
      </c>
    </row>
    <row r="6" spans="1:13" x14ac:dyDescent="0.35">
      <c r="A6" s="129" t="s">
        <v>40</v>
      </c>
      <c r="B6" s="129"/>
      <c r="C6" s="177" t="s">
        <v>216</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33" t="s">
        <v>147</v>
      </c>
      <c r="B9" s="129"/>
      <c r="C9" s="178" t="s">
        <v>217</v>
      </c>
      <c r="D9" s="178"/>
      <c r="E9" s="178"/>
      <c r="F9" s="178"/>
      <c r="G9" s="178"/>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315</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23" priority="36" operator="greaterThan">
      <formula>$C$76</formula>
    </cfRule>
  </conditionalFormatting>
  <conditionalFormatting sqref="C85:L85">
    <cfRule type="cellIs" dxfId="122" priority="35" operator="greaterThan">
      <formula>$C$84</formula>
    </cfRule>
  </conditionalFormatting>
  <conditionalFormatting sqref="C93">
    <cfRule type="cellIs" dxfId="121" priority="34" operator="greaterThan">
      <formula>$C$92</formula>
    </cfRule>
  </conditionalFormatting>
  <conditionalFormatting sqref="D93">
    <cfRule type="cellIs" dxfId="120" priority="33" operator="greaterThan">
      <formula>$D$92</formula>
    </cfRule>
  </conditionalFormatting>
  <conditionalFormatting sqref="E93">
    <cfRule type="cellIs" dxfId="119" priority="32" operator="greaterThan">
      <formula>$E$92</formula>
    </cfRule>
  </conditionalFormatting>
  <conditionalFormatting sqref="F93">
    <cfRule type="cellIs" dxfId="118" priority="31" operator="greaterThan">
      <formula>$F$92</formula>
    </cfRule>
  </conditionalFormatting>
  <conditionalFormatting sqref="G93">
    <cfRule type="cellIs" dxfId="117" priority="30" operator="greaterThan">
      <formula>$G$92</formula>
    </cfRule>
  </conditionalFormatting>
  <conditionalFormatting sqref="H93">
    <cfRule type="cellIs" dxfId="116" priority="29" operator="greaterThan">
      <formula>$H$92</formula>
    </cfRule>
  </conditionalFormatting>
  <conditionalFormatting sqref="I93">
    <cfRule type="cellIs" dxfId="115" priority="28" operator="greaterThan">
      <formula>$I$92</formula>
    </cfRule>
  </conditionalFormatting>
  <conditionalFormatting sqref="J93">
    <cfRule type="cellIs" dxfId="114" priority="27" operator="greaterThan">
      <formula>$J$92</formula>
    </cfRule>
  </conditionalFormatting>
  <conditionalFormatting sqref="K93">
    <cfRule type="cellIs" dxfId="113" priority="26" operator="greaterThan">
      <formula>$K$92</formula>
    </cfRule>
  </conditionalFormatting>
  <conditionalFormatting sqref="L93">
    <cfRule type="cellIs" dxfId="112" priority="25" operator="greaterThan">
      <formula>$L$92</formula>
    </cfRule>
  </conditionalFormatting>
  <conditionalFormatting sqref="C101">
    <cfRule type="cellIs" dxfId="111" priority="24" operator="greaterThan">
      <formula>$C$100</formula>
    </cfRule>
  </conditionalFormatting>
  <conditionalFormatting sqref="D101">
    <cfRule type="cellIs" dxfId="110" priority="23" operator="greaterThan">
      <formula>$D$100</formula>
    </cfRule>
  </conditionalFormatting>
  <conditionalFormatting sqref="E101">
    <cfRule type="cellIs" dxfId="109" priority="22" operator="greaterThan">
      <formula>$E$100</formula>
    </cfRule>
  </conditionalFormatting>
  <conditionalFormatting sqref="F101">
    <cfRule type="cellIs" dxfId="108" priority="21" operator="greaterThan">
      <formula>$F$100</formula>
    </cfRule>
  </conditionalFormatting>
  <conditionalFormatting sqref="G101">
    <cfRule type="cellIs" dxfId="107" priority="20" operator="greaterThan">
      <formula>$G$100</formula>
    </cfRule>
  </conditionalFormatting>
  <conditionalFormatting sqref="H101">
    <cfRule type="cellIs" dxfId="106" priority="19" operator="greaterThan">
      <formula>$H$100</formula>
    </cfRule>
  </conditionalFormatting>
  <conditionalFormatting sqref="I101">
    <cfRule type="cellIs" dxfId="105" priority="18" operator="greaterThan">
      <formula>$I$100</formula>
    </cfRule>
  </conditionalFormatting>
  <conditionalFormatting sqref="J101">
    <cfRule type="cellIs" dxfId="104" priority="17" operator="greaterThan">
      <formula>$J$100</formula>
    </cfRule>
  </conditionalFormatting>
  <conditionalFormatting sqref="K101">
    <cfRule type="cellIs" dxfId="103" priority="16" operator="greaterThan">
      <formula>$K$100</formula>
    </cfRule>
  </conditionalFormatting>
  <conditionalFormatting sqref="L101">
    <cfRule type="cellIs" dxfId="102" priority="15" operator="greaterThan">
      <formula>$L$100</formula>
    </cfRule>
  </conditionalFormatting>
  <conditionalFormatting sqref="C61:L61">
    <cfRule type="cellIs" dxfId="101" priority="3" operator="greaterThan">
      <formula>$C$60</formula>
    </cfRule>
  </conditionalFormatting>
  <conditionalFormatting sqref="C69:L69">
    <cfRule type="cellIs" dxfId="100"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236</v>
      </c>
    </row>
    <row r="3" spans="1:16" s="1" customFormat="1" x14ac:dyDescent="0.35">
      <c r="D3" s="187" t="s">
        <v>237</v>
      </c>
      <c r="E3" s="187"/>
      <c r="F3" s="187" t="s">
        <v>238</v>
      </c>
      <c r="G3" s="187"/>
      <c r="H3" s="187"/>
      <c r="I3" s="187" t="s">
        <v>239</v>
      </c>
      <c r="J3" s="187"/>
      <c r="K3" s="187"/>
      <c r="M3" s="187" t="s">
        <v>41</v>
      </c>
      <c r="N3" s="187"/>
      <c r="O3" s="187"/>
    </row>
    <row r="4" spans="1:16" s="71" customFormat="1" ht="42.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88" priority="1" operator="equal">
      <formula>$B$7</formula>
    </cfRule>
    <cfRule type="cellIs" dxfId="87" priority="2" operator="equal">
      <formula>$B$8</formula>
    </cfRule>
    <cfRule type="cellIs" dxfId="86" priority="3" operator="equal">
      <formula>$B$9</formula>
    </cfRule>
    <cfRule type="cellIs" dxfId="85" priority="4" operator="equal">
      <formula>$B$10</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8"/>
      <c r="D5" s="188"/>
      <c r="E5" s="188"/>
      <c r="F5" s="188"/>
      <c r="G5" s="188"/>
      <c r="H5" s="188"/>
    </row>
    <row r="6" spans="1:11" x14ac:dyDescent="0.35">
      <c r="A6" s="16" t="s">
        <v>39</v>
      </c>
      <c r="B6" s="46"/>
      <c r="C6" s="188"/>
      <c r="D6" s="188"/>
      <c r="E6" s="188"/>
      <c r="F6" s="188"/>
      <c r="G6" s="188"/>
      <c r="H6" s="188"/>
    </row>
    <row r="7" spans="1:11" x14ac:dyDescent="0.35">
      <c r="A7" s="16" t="s">
        <v>40</v>
      </c>
      <c r="B7" s="46"/>
      <c r="C7" s="188"/>
      <c r="D7" s="188"/>
      <c r="E7" s="188"/>
      <c r="F7" s="188"/>
      <c r="G7" s="188"/>
      <c r="H7" s="188"/>
    </row>
    <row r="8" spans="1:11" x14ac:dyDescent="0.35">
      <c r="A8" s="16" t="s">
        <v>41</v>
      </c>
      <c r="B8" s="46"/>
      <c r="C8" s="188"/>
      <c r="D8" s="188"/>
      <c r="E8" s="188"/>
      <c r="F8" s="188"/>
      <c r="G8" s="188"/>
      <c r="H8" s="188"/>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84" priority="23" operator="greaterThan">
      <formula>$C$45</formula>
    </cfRule>
  </conditionalFormatting>
  <conditionalFormatting sqref="H49">
    <cfRule type="cellIs" dxfId="83" priority="22" operator="greaterThan">
      <formula>$H$45</formula>
    </cfRule>
  </conditionalFormatting>
  <conditionalFormatting sqref="I49">
    <cfRule type="cellIs" dxfId="82" priority="21" operator="greaterThan">
      <formula>$I$45</formula>
    </cfRule>
  </conditionalFormatting>
  <conditionalFormatting sqref="J49">
    <cfRule type="cellIs" dxfId="81" priority="20" operator="greaterThan">
      <formula>$J$45</formula>
    </cfRule>
  </conditionalFormatting>
  <conditionalFormatting sqref="K49">
    <cfRule type="cellIs" dxfId="80" priority="19" operator="greaterThan">
      <formula>$K$45</formula>
    </cfRule>
  </conditionalFormatting>
  <conditionalFormatting sqref="L49">
    <cfRule type="cellIs" dxfId="79" priority="18" operator="greaterThan">
      <formula>$L$45</formula>
    </cfRule>
  </conditionalFormatting>
  <conditionalFormatting sqref="H50:L50">
    <cfRule type="cellIs" dxfId="78" priority="17" operator="greaterThan">
      <formula>$D$46</formula>
    </cfRule>
  </conditionalFormatting>
  <conditionalFormatting sqref="H50">
    <cfRule type="cellIs" dxfId="77" priority="16" operator="greaterThan">
      <formula>$H$46</formula>
    </cfRule>
  </conditionalFormatting>
  <conditionalFormatting sqref="I50">
    <cfRule type="cellIs" dxfId="76" priority="15" operator="greaterThan">
      <formula>$I$46</formula>
    </cfRule>
  </conditionalFormatting>
  <conditionalFormatting sqref="J50">
    <cfRule type="cellIs" dxfId="75" priority="14" operator="greaterThan">
      <formula>$J$46</formula>
    </cfRule>
  </conditionalFormatting>
  <conditionalFormatting sqref="K50">
    <cfRule type="cellIs" dxfId="74" priority="13" operator="greaterThan">
      <formula>$K$46</formula>
    </cfRule>
  </conditionalFormatting>
  <conditionalFormatting sqref="L50">
    <cfRule type="cellIs" dxfId="73" priority="12" operator="greaterThan">
      <formula>$L$46</formula>
    </cfRule>
  </conditionalFormatting>
  <conditionalFormatting sqref="C52">
    <cfRule type="cellIs" dxfId="72" priority="11" operator="greaterThan">
      <formula>$C$47</formula>
    </cfRule>
  </conditionalFormatting>
  <conditionalFormatting sqref="D52">
    <cfRule type="cellIs" dxfId="71" priority="10" operator="greaterThan">
      <formula>$D$47</formula>
    </cfRule>
  </conditionalFormatting>
  <conditionalFormatting sqref="E52">
    <cfRule type="cellIs" dxfId="70" priority="9" operator="greaterThan">
      <formula>$E$47</formula>
    </cfRule>
  </conditionalFormatting>
  <conditionalFormatting sqref="F52">
    <cfRule type="cellIs" dxfId="69" priority="8" operator="greaterThan">
      <formula>$F$47</formula>
    </cfRule>
  </conditionalFormatting>
  <conditionalFormatting sqref="G52">
    <cfRule type="cellIs" dxfId="68" priority="7" operator="greaterThan">
      <formula>$G$47</formula>
    </cfRule>
  </conditionalFormatting>
  <conditionalFormatting sqref="H52">
    <cfRule type="cellIs" dxfId="67" priority="6" operator="greaterThan">
      <formula>$H$47</formula>
    </cfRule>
  </conditionalFormatting>
  <conditionalFormatting sqref="I52">
    <cfRule type="cellIs" dxfId="66" priority="5" operator="greaterThan">
      <formula>$I$47</formula>
    </cfRule>
  </conditionalFormatting>
  <conditionalFormatting sqref="J52">
    <cfRule type="cellIs" dxfId="65" priority="4" operator="greaterThan">
      <formula>$J$47</formula>
    </cfRule>
  </conditionalFormatting>
  <conditionalFormatting sqref="K52">
    <cfRule type="cellIs" dxfId="64" priority="3" operator="greaterThan">
      <formula>$K$47</formula>
    </cfRule>
  </conditionalFormatting>
  <conditionalFormatting sqref="L52">
    <cfRule type="cellIs" dxfId="63" priority="2" operator="greaterThan">
      <formula>$L$47</formula>
    </cfRule>
  </conditionalFormatting>
  <conditionalFormatting sqref="C49:G49">
    <cfRule type="cellIs" dxfId="62"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5"/>
  <sheetViews>
    <sheetView tabSelected="1" topLeftCell="A4" zoomScale="150" zoomScaleNormal="150" workbookViewId="0">
      <selection activeCell="C4" sqref="C4"/>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145" x14ac:dyDescent="0.35">
      <c r="A3" s="80">
        <v>3.5</v>
      </c>
      <c r="B3" s="82">
        <v>44432</v>
      </c>
      <c r="C3" s="81" t="s">
        <v>368</v>
      </c>
      <c r="D3" s="80" t="s">
        <v>152</v>
      </c>
      <c r="E3" s="80" t="s">
        <v>355</v>
      </c>
      <c r="F3" s="82">
        <v>44424</v>
      </c>
      <c r="H3" s="58" t="s">
        <v>357</v>
      </c>
      <c r="I3" s="58" t="s">
        <v>152</v>
      </c>
      <c r="J3" s="60">
        <v>44432</v>
      </c>
    </row>
    <row r="4" spans="1:10" ht="44.5" customHeight="1" x14ac:dyDescent="0.35">
      <c r="A4" s="80" t="s">
        <v>334</v>
      </c>
      <c r="B4" s="82">
        <v>44423</v>
      </c>
      <c r="C4" s="81" t="s">
        <v>335</v>
      </c>
      <c r="D4" s="80" t="s">
        <v>152</v>
      </c>
      <c r="E4" s="80"/>
      <c r="F4" s="82"/>
      <c r="H4" s="58" t="s">
        <v>229</v>
      </c>
      <c r="I4" s="58" t="s">
        <v>152</v>
      </c>
      <c r="J4" s="59"/>
    </row>
    <row r="5" spans="1:10" ht="43.5" x14ac:dyDescent="0.35">
      <c r="A5" s="80" t="s">
        <v>327</v>
      </c>
      <c r="B5" s="82">
        <v>44405</v>
      </c>
      <c r="C5" s="58" t="s">
        <v>329</v>
      </c>
      <c r="D5" s="80" t="s">
        <v>152</v>
      </c>
      <c r="E5" s="80" t="s">
        <v>328</v>
      </c>
      <c r="F5" s="82">
        <v>44405</v>
      </c>
      <c r="H5" s="58" t="s">
        <v>263</v>
      </c>
      <c r="I5" s="58" t="s">
        <v>256</v>
      </c>
      <c r="J5" s="60">
        <v>44385</v>
      </c>
    </row>
    <row r="6" spans="1:10" ht="29" x14ac:dyDescent="0.35">
      <c r="A6" s="80" t="s">
        <v>325</v>
      </c>
      <c r="B6" s="82">
        <v>44405</v>
      </c>
      <c r="C6" s="81" t="s">
        <v>326</v>
      </c>
      <c r="D6" s="80" t="s">
        <v>152</v>
      </c>
      <c r="E6" s="80" t="s">
        <v>152</v>
      </c>
      <c r="F6" s="82">
        <v>44405</v>
      </c>
      <c r="H6" s="58" t="s">
        <v>259</v>
      </c>
      <c r="I6" s="154" t="s">
        <v>328</v>
      </c>
      <c r="J6" s="60">
        <v>44391</v>
      </c>
    </row>
    <row r="7" spans="1:10" ht="72.5" x14ac:dyDescent="0.35">
      <c r="A7" s="80" t="s">
        <v>293</v>
      </c>
      <c r="B7" s="82">
        <v>44405</v>
      </c>
      <c r="C7" s="81" t="s">
        <v>324</v>
      </c>
      <c r="D7" s="80" t="s">
        <v>152</v>
      </c>
      <c r="E7" s="80" t="s">
        <v>328</v>
      </c>
      <c r="F7" s="82">
        <v>44391</v>
      </c>
      <c r="H7" s="58" t="s">
        <v>260</v>
      </c>
      <c r="I7" s="154" t="s">
        <v>328</v>
      </c>
      <c r="J7" s="60">
        <v>44391</v>
      </c>
    </row>
    <row r="8" spans="1:10" ht="29" x14ac:dyDescent="0.35">
      <c r="A8" s="80" t="s">
        <v>288</v>
      </c>
      <c r="B8" s="80" t="s">
        <v>289</v>
      </c>
      <c r="C8" s="58" t="s">
        <v>290</v>
      </c>
      <c r="D8" s="80" t="s">
        <v>152</v>
      </c>
      <c r="E8" s="80" t="s">
        <v>328</v>
      </c>
      <c r="F8" s="82">
        <v>44391</v>
      </c>
      <c r="H8" s="58" t="s">
        <v>356</v>
      </c>
      <c r="I8" s="154" t="s">
        <v>328</v>
      </c>
      <c r="J8" s="60">
        <v>44391</v>
      </c>
    </row>
    <row r="9" spans="1:10" ht="72.5" x14ac:dyDescent="0.35">
      <c r="A9" s="80" t="s">
        <v>288</v>
      </c>
      <c r="B9" s="80" t="s">
        <v>289</v>
      </c>
      <c r="C9" s="58" t="s">
        <v>258</v>
      </c>
      <c r="D9" s="80" t="s">
        <v>152</v>
      </c>
      <c r="E9" s="80" t="s">
        <v>328</v>
      </c>
      <c r="F9" s="82">
        <v>44391</v>
      </c>
      <c r="H9" s="58" t="s">
        <v>261</v>
      </c>
      <c r="I9" s="154" t="s">
        <v>328</v>
      </c>
      <c r="J9" s="60">
        <v>44391</v>
      </c>
    </row>
    <row r="10" spans="1:10" ht="101.5" x14ac:dyDescent="0.35">
      <c r="A10" s="80" t="s">
        <v>266</v>
      </c>
      <c r="B10" s="82">
        <v>44403</v>
      </c>
      <c r="C10" s="81" t="s">
        <v>267</v>
      </c>
      <c r="D10" s="80" t="s">
        <v>152</v>
      </c>
      <c r="E10" s="80" t="s">
        <v>328</v>
      </c>
      <c r="F10" s="82">
        <v>44391</v>
      </c>
      <c r="H10" s="58" t="s">
        <v>262</v>
      </c>
      <c r="I10" s="154" t="s">
        <v>328</v>
      </c>
      <c r="J10" s="60">
        <v>44391</v>
      </c>
    </row>
    <row r="11" spans="1:10" ht="58" x14ac:dyDescent="0.35">
      <c r="A11" s="59" t="s">
        <v>251</v>
      </c>
      <c r="B11" s="60">
        <v>44389</v>
      </c>
      <c r="C11" s="58" t="s">
        <v>252</v>
      </c>
      <c r="D11" s="61" t="s">
        <v>152</v>
      </c>
      <c r="E11" s="61" t="s">
        <v>152</v>
      </c>
      <c r="F11" s="60">
        <v>44389</v>
      </c>
      <c r="H11" s="58"/>
      <c r="I11" s="58"/>
      <c r="J11" s="59"/>
    </row>
    <row r="12" spans="1:10" ht="29" x14ac:dyDescent="0.35">
      <c r="A12" s="59" t="s">
        <v>249</v>
      </c>
      <c r="B12" s="60">
        <v>44389</v>
      </c>
      <c r="C12" s="58" t="s">
        <v>250</v>
      </c>
      <c r="D12" s="61" t="s">
        <v>152</v>
      </c>
      <c r="E12" s="61" t="s">
        <v>256</v>
      </c>
      <c r="F12" s="60">
        <v>44385</v>
      </c>
      <c r="H12" s="58"/>
      <c r="I12" s="58"/>
      <c r="J12" s="59"/>
    </row>
    <row r="13" spans="1:10" ht="58" x14ac:dyDescent="0.35">
      <c r="A13" s="59" t="s">
        <v>224</v>
      </c>
      <c r="B13" s="60">
        <v>44385</v>
      </c>
      <c r="C13" s="58" t="s">
        <v>225</v>
      </c>
      <c r="D13" s="61" t="s">
        <v>152</v>
      </c>
      <c r="E13" s="61" t="s">
        <v>152</v>
      </c>
      <c r="F13" s="60">
        <f>B13</f>
        <v>44385</v>
      </c>
      <c r="H13" s="58"/>
      <c r="I13" s="58"/>
      <c r="J13" s="59"/>
    </row>
    <row r="14" spans="1:10" ht="29" x14ac:dyDescent="0.35">
      <c r="A14" s="59" t="s">
        <v>206</v>
      </c>
      <c r="B14" s="60">
        <v>44384</v>
      </c>
      <c r="C14" s="58" t="s">
        <v>226</v>
      </c>
      <c r="D14" s="61" t="s">
        <v>152</v>
      </c>
      <c r="E14" s="61" t="s">
        <v>152</v>
      </c>
      <c r="F14" s="60">
        <v>44384</v>
      </c>
      <c r="H14" s="58"/>
      <c r="I14" s="58"/>
      <c r="J14" s="59"/>
    </row>
    <row r="15" spans="1:10" ht="43.5" x14ac:dyDescent="0.35">
      <c r="A15" s="59" t="s">
        <v>198</v>
      </c>
      <c r="B15" s="60">
        <v>44384</v>
      </c>
      <c r="C15" s="58" t="s">
        <v>227</v>
      </c>
      <c r="D15" s="61" t="s">
        <v>152</v>
      </c>
      <c r="E15" s="61" t="s">
        <v>152</v>
      </c>
      <c r="F15" s="60">
        <v>44384</v>
      </c>
    </row>
    <row r="16" spans="1:10" ht="43.5" x14ac:dyDescent="0.35">
      <c r="A16" s="59" t="s">
        <v>189</v>
      </c>
      <c r="B16" s="60">
        <v>44378</v>
      </c>
      <c r="C16" s="58" t="s">
        <v>190</v>
      </c>
      <c r="D16" s="61" t="s">
        <v>152</v>
      </c>
      <c r="E16" s="61" t="s">
        <v>152</v>
      </c>
      <c r="F16" s="60">
        <v>44378</v>
      </c>
    </row>
    <row r="17" spans="1:6" x14ac:dyDescent="0.35">
      <c r="A17" s="59" t="s">
        <v>187</v>
      </c>
      <c r="B17" s="60">
        <v>44377</v>
      </c>
      <c r="C17" s="58" t="s">
        <v>191</v>
      </c>
      <c r="D17" s="61" t="s">
        <v>152</v>
      </c>
      <c r="E17" s="61" t="s">
        <v>152</v>
      </c>
      <c r="F17" s="60">
        <v>44377</v>
      </c>
    </row>
    <row r="18" spans="1:6" ht="72.5" x14ac:dyDescent="0.35">
      <c r="A18" s="59" t="s">
        <v>185</v>
      </c>
      <c r="B18" s="60">
        <v>44377</v>
      </c>
      <c r="C18" s="58" t="s">
        <v>186</v>
      </c>
      <c r="D18" s="61" t="s">
        <v>152</v>
      </c>
      <c r="E18" s="61" t="s">
        <v>257</v>
      </c>
      <c r="F18" s="60">
        <v>44372</v>
      </c>
    </row>
    <row r="19" spans="1:6" ht="43.5" x14ac:dyDescent="0.35">
      <c r="A19" s="59">
        <v>3.3</v>
      </c>
      <c r="B19" s="60">
        <v>44377</v>
      </c>
      <c r="C19" s="58" t="s">
        <v>179</v>
      </c>
      <c r="D19" s="61" t="s">
        <v>152</v>
      </c>
      <c r="E19" s="61" t="s">
        <v>257</v>
      </c>
      <c r="F19" s="60">
        <v>44372</v>
      </c>
    </row>
    <row r="20" spans="1:6" ht="29" x14ac:dyDescent="0.35">
      <c r="A20" s="59" t="s">
        <v>178</v>
      </c>
      <c r="B20" s="60">
        <v>44377</v>
      </c>
      <c r="C20" s="58" t="s">
        <v>163</v>
      </c>
      <c r="D20" s="61" t="s">
        <v>152</v>
      </c>
      <c r="E20" s="61" t="s">
        <v>152</v>
      </c>
      <c r="F20" s="60">
        <v>44377</v>
      </c>
    </row>
    <row r="21" spans="1:6" ht="116" x14ac:dyDescent="0.35">
      <c r="A21" s="59">
        <v>3.2</v>
      </c>
      <c r="B21" s="60">
        <v>44367</v>
      </c>
      <c r="C21" s="58" t="s">
        <v>170</v>
      </c>
      <c r="D21" s="61" t="s">
        <v>152</v>
      </c>
      <c r="E21" s="61" t="s">
        <v>152</v>
      </c>
      <c r="F21" s="60">
        <v>44367</v>
      </c>
    </row>
    <row r="22" spans="1:6" ht="29" x14ac:dyDescent="0.35">
      <c r="A22" s="59">
        <v>3.1</v>
      </c>
      <c r="B22" s="60">
        <v>44331</v>
      </c>
      <c r="C22" s="58" t="s">
        <v>169</v>
      </c>
      <c r="D22" s="61" t="s">
        <v>152</v>
      </c>
      <c r="E22" s="61" t="s">
        <v>152</v>
      </c>
      <c r="F22" s="60">
        <v>44331</v>
      </c>
    </row>
    <row r="23" spans="1:6" ht="72.5" x14ac:dyDescent="0.35">
      <c r="A23" s="59">
        <v>3</v>
      </c>
      <c r="B23" s="60">
        <v>44319</v>
      </c>
      <c r="C23" s="58" t="s">
        <v>168</v>
      </c>
      <c r="D23" s="61" t="s">
        <v>152</v>
      </c>
      <c r="E23" s="61" t="s">
        <v>164</v>
      </c>
      <c r="F23" s="60">
        <v>44315</v>
      </c>
    </row>
    <row r="24" spans="1:6" ht="29" x14ac:dyDescent="0.35">
      <c r="A24" s="59">
        <v>2</v>
      </c>
      <c r="B24" s="60">
        <v>44307</v>
      </c>
      <c r="C24" s="58" t="s">
        <v>165</v>
      </c>
      <c r="D24" s="61" t="s">
        <v>152</v>
      </c>
      <c r="E24" s="61" t="s">
        <v>256</v>
      </c>
      <c r="F24" s="60">
        <v>44294</v>
      </c>
    </row>
    <row r="25" spans="1:6" ht="29" x14ac:dyDescent="0.35">
      <c r="A25" s="63">
        <v>1</v>
      </c>
      <c r="B25" s="60">
        <v>44291</v>
      </c>
      <c r="C25" s="58" t="s">
        <v>167</v>
      </c>
      <c r="D25" s="61" t="s">
        <v>152</v>
      </c>
      <c r="E25" s="61" t="s">
        <v>166</v>
      </c>
      <c r="F25"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D19A-EC08-4D66-8A3F-F4897B511830}">
  <dimension ref="A1:N142"/>
  <sheetViews>
    <sheetView topLeftCell="A8" zoomScale="150" zoomScaleNormal="150" workbookViewId="0">
      <selection activeCell="A16" sqref="A1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58"/>
      <c r="I3" s="158"/>
      <c r="J3" s="158"/>
      <c r="K3" s="158"/>
    </row>
    <row r="4" spans="1:13" x14ac:dyDescent="0.35">
      <c r="A4" s="53" t="s">
        <v>38</v>
      </c>
      <c r="B4" s="53" t="s">
        <v>42</v>
      </c>
      <c r="C4" s="174" t="s">
        <v>43</v>
      </c>
      <c r="D4" s="175"/>
      <c r="E4" s="175"/>
      <c r="F4" s="175"/>
      <c r="G4" s="176"/>
      <c r="M4" s="1" t="s">
        <v>307</v>
      </c>
    </row>
    <row r="5" spans="1:13" x14ac:dyDescent="0.35">
      <c r="A5" s="156" t="s">
        <v>39</v>
      </c>
      <c r="B5" s="156"/>
      <c r="C5" s="177"/>
      <c r="D5" s="178"/>
      <c r="E5" s="178"/>
      <c r="F5" s="178"/>
      <c r="G5" s="178"/>
      <c r="M5" t="s">
        <v>308</v>
      </c>
    </row>
    <row r="6" spans="1:13" x14ac:dyDescent="0.35">
      <c r="A6" s="156" t="s">
        <v>40</v>
      </c>
      <c r="B6" s="156"/>
      <c r="C6" s="177"/>
      <c r="D6" s="178"/>
      <c r="E6" s="178"/>
      <c r="F6" s="178"/>
      <c r="G6" s="178"/>
      <c r="M6" t="s">
        <v>313</v>
      </c>
    </row>
    <row r="7" spans="1:13" x14ac:dyDescent="0.35">
      <c r="A7" s="156" t="s">
        <v>41</v>
      </c>
      <c r="B7" s="156"/>
      <c r="C7" s="177"/>
      <c r="D7" s="178"/>
      <c r="E7" s="178"/>
      <c r="F7" s="178"/>
      <c r="G7" s="178"/>
      <c r="M7" t="s">
        <v>314</v>
      </c>
    </row>
    <row r="8" spans="1:13" x14ac:dyDescent="0.35">
      <c r="A8" s="157" t="s">
        <v>156</v>
      </c>
      <c r="B8" s="157"/>
      <c r="C8" s="172"/>
      <c r="D8" s="172"/>
      <c r="E8" s="172"/>
      <c r="F8" s="172"/>
      <c r="G8" s="172"/>
    </row>
    <row r="9" spans="1:13" x14ac:dyDescent="0.35">
      <c r="A9" s="156"/>
      <c r="B9" s="156"/>
      <c r="C9" s="180"/>
      <c r="D9" s="180"/>
      <c r="E9" s="180"/>
      <c r="F9" s="180"/>
      <c r="G9" s="180"/>
    </row>
    <row r="10" spans="1:13" x14ac:dyDescent="0.35">
      <c r="A10" s="156"/>
      <c r="B10" s="156"/>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89">
        <v>5.73</v>
      </c>
      <c r="C20" s="189">
        <v>6</v>
      </c>
      <c r="D20" s="23" t="s">
        <v>111</v>
      </c>
    </row>
    <row r="21" spans="1:14" x14ac:dyDescent="0.35">
      <c r="A21" t="s">
        <v>140</v>
      </c>
      <c r="B21" s="189">
        <v>11</v>
      </c>
      <c r="C21" s="189">
        <v>10.1</v>
      </c>
      <c r="D21" s="11" t="s">
        <v>34</v>
      </c>
    </row>
    <row r="22" spans="1:14" x14ac:dyDescent="0.35">
      <c r="A22" t="s">
        <v>188</v>
      </c>
      <c r="B22" s="190">
        <v>3525</v>
      </c>
      <c r="C22" s="190">
        <v>1020</v>
      </c>
      <c r="D22" s="11" t="s">
        <v>352</v>
      </c>
    </row>
    <row r="23" spans="1:14" x14ac:dyDescent="0.35">
      <c r="A23" t="s">
        <v>174</v>
      </c>
      <c r="B23" s="189">
        <f>VLOOKUP(B22,'Powell-Elevation-Area'!$A$5:$B$689,2)/1000000</f>
        <v>5.9265762500000001</v>
      </c>
      <c r="C23" s="189">
        <f>VLOOKUP(C22,'Mead-Elevation-Area'!$A$5:$B$689,2)/1000000</f>
        <v>5.664593</v>
      </c>
      <c r="D23" s="11"/>
      <c r="E23" s="45"/>
    </row>
    <row r="24" spans="1:14" x14ac:dyDescent="0.35">
      <c r="A24" t="s">
        <v>351</v>
      </c>
      <c r="B24" s="189">
        <v>78.099999999999994</v>
      </c>
      <c r="C24"/>
      <c r="D24" s="29" t="s">
        <v>358</v>
      </c>
      <c r="E24"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354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IF(A5="","","    "&amp;A5&amp;" Balance")</f>
        <v xml:space="preserve">    Upper Basin Balance</v>
      </c>
      <c r="B32" s="111">
        <f>B21-B23</f>
        <v>5.0734237499999999</v>
      </c>
      <c r="C32" s="108" t="str">
        <f>IF(OR(C$27="",$A32=""),"",B32)</f>
        <v/>
      </c>
      <c r="D32" s="14" t="str">
        <f>IF(OR(D$27="",$A32=""),"",C123)</f>
        <v/>
      </c>
      <c r="E32" s="14" t="str">
        <f t="shared" ref="E32:L32" si="4">IF(OR(E$27="",$A32=""),"",D123)</f>
        <v/>
      </c>
      <c r="F32" s="14" t="str">
        <f t="shared" si="4"/>
        <v/>
      </c>
      <c r="G32" s="14" t="str">
        <f t="shared" si="4"/>
        <v/>
      </c>
      <c r="H32" s="14" t="str">
        <f t="shared" si="4"/>
        <v/>
      </c>
      <c r="I32" s="14" t="str">
        <f t="shared" si="4"/>
        <v/>
      </c>
      <c r="J32" s="14" t="str">
        <f t="shared" si="4"/>
        <v/>
      </c>
      <c r="K32" s="14" t="str">
        <f t="shared" si="4"/>
        <v/>
      </c>
      <c r="L32" s="14" t="str">
        <f t="shared" si="4"/>
        <v/>
      </c>
      <c r="N32" t="s">
        <v>176</v>
      </c>
    </row>
    <row r="33" spans="1:14" x14ac:dyDescent="0.35">
      <c r="A33" t="str">
        <f>IF(A6="","","    "&amp;A6&amp;" Balance")</f>
        <v xml:space="preserve">    Lower Basin Balance</v>
      </c>
      <c r="B33" s="111">
        <f>C21-C23-B34</f>
        <v>4.2614069999999993</v>
      </c>
      <c r="C33" s="108" t="str">
        <f t="shared" ref="C33:C37" si="5">IF(OR(C$27="",$A33=""),"",B33)</f>
        <v/>
      </c>
      <c r="D33" s="14" t="str">
        <f t="shared" ref="D33:L37" si="6">IF(OR(D$27="",$A33=""),"",C124)</f>
        <v/>
      </c>
      <c r="E33" s="14" t="str">
        <f t="shared" si="6"/>
        <v/>
      </c>
      <c r="F33" s="14" t="str">
        <f t="shared" si="6"/>
        <v/>
      </c>
      <c r="G33" s="14" t="str">
        <f t="shared" si="6"/>
        <v/>
      </c>
      <c r="H33" s="14" t="str">
        <f t="shared" si="6"/>
        <v/>
      </c>
      <c r="I33" s="14" t="str">
        <f t="shared" si="6"/>
        <v/>
      </c>
      <c r="J33" s="14" t="str">
        <f t="shared" si="6"/>
        <v/>
      </c>
      <c r="K33" s="14" t="str">
        <f t="shared" si="6"/>
        <v/>
      </c>
      <c r="L33" s="14" t="str">
        <f t="shared" si="6"/>
        <v/>
      </c>
      <c r="N33" t="s">
        <v>173</v>
      </c>
    </row>
    <row r="34" spans="1:14" x14ac:dyDescent="0.35">
      <c r="A34" t="str">
        <f>IF(A7="","","    "&amp;A7&amp;" Balance")</f>
        <v xml:space="preserve">    Mexico Balance</v>
      </c>
      <c r="B34" s="112">
        <v>0.17399999999999999</v>
      </c>
      <c r="C34" s="109" t="str">
        <f t="shared" si="5"/>
        <v/>
      </c>
      <c r="D34" s="52" t="str">
        <f t="shared" si="6"/>
        <v/>
      </c>
      <c r="E34" s="52" t="str">
        <f t="shared" si="6"/>
        <v/>
      </c>
      <c r="F34" s="52" t="str">
        <f t="shared" si="6"/>
        <v/>
      </c>
      <c r="G34" s="52" t="str">
        <f t="shared" si="6"/>
        <v/>
      </c>
      <c r="H34" s="14" t="str">
        <f t="shared" si="6"/>
        <v/>
      </c>
      <c r="I34" s="14" t="str">
        <f t="shared" si="6"/>
        <v/>
      </c>
      <c r="J34" s="14" t="str">
        <f t="shared" si="6"/>
        <v/>
      </c>
      <c r="K34" s="14" t="str">
        <f t="shared" si="6"/>
        <v/>
      </c>
      <c r="L34" s="14" t="str">
        <f t="shared" si="6"/>
        <v/>
      </c>
      <c r="N34" t="s">
        <v>172</v>
      </c>
    </row>
    <row r="35" spans="1:14" x14ac:dyDescent="0.35">
      <c r="A35" t="str">
        <f>IF(A8="","","    "&amp;A8&amp;" Balance")</f>
        <v xml:space="preserve">    Shared, Reserve Balance</v>
      </c>
      <c r="B35" s="111">
        <f>SUM(B23:C23)</f>
        <v>11.59116925</v>
      </c>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t="str">
        <f>IF(A9="","","    "&amp;A9&amp;" Balance")</f>
        <v/>
      </c>
      <c r="B36" s="111"/>
      <c r="C36" s="108" t="str">
        <f t="shared" si="5"/>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c r="N36" t="s">
        <v>175</v>
      </c>
    </row>
    <row r="37" spans="1:14" x14ac:dyDescent="0.35">
      <c r="A37" t="str">
        <f>IF(A10="","","    "&amp;A10&amp;" Balance")</f>
        <v/>
      </c>
      <c r="B37" s="157"/>
      <c r="C37" s="108" t="str">
        <f t="shared" si="5"/>
        <v/>
      </c>
      <c r="D37" s="14" t="str">
        <f t="shared" si="6"/>
        <v/>
      </c>
      <c r="E37" s="14" t="str">
        <f t="shared" si="6"/>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s="1" t="s">
        <v>195</v>
      </c>
      <c r="C38"/>
    </row>
    <row r="39" spans="1:14" x14ac:dyDescent="0.35">
      <c r="A39" t="s">
        <v>112</v>
      </c>
      <c r="C39" s="14" t="str">
        <f>IF(C$27&lt;&gt;"",B21,"")</f>
        <v/>
      </c>
      <c r="D39" s="14" t="str">
        <f>IF(D$27&lt;&gt;"",C131,"")</f>
        <v/>
      </c>
      <c r="E39" s="14" t="str">
        <f t="shared" ref="E39:L40" si="7">IF(E$27&lt;&gt;"",D131,"")</f>
        <v/>
      </c>
      <c r="F39" s="14" t="str">
        <f t="shared" si="7"/>
        <v/>
      </c>
      <c r="G39" s="14" t="str">
        <f t="shared" si="7"/>
        <v/>
      </c>
      <c r="H39" s="14" t="str">
        <f t="shared" si="7"/>
        <v/>
      </c>
      <c r="I39" s="14" t="str">
        <f t="shared" si="7"/>
        <v/>
      </c>
      <c r="J39" s="14" t="str">
        <f t="shared" si="7"/>
        <v/>
      </c>
      <c r="K39" s="14" t="str">
        <f t="shared" si="7"/>
        <v/>
      </c>
      <c r="L39" s="14" t="str">
        <f t="shared" si="7"/>
        <v/>
      </c>
    </row>
    <row r="40" spans="1:14" x14ac:dyDescent="0.35">
      <c r="A40" t="s">
        <v>113</v>
      </c>
      <c r="C40" s="14" t="str">
        <f>IF(C$27&lt;&gt;"",C21,"")</f>
        <v/>
      </c>
      <c r="D40" s="14" t="str">
        <f>IF(D$27&lt;&gt;"",C132,"")</f>
        <v/>
      </c>
      <c r="E40" s="14" t="str">
        <f t="shared" si="7"/>
        <v/>
      </c>
      <c r="F40" s="14" t="str">
        <f t="shared" si="7"/>
        <v/>
      </c>
      <c r="G40" s="14" t="str">
        <f t="shared" si="7"/>
        <v/>
      </c>
      <c r="H40" s="14" t="str">
        <f t="shared" si="7"/>
        <v/>
      </c>
      <c r="I40" s="14" t="str">
        <f t="shared" si="7"/>
        <v/>
      </c>
      <c r="J40" s="14" t="str">
        <f t="shared" si="7"/>
        <v/>
      </c>
      <c r="K40" s="14" t="str">
        <f t="shared" si="7"/>
        <v/>
      </c>
      <c r="L40" s="14" t="str">
        <f t="shared" si="7"/>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IF(A5="","","    "&amp;A5&amp;" Share")</f>
        <v xml:space="preserve">    Upper Basin Share</v>
      </c>
      <c r="B42" s="1"/>
      <c r="C42" s="14" t="str">
        <f>IF(OR(C$27="",$A42=""),"",C$41*C32/C$31)</f>
        <v/>
      </c>
      <c r="D42" s="14" t="str">
        <f>IF(OR(D$27="",$A42=""),"",D$41*D32/D$31)</f>
        <v/>
      </c>
      <c r="E42" s="14" t="str">
        <f>IF(OR(E$27="",$A42=""),"",E$41*E32/E$31)</f>
        <v/>
      </c>
      <c r="F42" s="14" t="str">
        <f>IF(OR(F$27="",$A42=""),"",F$41*F32/F$31)</f>
        <v/>
      </c>
      <c r="G42" s="14" t="str">
        <f>IF(OR(G$27="",$A42=""),"",G$41*G32/G$31)</f>
        <v/>
      </c>
      <c r="H42" s="14" t="str">
        <f>IF(OR(H$27="",$A42=""),"",H$41*H32/H$31)</f>
        <v/>
      </c>
      <c r="I42" s="14" t="str">
        <f>IF(OR(I$27="",$A42=""),"",I$41*I32/I$31)</f>
        <v/>
      </c>
      <c r="J42" s="14" t="str">
        <f>IF(OR(J$27="",$A42=""),"",J$41*J32/J$31)</f>
        <v/>
      </c>
      <c r="K42" s="14" t="str">
        <f>IF(OR(K$27="",$A42=""),"",K$41*K32/K$31)</f>
        <v/>
      </c>
      <c r="L42" s="14" t="str">
        <f>IF(OR(L$27="",$A42=""),"",L$41*L32/L$31)</f>
        <v/>
      </c>
    </row>
    <row r="43" spans="1:14" x14ac:dyDescent="0.35">
      <c r="A43" t="str">
        <f>IF(A6="","","    "&amp;A6&amp;" Share")</f>
        <v xml:space="preserve">    Lower Basin Share</v>
      </c>
      <c r="B43" s="1"/>
      <c r="C43" s="14" t="str">
        <f>IF(OR(C$27="",$A43=""),"",C$41*C33/C$31)</f>
        <v/>
      </c>
      <c r="D43" s="14" t="str">
        <f>IF(OR(D$27="",$A43=""),"",D$41*D33/D$31)</f>
        <v/>
      </c>
      <c r="E43" s="14" t="str">
        <f>IF(OR(E$27="",$A43=""),"",E$41*E33/E$31)</f>
        <v/>
      </c>
      <c r="F43" s="14" t="str">
        <f>IF(OR(F$27="",$A43=""),"",F$41*F33/F$31)</f>
        <v/>
      </c>
      <c r="G43" s="14" t="str">
        <f>IF(OR(G$27="",$A43=""),"",G$41*G33/G$31)</f>
        <v/>
      </c>
      <c r="H43" s="14" t="str">
        <f>IF(OR(H$27="",$A43=""),"",H$41*H33/H$31)</f>
        <v/>
      </c>
      <c r="I43" s="14" t="str">
        <f>IF(OR(I$27="",$A43=""),"",I$41*I33/I$31)</f>
        <v/>
      </c>
      <c r="J43" s="14" t="str">
        <f>IF(OR(J$27="",$A43=""),"",J$41*J33/J$31)</f>
        <v/>
      </c>
      <c r="K43" s="14" t="str">
        <f>IF(OR(K$27="",$A43=""),"",K$41*K33/K$31)</f>
        <v/>
      </c>
      <c r="L43" s="14" t="str">
        <f>IF(OR(L$27="",$A43=""),"",L$41*L33/L$31)</f>
        <v/>
      </c>
    </row>
    <row r="44" spans="1:14" x14ac:dyDescent="0.35">
      <c r="A44" t="str">
        <f>IF(A7="","","    "&amp;A7&amp;" Share")</f>
        <v xml:space="preserve">    Mexico Share</v>
      </c>
      <c r="B44" s="1"/>
      <c r="C44" s="14" t="str">
        <f>IF(OR(C$27="",$A44=""),"",C$41*C34/C$31)</f>
        <v/>
      </c>
      <c r="D44" s="14" t="str">
        <f>IF(OR(D$27="",$A44=""),"",D$41*D34/D$31)</f>
        <v/>
      </c>
      <c r="E44" s="14" t="str">
        <f>IF(OR(E$27="",$A44=""),"",E$41*E34/E$31)</f>
        <v/>
      </c>
      <c r="F44" s="14" t="str">
        <f>IF(OR(F$27="",$A44=""),"",F$41*F34/F$31)</f>
        <v/>
      </c>
      <c r="G44" s="14" t="str">
        <f>IF(OR(G$27="",$A44=""),"",G$41*G34/G$31)</f>
        <v/>
      </c>
      <c r="H44" s="14" t="str">
        <f>IF(OR(H$27="",$A44=""),"",H$41*H34/H$31)</f>
        <v/>
      </c>
      <c r="I44" s="14" t="str">
        <f>IF(OR(I$27="",$A44=""),"",I$41*I34/I$31)</f>
        <v/>
      </c>
      <c r="J44" s="14" t="str">
        <f>IF(OR(J$27="",$A44=""),"",J$41*J34/J$31)</f>
        <v/>
      </c>
      <c r="K44" s="14" t="str">
        <f>IF(OR(K$27="",$A44=""),"",K$41*K34/K$31)</f>
        <v/>
      </c>
      <c r="L44" s="14" t="str">
        <f>IF(OR(L$27="",$A44=""),"",L$41*L34/L$31)</f>
        <v/>
      </c>
    </row>
    <row r="45" spans="1:14" x14ac:dyDescent="0.35">
      <c r="A45" t="str">
        <f>IF(A8="","","    "&amp;A8&amp;" Share")</f>
        <v xml:space="preserve">    Shared, Reserve Share</v>
      </c>
      <c r="B45" s="1"/>
      <c r="C45" s="14" t="str">
        <f>IF(OR(C$27="",$A45=""),"",C$41*C35/C$31)</f>
        <v/>
      </c>
      <c r="D45" s="14" t="str">
        <f>IF(OR(D$27="",$A45=""),"",D$41*D35/D$31)</f>
        <v/>
      </c>
      <c r="E45" s="14" t="str">
        <f>IF(OR(E$27="",$A45=""),"",E$41*E35/E$31)</f>
        <v/>
      </c>
      <c r="F45" s="14" t="str">
        <f>IF(OR(F$27="",$A45=""),"",F$41*F35/F$31)</f>
        <v/>
      </c>
      <c r="G45" s="14" t="str">
        <f>IF(OR(G$27="",$A45=""),"",G$41*G35/G$31)</f>
        <v/>
      </c>
      <c r="H45" s="14" t="str">
        <f>IF(OR(H$27="",$A45=""),"",H$41*H35/H$31)</f>
        <v/>
      </c>
      <c r="I45" s="14" t="str">
        <f>IF(OR(I$27="",$A45=""),"",I$41*I35/I$31)</f>
        <v/>
      </c>
      <c r="J45" s="14" t="str">
        <f>IF(OR(J$27="",$A45=""),"",J$41*J35/J$31)</f>
        <v/>
      </c>
      <c r="K45" s="14" t="str">
        <f>IF(OR(K$27="",$A45=""),"",K$41*K35/K$31)</f>
        <v/>
      </c>
      <c r="L45" s="14" t="str">
        <f>IF(OR(L$27="",$A45=""),"",L$41*L35/L$31)</f>
        <v/>
      </c>
    </row>
    <row r="46" spans="1:14" x14ac:dyDescent="0.35">
      <c r="A46" t="str">
        <f>IF(A9="","","    "&amp;A9&amp;" Share")</f>
        <v/>
      </c>
      <c r="B46" s="1"/>
      <c r="C46" s="14" t="str">
        <f>IF(OR(C$27="",$A46=""),"",C$41*C36/C$31)</f>
        <v/>
      </c>
      <c r="D46" s="14" t="str">
        <f>IF(OR(D$27="",$A46=""),"",D$41*D36/D$31)</f>
        <v/>
      </c>
      <c r="E46" s="14" t="str">
        <f>IF(OR(E$27="",$A46=""),"",E$41*E36/E$31)</f>
        <v/>
      </c>
      <c r="F46" s="14" t="str">
        <f>IF(OR(F$27="",$A46=""),"",F$41*F36/F$31)</f>
        <v/>
      </c>
      <c r="G46" s="14" t="str">
        <f>IF(OR(G$27="",$A46=""),"",G$41*G36/G$31)</f>
        <v/>
      </c>
      <c r="H46" s="14" t="str">
        <f>IF(OR(H$27="",$A46=""),"",H$41*H36/H$31)</f>
        <v/>
      </c>
      <c r="I46" s="14" t="str">
        <f>IF(OR(I$27="",$A46=""),"",I$41*I36/I$31)</f>
        <v/>
      </c>
      <c r="J46" s="14" t="str">
        <f>IF(OR(J$27="",$A46=""),"",J$41*J36/J$31)</f>
        <v/>
      </c>
      <c r="K46" s="14" t="str">
        <f>IF(OR(K$27="",$A46=""),"",K$41*K36/K$31)</f>
        <v/>
      </c>
      <c r="L46" s="14" t="str">
        <f>IF(OR(L$27="",$A46=""),"",L$41*L36/L$31)</f>
        <v/>
      </c>
    </row>
    <row r="47" spans="1:14" x14ac:dyDescent="0.35">
      <c r="A47" t="str">
        <f>IF(A10="","","    "&amp;A10&amp;" Share")</f>
        <v/>
      </c>
      <c r="B47" s="1"/>
      <c r="C47" s="14" t="str">
        <f>IF(OR(C$27="",$A47=""),"",C$41*C37/C$31)</f>
        <v/>
      </c>
      <c r="D47" s="14" t="str">
        <f>IF(OR(D$27="",$A47=""),"",D$41*D37/D$31)</f>
        <v/>
      </c>
      <c r="E47" s="14" t="str">
        <f>IF(OR(E$27="",$A47=""),"",E$41*E37/E$31)</f>
        <v/>
      </c>
      <c r="F47" s="14" t="str">
        <f>IF(OR(F$27="",$A47=""),"",F$41*F37/F$31)</f>
        <v/>
      </c>
      <c r="G47" s="14" t="str">
        <f>IF(OR(G$27="",$A47=""),"",G$41*G37/G$31)</f>
        <v/>
      </c>
      <c r="H47" s="14" t="str">
        <f>IF(OR(H$27="",$A47=""),"",H$41*H37/H$31)</f>
        <v/>
      </c>
      <c r="I47" s="14" t="str">
        <f>IF(OR(I$27="",$A47=""),"",I$41*I37/I$31)</f>
        <v/>
      </c>
      <c r="J47" s="14" t="str">
        <f>IF(OR(J$27="",$A47=""),"",J$41*J37/J$31)</f>
        <v/>
      </c>
      <c r="K47" s="14" t="str">
        <f>IF(OR(K$27="",$A47=""),"",K$41*K37/K$31)</f>
        <v/>
      </c>
      <c r="L47" s="14" t="str">
        <f>IF(OR(L$27="",$A47=""),"",L$41*L37/L$31)</f>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292</v>
      </c>
      <c r="B49" s="1"/>
      <c r="C49" s="51" t="str">
        <f>IF(C27="","",SUM(C27:C29)-C30)</f>
        <v/>
      </c>
      <c r="D49" s="51" t="str">
        <f t="shared" ref="D49:L49" si="8">IF(D27="","",SUM(D27:D29)-D30)</f>
        <v/>
      </c>
      <c r="E49" s="51" t="str">
        <f t="shared" si="8"/>
        <v/>
      </c>
      <c r="F49" s="51" t="str">
        <f t="shared" si="8"/>
        <v/>
      </c>
      <c r="G49" s="51" t="str">
        <f t="shared" si="8"/>
        <v/>
      </c>
      <c r="H49" s="51" t="str">
        <f t="shared" si="8"/>
        <v/>
      </c>
      <c r="I49" s="51" t="str">
        <f t="shared" si="8"/>
        <v/>
      </c>
      <c r="J49" s="51" t="str">
        <f t="shared" si="8"/>
        <v/>
      </c>
      <c r="K49" s="51" t="str">
        <f t="shared" si="8"/>
        <v/>
      </c>
      <c r="L49" s="51" t="str">
        <f t="shared" si="8"/>
        <v/>
      </c>
      <c r="M49" s="45"/>
      <c r="N49" s="45"/>
    </row>
    <row r="50" spans="1:14" x14ac:dyDescent="0.35">
      <c r="A50" t="str">
        <f>IF(A5="","","    To "&amp;A5)</f>
        <v xml:space="preserve">    To Upper Basin</v>
      </c>
      <c r="B50" s="134" t="s">
        <v>146</v>
      </c>
      <c r="C50" s="108" t="str">
        <f>IF(OR(C$27="",$A50=""),"",MAX(C27-(82.3-$B$24)-C45*$B$23/SUM($B$23:$C$23),0))</f>
        <v/>
      </c>
      <c r="D50" s="108" t="str">
        <f>IF(OR(D$27="",$A50=""),"",MAX(0,D27-$B$51-D48/2-D53*$B$23/SUM($B$23:$C$23)))</f>
        <v/>
      </c>
      <c r="E50" s="108" t="str">
        <f t="shared" ref="E50:L50" si="9">IF(OR(E$27="",$A50=""),"",MAX(0,E49-SUM(E51:E55)))</f>
        <v/>
      </c>
      <c r="F50" s="108" t="str">
        <f t="shared" si="9"/>
        <v/>
      </c>
      <c r="G50" s="108" t="str">
        <f t="shared" si="9"/>
        <v/>
      </c>
      <c r="H50" s="108" t="str">
        <f t="shared" si="9"/>
        <v/>
      </c>
      <c r="I50" s="108" t="str">
        <f t="shared" si="9"/>
        <v/>
      </c>
      <c r="J50" s="108" t="str">
        <f t="shared" si="9"/>
        <v/>
      </c>
      <c r="K50" s="108" t="str">
        <f t="shared" si="9"/>
        <v/>
      </c>
      <c r="L50" s="108" t="str">
        <f t="shared" si="9"/>
        <v/>
      </c>
      <c r="M50" s="29"/>
      <c r="N50" s="191" t="s">
        <v>353</v>
      </c>
    </row>
    <row r="51" spans="1:14" x14ac:dyDescent="0.35">
      <c r="A51" t="str">
        <f>IF(A6="","","    To "&amp;A6)</f>
        <v xml:space="preserve">    To Lower Basin</v>
      </c>
      <c r="B51" s="135">
        <f>7.5</f>
        <v>7.5</v>
      </c>
      <c r="C51" s="108" t="str">
        <f>IF(OR(C$27="",$A51=""),"",C28+C29-C30-C53*$C$23/SUM($B$23:$C$23)-C52+MIN(82.3-$B$24,C27))</f>
        <v/>
      </c>
      <c r="D51" s="108" t="str">
        <f>IF(OR(D$27="",$A51=""),"",D28+D29-D30-D53*$C$23/SUM($B$23:$C$23)-D52/2+MIN($B51,D27-D52/2))</f>
        <v/>
      </c>
      <c r="E51" s="108" t="str">
        <f t="shared" ref="E51:L51" si="10">IF(OR(E$27="",$A51=""),"",E28+E29-E30-E53*$C$23/SUM($B$23:$C$23)-E52/2+MIN($B51,E27-E52/2))</f>
        <v/>
      </c>
      <c r="F51" s="108" t="str">
        <f t="shared" si="10"/>
        <v/>
      </c>
      <c r="G51" s="108" t="str">
        <f t="shared" si="10"/>
        <v/>
      </c>
      <c r="H51" s="108" t="str">
        <f t="shared" si="10"/>
        <v/>
      </c>
      <c r="I51" s="108" t="str">
        <f t="shared" si="10"/>
        <v/>
      </c>
      <c r="J51" s="108" t="str">
        <f t="shared" si="10"/>
        <v/>
      </c>
      <c r="K51" s="108" t="str">
        <f t="shared" si="10"/>
        <v/>
      </c>
      <c r="L51" s="108" t="str">
        <f t="shared" si="10"/>
        <v/>
      </c>
      <c r="M51" s="29"/>
      <c r="N51" s="29"/>
    </row>
    <row r="52" spans="1:14" x14ac:dyDescent="0.35">
      <c r="A52" t="str">
        <f>IF(A7="","","    To "&amp;A7)</f>
        <v xml:space="preserve">    To Mexico</v>
      </c>
      <c r="B52" s="135" t="s">
        <v>184</v>
      </c>
      <c r="C52" s="108" t="str">
        <f>IF(OR(C$27="",$A52=""),"",IF(C$49&gt;SUM(C53:C54,C48),C48,C$49-SUM(C53:C54)))</f>
        <v/>
      </c>
      <c r="D52" s="108" t="str">
        <f t="shared" ref="D52:L52" si="11">IF(OR(D$27="",$A52=""),"",IF(D$49&gt;SUM(D53:D54,D48),D48,D$49-SUM(D53:D54)))</f>
        <v/>
      </c>
      <c r="E52" s="108" t="str">
        <f t="shared" si="11"/>
        <v/>
      </c>
      <c r="F52" s="108" t="str">
        <f t="shared" si="11"/>
        <v/>
      </c>
      <c r="G52" s="108" t="str">
        <f t="shared" si="11"/>
        <v/>
      </c>
      <c r="H52" s="108" t="str">
        <f t="shared" si="11"/>
        <v/>
      </c>
      <c r="I52" s="108" t="str">
        <f t="shared" si="11"/>
        <v/>
      </c>
      <c r="J52" s="108" t="str">
        <f t="shared" si="11"/>
        <v/>
      </c>
      <c r="K52" s="108" t="str">
        <f t="shared" si="11"/>
        <v/>
      </c>
      <c r="L52" s="108" t="str">
        <f t="shared" si="11"/>
        <v/>
      </c>
      <c r="M52" s="29"/>
      <c r="N52" s="29"/>
    </row>
    <row r="53" spans="1:14" x14ac:dyDescent="0.35">
      <c r="A53" t="str">
        <f>IF(A8="","","    To "&amp;A8)</f>
        <v xml:space="preserve">    To Shared, Reserve</v>
      </c>
      <c r="B53" s="135" t="s">
        <v>183</v>
      </c>
      <c r="C53" s="108" t="str">
        <f>IF(OR(C$27="",$A53=""),"",IF(C$49&gt;C45,C45,C49))</f>
        <v/>
      </c>
      <c r="D53" s="108" t="str">
        <f t="shared" ref="D53:L53" si="12">IF(OR(D$27="",$A53=""),"",IF(D$49&gt;D45,D45,D49))</f>
        <v/>
      </c>
      <c r="E53" s="108" t="str">
        <f t="shared" si="12"/>
        <v/>
      </c>
      <c r="F53" s="108" t="str">
        <f t="shared" si="12"/>
        <v/>
      </c>
      <c r="G53" s="108" t="str">
        <f t="shared" si="12"/>
        <v/>
      </c>
      <c r="H53" s="108" t="str">
        <f t="shared" si="12"/>
        <v/>
      </c>
      <c r="I53" s="108" t="str">
        <f t="shared" si="12"/>
        <v/>
      </c>
      <c r="J53" s="108" t="str">
        <f t="shared" si="12"/>
        <v/>
      </c>
      <c r="K53" s="108" t="str">
        <f t="shared" si="12"/>
        <v/>
      </c>
      <c r="L53" s="108" t="str">
        <f t="shared" si="12"/>
        <v/>
      </c>
      <c r="M53" s="29"/>
      <c r="N53" s="29"/>
    </row>
    <row r="54" spans="1:14" x14ac:dyDescent="0.35">
      <c r="A54" t="str">
        <f>IF(A9="","","    To "&amp;A9)</f>
        <v/>
      </c>
      <c r="B54" s="135"/>
      <c r="C54" s="108"/>
      <c r="D54" s="108"/>
      <c r="E54" s="108"/>
      <c r="F54" s="108"/>
      <c r="G54" s="108"/>
      <c r="H54" s="108"/>
      <c r="I54" s="108"/>
      <c r="J54" s="108"/>
      <c r="K54" s="108"/>
      <c r="L54" s="108"/>
      <c r="M54" s="29"/>
      <c r="N54" s="29"/>
    </row>
    <row r="55" spans="1:14" x14ac:dyDescent="0.35">
      <c r="A55" t="str">
        <f>IF(A10="","","    To "&amp;A10)</f>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13">IF(OR(C$27="",$A61=""),"",C$114)</f>
        <v/>
      </c>
      <c r="D61" s="67" t="str">
        <f t="shared" si="13"/>
        <v/>
      </c>
      <c r="E61" s="67" t="str">
        <f t="shared" si="13"/>
        <v/>
      </c>
      <c r="F61" s="67" t="str">
        <f t="shared" si="13"/>
        <v/>
      </c>
      <c r="G61" s="67" t="str">
        <f t="shared" si="13"/>
        <v/>
      </c>
      <c r="H61" s="67" t="str">
        <f t="shared" si="13"/>
        <v/>
      </c>
      <c r="I61" s="67" t="str">
        <f t="shared" si="13"/>
        <v/>
      </c>
      <c r="J61" s="67" t="str">
        <f t="shared" si="13"/>
        <v/>
      </c>
      <c r="K61" s="67" t="str">
        <f t="shared" si="13"/>
        <v/>
      </c>
      <c r="L61" s="67" t="str">
        <f t="shared" si="13"/>
        <v/>
      </c>
      <c r="M61" t="str">
        <f t="shared" si="1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14">IF(OR(D$27="",$A62=""),"",D32+D50-D42-D59)</f>
        <v/>
      </c>
      <c r="E62" s="14" t="str">
        <f t="shared" si="14"/>
        <v/>
      </c>
      <c r="F62" s="14" t="str">
        <f t="shared" si="14"/>
        <v/>
      </c>
      <c r="G62" s="14" t="str">
        <f t="shared" si="14"/>
        <v/>
      </c>
      <c r="H62" s="14" t="str">
        <f t="shared" si="14"/>
        <v/>
      </c>
      <c r="I62" s="14" t="str">
        <f t="shared" si="14"/>
        <v/>
      </c>
      <c r="J62" s="14" t="str">
        <f t="shared" si="14"/>
        <v/>
      </c>
      <c r="K62" s="14" t="str">
        <f t="shared" si="14"/>
        <v/>
      </c>
      <c r="L62" s="14" t="str">
        <f t="shared" si="1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15">IF(OR(D$27="",$A64=""),"",D62-D63)</f>
        <v/>
      </c>
      <c r="E64" s="66" t="str">
        <f t="shared" si="15"/>
        <v/>
      </c>
      <c r="F64" s="66" t="str">
        <f t="shared" si="15"/>
        <v/>
      </c>
      <c r="G64" s="66" t="str">
        <f t="shared" si="15"/>
        <v/>
      </c>
      <c r="H64" s="66" t="str">
        <f t="shared" si="15"/>
        <v/>
      </c>
      <c r="I64" s="66" t="str">
        <f t="shared" si="15"/>
        <v/>
      </c>
      <c r="J64" s="66" t="str">
        <f t="shared" si="15"/>
        <v/>
      </c>
      <c r="K64" s="66" t="str">
        <f t="shared" si="15"/>
        <v/>
      </c>
      <c r="L64" s="66" t="str">
        <f t="shared" si="15"/>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16">IF(A68="","",N60)</f>
        <v>Add if multiple transactions, e.g.: $350*0.5 + $450*0.25</v>
      </c>
    </row>
    <row r="69" spans="1:14" x14ac:dyDescent="0.35">
      <c r="A69" s="32" t="str">
        <f>IF(A68="","","   Volume all players (should be zero)")</f>
        <v xml:space="preserve">   Volume all players (should be zero)</v>
      </c>
      <c r="C69" s="67" t="str">
        <f t="shared" ref="C69:M69" si="17">IF(OR(C$27="",$A69=""),"",C$114)</f>
        <v/>
      </c>
      <c r="D69" s="67" t="str">
        <f t="shared" si="17"/>
        <v/>
      </c>
      <c r="E69" s="67" t="str">
        <f t="shared" si="17"/>
        <v/>
      </c>
      <c r="F69" s="67" t="str">
        <f t="shared" si="17"/>
        <v/>
      </c>
      <c r="G69" s="67" t="str">
        <f t="shared" si="17"/>
        <v/>
      </c>
      <c r="H69" s="67" t="str">
        <f t="shared" si="17"/>
        <v/>
      </c>
      <c r="I69" s="67" t="str">
        <f t="shared" si="17"/>
        <v/>
      </c>
      <c r="J69" s="67" t="str">
        <f t="shared" si="17"/>
        <v/>
      </c>
      <c r="K69" s="67" t="str">
        <f t="shared" si="17"/>
        <v/>
      </c>
      <c r="L69" s="67" t="str">
        <f t="shared" si="17"/>
        <v/>
      </c>
      <c r="M69" t="str">
        <f t="shared" si="17"/>
        <v/>
      </c>
      <c r="N69" t="str">
        <f t="shared" si="16"/>
        <v>If non-zero, players need to change amount(s)</v>
      </c>
    </row>
    <row r="70" spans="1:14" x14ac:dyDescent="0.35">
      <c r="A70" s="1" t="str">
        <f>IF(A68="","","   Available Water [maf]")</f>
        <v xml:space="preserve">   Available Water [maf]</v>
      </c>
      <c r="C70" s="14" t="str">
        <f t="shared" ref="C70:L70" si="18">IF(OR(C$27="",$A70=""),"",C33+C51-C43-C67)</f>
        <v/>
      </c>
      <c r="D70" s="14" t="str">
        <f t="shared" si="18"/>
        <v/>
      </c>
      <c r="E70" s="14" t="str">
        <f t="shared" si="18"/>
        <v/>
      </c>
      <c r="F70" s="14" t="str">
        <f t="shared" si="18"/>
        <v/>
      </c>
      <c r="G70" s="14" t="str">
        <f t="shared" si="18"/>
        <v/>
      </c>
      <c r="H70" s="14" t="str">
        <f t="shared" si="18"/>
        <v/>
      </c>
      <c r="I70" s="14" t="str">
        <f t="shared" si="18"/>
        <v/>
      </c>
      <c r="J70" s="14" t="str">
        <f t="shared" si="18"/>
        <v/>
      </c>
      <c r="K70" s="14" t="str">
        <f t="shared" si="18"/>
        <v/>
      </c>
      <c r="L70" s="14" t="str">
        <f t="shared" si="18"/>
        <v/>
      </c>
      <c r="N70" t="str">
        <f t="shared" si="16"/>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16"/>
        <v>Must be less than Available water</v>
      </c>
    </row>
    <row r="72" spans="1:14" x14ac:dyDescent="0.35">
      <c r="A72" s="32" t="str">
        <f>IF(A71="","","   End of Year Balance [maf]")</f>
        <v xml:space="preserve">   End of Year Balance [maf]</v>
      </c>
      <c r="C72" s="66" t="str">
        <f>IF(OR(C$27="",$A72=""),"",C70-C71)</f>
        <v/>
      </c>
      <c r="D72" s="66" t="str">
        <f t="shared" ref="D72:L72" si="19">IF(OR(D$27="",$A72=""),"",D70-D71)</f>
        <v/>
      </c>
      <c r="E72" s="66" t="str">
        <f t="shared" si="19"/>
        <v/>
      </c>
      <c r="F72" s="66" t="str">
        <f t="shared" si="19"/>
        <v/>
      </c>
      <c r="G72" s="66" t="str">
        <f t="shared" si="19"/>
        <v/>
      </c>
      <c r="H72" s="66" t="str">
        <f t="shared" si="19"/>
        <v/>
      </c>
      <c r="I72" s="66" t="str">
        <f t="shared" si="19"/>
        <v/>
      </c>
      <c r="J72" s="66" t="str">
        <f t="shared" si="19"/>
        <v/>
      </c>
      <c r="K72" s="66" t="str">
        <f t="shared" si="19"/>
        <v/>
      </c>
      <c r="L72" s="66" t="str">
        <f t="shared" si="19"/>
        <v/>
      </c>
      <c r="N72" t="str">
        <f t="shared" si="16"/>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20">IF(A76="","",N68)</f>
        <v>Add if multiple transactions, e.g.: $350*0.5 + $450*0.25</v>
      </c>
    </row>
    <row r="77" spans="1:14" x14ac:dyDescent="0.35">
      <c r="A77" s="32" t="str">
        <f>IF(A76="","","   Volume all players (should be zero)")</f>
        <v xml:space="preserve">   Volume all players (should be zero)</v>
      </c>
      <c r="C77" s="67" t="str">
        <f t="shared" ref="C77:M77" si="21">IF(OR(C$27="",$A77=""),"",C$114)</f>
        <v/>
      </c>
      <c r="D77" s="67" t="str">
        <f t="shared" si="21"/>
        <v/>
      </c>
      <c r="E77" s="67" t="str">
        <f t="shared" si="21"/>
        <v/>
      </c>
      <c r="F77" s="67" t="str">
        <f t="shared" si="21"/>
        <v/>
      </c>
      <c r="G77" s="67" t="str">
        <f t="shared" si="21"/>
        <v/>
      </c>
      <c r="H77" s="67" t="str">
        <f t="shared" si="21"/>
        <v/>
      </c>
      <c r="I77" s="67" t="str">
        <f t="shared" si="21"/>
        <v/>
      </c>
      <c r="J77" s="67" t="str">
        <f t="shared" si="21"/>
        <v/>
      </c>
      <c r="K77" s="67" t="str">
        <f t="shared" si="21"/>
        <v/>
      </c>
      <c r="L77" s="67" t="str">
        <f t="shared" si="21"/>
        <v/>
      </c>
      <c r="M77" t="str">
        <f t="shared" si="21"/>
        <v/>
      </c>
      <c r="N77" t="str">
        <f t="shared" si="20"/>
        <v>If non-zero, players need to change amount(s)</v>
      </c>
    </row>
    <row r="78" spans="1:14" x14ac:dyDescent="0.35">
      <c r="A78" s="1" t="str">
        <f>IF(A76="","","   Available Water [maf]")</f>
        <v xml:space="preserve">   Available Water [maf]</v>
      </c>
      <c r="C78" s="14" t="str">
        <f t="shared" ref="C78:L78" si="22">IF(OR(C$27="",$A78=""),"",C34+C52-C44-C75)</f>
        <v/>
      </c>
      <c r="D78" s="14" t="str">
        <f t="shared" si="22"/>
        <v/>
      </c>
      <c r="E78" s="14" t="str">
        <f t="shared" si="22"/>
        <v/>
      </c>
      <c r="F78" s="14" t="str">
        <f>IF(OR(F$27="",$A78=""),"",F34+F52-F44-F75)</f>
        <v/>
      </c>
      <c r="G78" s="14" t="str">
        <f t="shared" si="22"/>
        <v/>
      </c>
      <c r="H78" s="14" t="str">
        <f t="shared" si="22"/>
        <v/>
      </c>
      <c r="I78" s="14" t="str">
        <f t="shared" si="22"/>
        <v/>
      </c>
      <c r="J78" s="14" t="str">
        <f t="shared" si="22"/>
        <v/>
      </c>
      <c r="K78" s="14" t="str">
        <f t="shared" si="22"/>
        <v/>
      </c>
      <c r="L78" s="14" t="str">
        <f t="shared" si="22"/>
        <v/>
      </c>
      <c r="N78" t="str">
        <f t="shared" si="20"/>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20"/>
        <v>Must be less than Available water</v>
      </c>
    </row>
    <row r="80" spans="1:14" x14ac:dyDescent="0.35">
      <c r="A80" s="32" t="str">
        <f>IF(A79="","","   End of Year Balance [maf]")</f>
        <v xml:space="preserve">   End of Year Balance [maf]</v>
      </c>
      <c r="C80" s="66" t="str">
        <f>IF(OR(C$27="",$A80=""),"",C78-C79)</f>
        <v/>
      </c>
      <c r="D80" s="66" t="str">
        <f t="shared" ref="D80:L80" si="23">IF(OR(D$27="",$A80=""),"",D78-D79)</f>
        <v/>
      </c>
      <c r="E80" s="66" t="str">
        <f t="shared" si="23"/>
        <v/>
      </c>
      <c r="F80" s="66" t="str">
        <f t="shared" si="23"/>
        <v/>
      </c>
      <c r="G80" s="66" t="str">
        <f t="shared" si="23"/>
        <v/>
      </c>
      <c r="H80" s="66" t="str">
        <f t="shared" si="23"/>
        <v/>
      </c>
      <c r="I80" s="66" t="str">
        <f t="shared" si="23"/>
        <v/>
      </c>
      <c r="J80" s="66" t="str">
        <f t="shared" si="23"/>
        <v/>
      </c>
      <c r="K80" s="66" t="str">
        <f t="shared" si="23"/>
        <v/>
      </c>
      <c r="L80" s="66" t="str">
        <f t="shared" si="23"/>
        <v/>
      </c>
      <c r="N80" t="str">
        <f t="shared" si="20"/>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92"/>
      <c r="D84" s="192"/>
      <c r="E84" s="192"/>
      <c r="F84" s="192"/>
      <c r="G84" s="192"/>
      <c r="H84" s="192"/>
      <c r="I84" s="192"/>
      <c r="J84" s="192"/>
      <c r="K84" s="192"/>
      <c r="L84" s="192"/>
      <c r="M84" s="65">
        <f>SUM(C84:L84)</f>
        <v>0</v>
      </c>
      <c r="N84" t="str">
        <f t="shared" ref="N84:N88" si="24">IF(A84="","",N76)</f>
        <v>Add if multiple transactions, e.g.: $350*0.5 + $450*0.25</v>
      </c>
    </row>
    <row r="85" spans="1:14" x14ac:dyDescent="0.35">
      <c r="A85" s="32" t="str">
        <f>IF(A84="","","   Volume all players (should be zero)")</f>
        <v xml:space="preserve">   Volume all players (should be zero)</v>
      </c>
      <c r="C85" s="67" t="str">
        <f t="shared" ref="C85:M85" si="25">IF(OR(C$27="",$A85=""),"",C$114)</f>
        <v/>
      </c>
      <c r="D85" s="67" t="str">
        <f t="shared" si="25"/>
        <v/>
      </c>
      <c r="E85" s="67" t="str">
        <f t="shared" si="25"/>
        <v/>
      </c>
      <c r="F85" s="67" t="str">
        <f t="shared" si="25"/>
        <v/>
      </c>
      <c r="G85" s="67" t="str">
        <f t="shared" si="25"/>
        <v/>
      </c>
      <c r="H85" s="67" t="str">
        <f t="shared" si="25"/>
        <v/>
      </c>
      <c r="I85" s="67" t="str">
        <f t="shared" si="25"/>
        <v/>
      </c>
      <c r="J85" s="67" t="str">
        <f t="shared" si="25"/>
        <v/>
      </c>
      <c r="K85" s="67" t="str">
        <f t="shared" si="25"/>
        <v/>
      </c>
      <c r="L85" s="67" t="str">
        <f t="shared" si="25"/>
        <v/>
      </c>
      <c r="M85" t="str">
        <f t="shared" si="25"/>
        <v/>
      </c>
      <c r="N85" t="str">
        <f t="shared" si="24"/>
        <v>If non-zero, players need to change amount(s)</v>
      </c>
    </row>
    <row r="86" spans="1:14" x14ac:dyDescent="0.35">
      <c r="A86" s="1" t="str">
        <f>IF(A84="","","   Available Water [maf]")</f>
        <v xml:space="preserve">   Available Water [maf]</v>
      </c>
      <c r="C86" s="14" t="str">
        <f t="shared" ref="C86:L86" si="26">IF(OR(C$27="",$A86=""),"",C35+C53-C45-C83)</f>
        <v/>
      </c>
      <c r="D86" s="14" t="str">
        <f t="shared" si="26"/>
        <v/>
      </c>
      <c r="E86" s="14" t="str">
        <f t="shared" si="26"/>
        <v/>
      </c>
      <c r="F86" s="14" t="str">
        <f t="shared" si="26"/>
        <v/>
      </c>
      <c r="G86" s="14" t="str">
        <f t="shared" si="26"/>
        <v/>
      </c>
      <c r="H86" s="14" t="str">
        <f t="shared" si="26"/>
        <v/>
      </c>
      <c r="I86" s="14" t="str">
        <f t="shared" si="26"/>
        <v/>
      </c>
      <c r="J86" s="14" t="str">
        <f t="shared" si="26"/>
        <v/>
      </c>
      <c r="K86" s="14" t="str">
        <f t="shared" si="26"/>
        <v/>
      </c>
      <c r="L86" s="14" t="str">
        <f t="shared" si="26"/>
        <v/>
      </c>
      <c r="N86" t="str">
        <f t="shared" si="2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24"/>
        <v>Must be less than Available water</v>
      </c>
    </row>
    <row r="88" spans="1:14" x14ac:dyDescent="0.35">
      <c r="A88" s="32" t="str">
        <f>IF(A87="","","   End of Year Balance [maf]")</f>
        <v xml:space="preserve">   End of Year Balance [maf]</v>
      </c>
      <c r="C88" s="66" t="str">
        <f>IF(OR(C$27="",$A88=""),"",C86-C87)</f>
        <v/>
      </c>
      <c r="D88" s="66" t="str">
        <f t="shared" ref="D88:L88" si="27">IF(OR(D$27="",$A88=""),"",D86-D87)</f>
        <v/>
      </c>
      <c r="E88" s="66" t="str">
        <f t="shared" si="27"/>
        <v/>
      </c>
      <c r="F88" s="66" t="str">
        <f t="shared" si="27"/>
        <v/>
      </c>
      <c r="G88" s="66" t="str">
        <f t="shared" si="27"/>
        <v/>
      </c>
      <c r="H88" s="66" t="str">
        <f t="shared" si="27"/>
        <v/>
      </c>
      <c r="I88" s="66" t="str">
        <f t="shared" si="27"/>
        <v/>
      </c>
      <c r="J88" s="66" t="str">
        <f t="shared" si="27"/>
        <v/>
      </c>
      <c r="K88" s="66" t="str">
        <f t="shared" si="27"/>
        <v/>
      </c>
      <c r="L88" s="66" t="str">
        <f t="shared" si="27"/>
        <v/>
      </c>
      <c r="N88" t="str">
        <f t="shared" si="2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28">IF(A92="","",N84)</f>
        <v/>
      </c>
    </row>
    <row r="93" spans="1:14" x14ac:dyDescent="0.35">
      <c r="A93" s="32" t="str">
        <f>IF(A92="","","   Volume all players (should be zero)")</f>
        <v/>
      </c>
      <c r="C93" s="67" t="str">
        <f t="shared" ref="C93:M93" si="29">IF(OR(C$27="",$A93=""),"",C$114)</f>
        <v/>
      </c>
      <c r="D93" s="67" t="str">
        <f t="shared" si="29"/>
        <v/>
      </c>
      <c r="E93" s="67" t="str">
        <f t="shared" si="29"/>
        <v/>
      </c>
      <c r="F93" s="67" t="str">
        <f t="shared" si="29"/>
        <v/>
      </c>
      <c r="G93" s="67" t="str">
        <f t="shared" si="29"/>
        <v/>
      </c>
      <c r="H93" s="67" t="str">
        <f t="shared" si="29"/>
        <v/>
      </c>
      <c r="I93" s="67" t="str">
        <f t="shared" si="29"/>
        <v/>
      </c>
      <c r="J93" s="67" t="str">
        <f t="shared" si="29"/>
        <v/>
      </c>
      <c r="K93" s="67" t="str">
        <f t="shared" si="29"/>
        <v/>
      </c>
      <c r="L93" s="67" t="str">
        <f t="shared" si="29"/>
        <v/>
      </c>
      <c r="M93" t="str">
        <f t="shared" si="29"/>
        <v/>
      </c>
      <c r="N93" t="str">
        <f t="shared" si="28"/>
        <v/>
      </c>
    </row>
    <row r="94" spans="1:14" x14ac:dyDescent="0.35">
      <c r="A94" s="1" t="str">
        <f>IF(A92="","","   Available Water [maf]")</f>
        <v/>
      </c>
      <c r="C94" s="14" t="str">
        <f t="shared" ref="C94:L94" si="30">IF(OR(C$27="",$A94=""),"",C36+C54-C46-C91)</f>
        <v/>
      </c>
      <c r="D94" s="14" t="str">
        <f t="shared" si="30"/>
        <v/>
      </c>
      <c r="E94" s="14" t="str">
        <f t="shared" si="30"/>
        <v/>
      </c>
      <c r="F94" s="14" t="str">
        <f t="shared" si="30"/>
        <v/>
      </c>
      <c r="G94" s="14" t="str">
        <f t="shared" si="30"/>
        <v/>
      </c>
      <c r="H94" s="14" t="str">
        <f t="shared" si="30"/>
        <v/>
      </c>
      <c r="I94" s="14" t="str">
        <f t="shared" si="30"/>
        <v/>
      </c>
      <c r="J94" s="14" t="str">
        <f t="shared" si="30"/>
        <v/>
      </c>
      <c r="K94" s="14" t="str">
        <f t="shared" si="30"/>
        <v/>
      </c>
      <c r="L94" s="14" t="str">
        <f t="shared" si="30"/>
        <v/>
      </c>
      <c r="N94" t="str">
        <f t="shared" si="28"/>
        <v/>
      </c>
    </row>
    <row r="95" spans="1:14" x14ac:dyDescent="0.35">
      <c r="A95" s="1" t="str">
        <f>IF(A94="","","   Account Withdraw [maf]")</f>
        <v/>
      </c>
      <c r="C95" s="132"/>
      <c r="D95" s="132"/>
      <c r="E95" s="132"/>
      <c r="F95" s="132"/>
      <c r="G95" s="132"/>
      <c r="H95" s="132"/>
      <c r="I95" s="132"/>
      <c r="J95" s="132"/>
      <c r="K95" s="132"/>
      <c r="L95" s="132"/>
      <c r="N95" t="str">
        <f t="shared" si="28"/>
        <v/>
      </c>
    </row>
    <row r="96" spans="1:14" x14ac:dyDescent="0.35">
      <c r="A96" s="32" t="str">
        <f>IF(A95="","","   End of Year Balance [maf]")</f>
        <v/>
      </c>
      <c r="C96" s="66" t="str">
        <f>IF(OR(C$27="",$A96=""),"",C94-C95)</f>
        <v/>
      </c>
      <c r="D96" s="66" t="str">
        <f t="shared" ref="D96:L96" si="31">IF(OR(D$27="",$A96=""),"",D94-D95)</f>
        <v/>
      </c>
      <c r="E96" s="66" t="str">
        <f t="shared" si="31"/>
        <v/>
      </c>
      <c r="F96" s="66" t="str">
        <f t="shared" si="31"/>
        <v/>
      </c>
      <c r="G96" s="66" t="str">
        <f t="shared" si="31"/>
        <v/>
      </c>
      <c r="H96" s="66" t="str">
        <f t="shared" si="31"/>
        <v/>
      </c>
      <c r="I96" s="66" t="str">
        <f t="shared" si="31"/>
        <v/>
      </c>
      <c r="J96" s="66" t="str">
        <f t="shared" si="31"/>
        <v/>
      </c>
      <c r="K96" s="66" t="str">
        <f t="shared" si="31"/>
        <v/>
      </c>
      <c r="L96" s="66" t="str">
        <f t="shared" si="31"/>
        <v/>
      </c>
      <c r="N96" t="str">
        <f t="shared" si="28"/>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32">IF(A100="","",N92)</f>
        <v/>
      </c>
    </row>
    <row r="101" spans="1:14" x14ac:dyDescent="0.35">
      <c r="A101" s="32" t="str">
        <f>IF(A100="","","   Volume all players (should be zero)")</f>
        <v/>
      </c>
      <c r="C101" s="67" t="str">
        <f t="shared" ref="C101:M101" si="33">IF(OR(C$27="",$A101=""),"",C$114)</f>
        <v/>
      </c>
      <c r="D101" s="67" t="str">
        <f t="shared" si="33"/>
        <v/>
      </c>
      <c r="E101" s="67" t="str">
        <f t="shared" si="33"/>
        <v/>
      </c>
      <c r="F101" s="67" t="str">
        <f t="shared" si="33"/>
        <v/>
      </c>
      <c r="G101" s="67" t="str">
        <f t="shared" si="33"/>
        <v/>
      </c>
      <c r="H101" s="67" t="str">
        <f t="shared" si="33"/>
        <v/>
      </c>
      <c r="I101" s="67" t="str">
        <f t="shared" si="33"/>
        <v/>
      </c>
      <c r="J101" s="67" t="str">
        <f t="shared" si="33"/>
        <v/>
      </c>
      <c r="K101" s="67" t="str">
        <f t="shared" si="33"/>
        <v/>
      </c>
      <c r="L101" s="67" t="str">
        <f t="shared" si="33"/>
        <v/>
      </c>
      <c r="M101" t="str">
        <f t="shared" si="33"/>
        <v/>
      </c>
      <c r="N101" t="str">
        <f t="shared" si="32"/>
        <v/>
      </c>
    </row>
    <row r="102" spans="1:14" x14ac:dyDescent="0.35">
      <c r="A102" s="1" t="str">
        <f>IF(A100="","","   Available Water [maf]")</f>
        <v/>
      </c>
      <c r="C102" s="14" t="str">
        <f t="shared" ref="C102:L102" si="34">IF(OR(C$27="",$A102=""),"",C37+C55-C47-C99)</f>
        <v/>
      </c>
      <c r="D102" s="14" t="str">
        <f t="shared" si="34"/>
        <v/>
      </c>
      <c r="E102" s="14" t="str">
        <f t="shared" si="34"/>
        <v/>
      </c>
      <c r="F102" s="14" t="str">
        <f t="shared" si="34"/>
        <v/>
      </c>
      <c r="G102" s="14" t="str">
        <f t="shared" si="34"/>
        <v/>
      </c>
      <c r="H102" s="14" t="str">
        <f t="shared" si="34"/>
        <v/>
      </c>
      <c r="I102" s="14" t="str">
        <f t="shared" si="34"/>
        <v/>
      </c>
      <c r="J102" s="14" t="str">
        <f t="shared" si="34"/>
        <v/>
      </c>
      <c r="K102" s="14" t="str">
        <f t="shared" si="34"/>
        <v/>
      </c>
      <c r="L102" s="14" t="str">
        <f t="shared" si="34"/>
        <v/>
      </c>
      <c r="N102" t="str">
        <f t="shared" si="32"/>
        <v/>
      </c>
    </row>
    <row r="103" spans="1:14" x14ac:dyDescent="0.35">
      <c r="A103" s="1" t="str">
        <f>IF(A102="","","   Account Withdraw [maf]")</f>
        <v/>
      </c>
      <c r="C103" s="132"/>
      <c r="D103" s="132"/>
      <c r="E103" s="132"/>
      <c r="F103" s="132"/>
      <c r="G103" s="132"/>
      <c r="H103" s="132"/>
      <c r="I103" s="132"/>
      <c r="J103" s="132"/>
      <c r="K103" s="132"/>
      <c r="L103" s="132"/>
      <c r="N103" t="str">
        <f t="shared" si="32"/>
        <v/>
      </c>
    </row>
    <row r="104" spans="1:14" x14ac:dyDescent="0.35">
      <c r="A104" s="32" t="str">
        <f>IF(A103="","","   End of Year Balance [maf]")</f>
        <v/>
      </c>
      <c r="C104" s="66" t="str">
        <f>IF(OR(C$27="",$A104=""),"",C102-C103)</f>
        <v/>
      </c>
      <c r="D104" s="66" t="str">
        <f t="shared" ref="D104:L104" si="35">IF(OR(D$27="",$A104=""),"",D102-D103)</f>
        <v/>
      </c>
      <c r="E104" s="66" t="str">
        <f t="shared" si="35"/>
        <v/>
      </c>
      <c r="F104" s="66" t="str">
        <f t="shared" si="35"/>
        <v/>
      </c>
      <c r="G104" s="66" t="str">
        <f t="shared" si="35"/>
        <v/>
      </c>
      <c r="H104" s="66" t="str">
        <f t="shared" si="35"/>
        <v/>
      </c>
      <c r="I104" s="66" t="str">
        <f t="shared" si="35"/>
        <v/>
      </c>
      <c r="J104" s="66" t="str">
        <f t="shared" si="35"/>
        <v/>
      </c>
      <c r="K104" s="66" t="str">
        <f t="shared" si="35"/>
        <v/>
      </c>
      <c r="L104" s="66" t="str">
        <f t="shared" si="35"/>
        <v/>
      </c>
      <c r="N104" t="str">
        <f t="shared" si="32"/>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IF(A5="","","    "&amp;A5)</f>
        <v xml:space="preserve">    Upper Basin</v>
      </c>
      <c r="B108" s="1"/>
      <c r="C108" s="67" t="str">
        <f ca="1">IF(OR(C$27="",$A108=""),"",OFFSET(C$59,8*(ROW(B108)-ROW(B$108)),0))</f>
        <v/>
      </c>
      <c r="D108" s="67" t="str">
        <f ca="1">IF(OR(D$27="",$A108=""),"",OFFSET(D$59,8*(ROW(C108)-ROW(C$108)),0))</f>
        <v/>
      </c>
      <c r="E108" s="67" t="str">
        <f ca="1">IF(OR(E$27="",$A108=""),"",OFFSET(E$59,8*(ROW(D108)-ROW(D$108)),0))</f>
        <v/>
      </c>
      <c r="F108" s="67" t="str">
        <f ca="1">IF(OR(F$27="",$A108=""),"",OFFSET(F$59,8*(ROW(E108)-ROW(E$108)),0))</f>
        <v/>
      </c>
      <c r="G108" s="67" t="str">
        <f ca="1">IF(OR(G$27="",$A108=""),"",OFFSET(G$59,8*(ROW(F108)-ROW(F$108)),0))</f>
        <v/>
      </c>
      <c r="H108" s="67" t="str">
        <f ca="1">IF(OR(H$27="",$A108=""),"",OFFSET(H$59,8*(ROW(G108)-ROW(G$108)),0))</f>
        <v/>
      </c>
      <c r="I108" s="67" t="str">
        <f ca="1">IF(OR(I$27="",$A108=""),"",OFFSET(I$59,8*(ROW(H108)-ROW(H$108)),0))</f>
        <v/>
      </c>
      <c r="J108" s="67" t="str">
        <f ca="1">IF(OR(J$27="",$A108=""),"",OFFSET(J$59,8*(ROW(I108)-ROW(I$108)),0))</f>
        <v/>
      </c>
      <c r="K108" s="67" t="str">
        <f ca="1">IF(OR(K$27="",$A108=""),"",OFFSET(K$59,8*(ROW(J108)-ROW(J$108)),0))</f>
        <v/>
      </c>
      <c r="L108" s="67" t="str">
        <f ca="1">IF(OR(L$27="",$A108=""),"",OFFSET(L$59,8*(ROW(K108)-ROW(K$108)),0))</f>
        <v/>
      </c>
      <c r="M108" s="67">
        <f ca="1">IF(OR($A108=""),"",SUM(C108:L108))</f>
        <v>0</v>
      </c>
      <c r="N108" s="65">
        <f>IF(OR($A108=""),"",M60)</f>
        <v>0</v>
      </c>
    </row>
    <row r="109" spans="1:14" x14ac:dyDescent="0.35">
      <c r="A109" t="str">
        <f>IF(A6="","","    "&amp;A6)</f>
        <v xml:space="preserve">    Lower Basin</v>
      </c>
      <c r="B109" s="1"/>
      <c r="C109" s="67" t="str">
        <f ca="1">IF(OR(C$27="",$A109=""),"",OFFSET(C$59,8*(ROW(B109)-ROW(B$108)),0))</f>
        <v/>
      </c>
      <c r="D109" s="67" t="str">
        <f ca="1">IF(OR(D$27="",$A109=""),"",OFFSET(D$59,8*(ROW(C109)-ROW(C$108)),0))</f>
        <v/>
      </c>
      <c r="E109" s="67" t="str">
        <f ca="1">IF(OR(E$27="",$A109=""),"",OFFSET(E$59,8*(ROW(D109)-ROW(D$108)),0))</f>
        <v/>
      </c>
      <c r="F109" s="67" t="str">
        <f ca="1">IF(OR(F$27="",$A109=""),"",OFFSET(F$59,8*(ROW(E109)-ROW(E$108)),0))</f>
        <v/>
      </c>
      <c r="G109" s="67" t="str">
        <f ca="1">IF(OR(G$27="",$A109=""),"",OFFSET(G$59,8*(ROW(F109)-ROW(F$108)),0))</f>
        <v/>
      </c>
      <c r="H109" s="67" t="str">
        <f ca="1">IF(OR(H$27="",$A109=""),"",OFFSET(H$59,8*(ROW(G109)-ROW(G$108)),0))</f>
        <v/>
      </c>
      <c r="I109" s="67" t="str">
        <f ca="1">IF(OR(I$27="",$A109=""),"",OFFSET(I$59,8*(ROW(H109)-ROW(H$108)),0))</f>
        <v/>
      </c>
      <c r="J109" s="67" t="str">
        <f ca="1">IF(OR(J$27="",$A109=""),"",OFFSET(J$59,8*(ROW(I109)-ROW(I$108)),0))</f>
        <v/>
      </c>
      <c r="K109" s="67" t="str">
        <f ca="1">IF(OR(K$27="",$A109=""),"",OFFSET(K$59,8*(ROW(J109)-ROW(J$108)),0))</f>
        <v/>
      </c>
      <c r="L109" s="67" t="str">
        <f ca="1">IF(OR(L$27="",$A109=""),"",OFFSET(L$59,8*(ROW(K109)-ROW(K$108)),0))</f>
        <v/>
      </c>
      <c r="M109" s="67">
        <f t="shared" ref="M109:M113" ca="1" si="36">IF(OR($A109=""),"",SUM(C109:L109))</f>
        <v>0</v>
      </c>
      <c r="N109" s="65">
        <f>IF(OR($A109=""),"",M68)</f>
        <v>0</v>
      </c>
    </row>
    <row r="110" spans="1:14" x14ac:dyDescent="0.35">
      <c r="A110" t="str">
        <f>IF(A7="","","    "&amp;A7)</f>
        <v xml:space="preserve">    Mexico</v>
      </c>
      <c r="B110" s="1"/>
      <c r="C110" s="67" t="str">
        <f ca="1">IF(OR(C$27="",$A110=""),"",OFFSET(C$59,8*(ROW(B110)-ROW(B$108)),0))</f>
        <v/>
      </c>
      <c r="D110" s="67" t="str">
        <f ca="1">IF(OR(D$27="",$A110=""),"",OFFSET(D$59,8*(ROW(C110)-ROW(C$108)),0))</f>
        <v/>
      </c>
      <c r="E110" s="67" t="str">
        <f ca="1">IF(OR(E$27="",$A110=""),"",OFFSET(E$59,8*(ROW(D110)-ROW(D$108)),0))</f>
        <v/>
      </c>
      <c r="F110" s="67" t="str">
        <f ca="1">IF(OR(F$27="",$A110=""),"",OFFSET(F$59,8*(ROW(E110)-ROW(E$108)),0))</f>
        <v/>
      </c>
      <c r="G110" s="67" t="str">
        <f ca="1">IF(OR(G$27="",$A110=""),"",OFFSET(G$59,8*(ROW(F110)-ROW(F$108)),0))</f>
        <v/>
      </c>
      <c r="H110" s="67" t="str">
        <f ca="1">IF(OR(H$27="",$A110=""),"",OFFSET(H$59,8*(ROW(G110)-ROW(G$108)),0))</f>
        <v/>
      </c>
      <c r="I110" s="67" t="str">
        <f ca="1">IF(OR(I$27="",$A110=""),"",OFFSET(I$59,8*(ROW(H110)-ROW(H$108)),0))</f>
        <v/>
      </c>
      <c r="J110" s="67" t="str">
        <f ca="1">IF(OR(J$27="",$A110=""),"",OFFSET(J$59,8*(ROW(I110)-ROW(I$108)),0))</f>
        <v/>
      </c>
      <c r="K110" s="67" t="str">
        <f ca="1">IF(OR(K$27="",$A110=""),"",OFFSET(K$59,8*(ROW(J110)-ROW(J$108)),0))</f>
        <v/>
      </c>
      <c r="L110" s="67" t="str">
        <f ca="1">IF(OR(L$27="",$A110=""),"",OFFSET(L$59,8*(ROW(K110)-ROW(K$108)),0))</f>
        <v/>
      </c>
      <c r="M110" s="67">
        <f t="shared" ca="1" si="36"/>
        <v>0</v>
      </c>
      <c r="N110" s="65">
        <f>IF(OR($A110=""),"",M76)</f>
        <v>0</v>
      </c>
    </row>
    <row r="111" spans="1:14" x14ac:dyDescent="0.35">
      <c r="A111" t="str">
        <f>IF(A8="","","    "&amp;A8)</f>
        <v xml:space="preserve">    Shared, Reserve</v>
      </c>
      <c r="B111" s="1"/>
      <c r="C111" s="67" t="str">
        <f ca="1">IF(OR(C$27="",$A111=""),"",OFFSET(C$59,8*(ROW(B111)-ROW(B$108)),0))</f>
        <v/>
      </c>
      <c r="D111" s="67" t="str">
        <f ca="1">IF(OR(D$27="",$A111=""),"",OFFSET(D$59,8*(ROW(C111)-ROW(C$108)),0))</f>
        <v/>
      </c>
      <c r="E111" s="67" t="str">
        <f ca="1">IF(OR(E$27="",$A111=""),"",OFFSET(E$59,8*(ROW(D111)-ROW(D$108)),0))</f>
        <v/>
      </c>
      <c r="F111" s="67" t="str">
        <f ca="1">IF(OR(F$27="",$A111=""),"",OFFSET(F$59,8*(ROW(E111)-ROW(E$108)),0))</f>
        <v/>
      </c>
      <c r="G111" s="67" t="str">
        <f ca="1">IF(OR(G$27="",$A111=""),"",OFFSET(G$59,8*(ROW(F111)-ROW(F$108)),0))</f>
        <v/>
      </c>
      <c r="H111" s="67" t="str">
        <f ca="1">IF(OR(H$27="",$A111=""),"",OFFSET(H$59,8*(ROW(G111)-ROW(G$108)),0))</f>
        <v/>
      </c>
      <c r="I111" s="67" t="str">
        <f ca="1">IF(OR(I$27="",$A111=""),"",OFFSET(I$59,8*(ROW(H111)-ROW(H$108)),0))</f>
        <v/>
      </c>
      <c r="J111" s="67" t="str">
        <f ca="1">IF(OR(J$27="",$A111=""),"",OFFSET(J$59,8*(ROW(I111)-ROW(I$108)),0))</f>
        <v/>
      </c>
      <c r="K111" s="67" t="str">
        <f ca="1">IF(OR(K$27="",$A111=""),"",OFFSET(K$59,8*(ROW(J111)-ROW(J$108)),0))</f>
        <v/>
      </c>
      <c r="L111" s="67" t="str">
        <f ca="1">IF(OR(L$27="",$A111=""),"",OFFSET(L$59,8*(ROW(K111)-ROW(K$108)),0))</f>
        <v/>
      </c>
      <c r="M111" s="67">
        <f t="shared" ca="1" si="36"/>
        <v>0</v>
      </c>
      <c r="N111" s="65">
        <f>IF(OR($A111=""),"",M84)</f>
        <v>0</v>
      </c>
    </row>
    <row r="112" spans="1:14" x14ac:dyDescent="0.35">
      <c r="A112" t="str">
        <f>IF(A9="","","    "&amp;A9)</f>
        <v/>
      </c>
      <c r="B112" s="1"/>
      <c r="C112" s="67" t="str">
        <f ca="1">IF(OR(C$27="",$A112=""),"",OFFSET(C$59,8*(ROW(B112)-ROW(B$108)),0))</f>
        <v/>
      </c>
      <c r="D112" s="67" t="str">
        <f ca="1">IF(OR(D$27="",$A112=""),"",OFFSET(D$59,8*(ROW(C112)-ROW(C$108)),0))</f>
        <v/>
      </c>
      <c r="E112" s="67" t="str">
        <f ca="1">IF(OR(E$27="",$A112=""),"",OFFSET(E$59,8*(ROW(D112)-ROW(D$108)),0))</f>
        <v/>
      </c>
      <c r="F112" s="67" t="str">
        <f ca="1">IF(OR(F$27="",$A112=""),"",OFFSET(F$59,8*(ROW(E112)-ROW(E$108)),0))</f>
        <v/>
      </c>
      <c r="G112" s="67" t="str">
        <f ca="1">IF(OR(G$27="",$A112=""),"",OFFSET(G$59,8*(ROW(F112)-ROW(F$108)),0))</f>
        <v/>
      </c>
      <c r="H112" s="67" t="str">
        <f ca="1">IF(OR(H$27="",$A112=""),"",OFFSET(H$59,8*(ROW(G112)-ROW(G$108)),0))</f>
        <v/>
      </c>
      <c r="I112" s="67" t="str">
        <f ca="1">IF(OR(I$27="",$A112=""),"",OFFSET(I$59,8*(ROW(H112)-ROW(H$108)),0))</f>
        <v/>
      </c>
      <c r="J112" s="67" t="str">
        <f ca="1">IF(OR(J$27="",$A112=""),"",OFFSET(J$59,8*(ROW(I112)-ROW(I$108)),0))</f>
        <v/>
      </c>
      <c r="K112" s="67" t="str">
        <f ca="1">IF(OR(K$27="",$A112=""),"",OFFSET(K$59,8*(ROW(J112)-ROW(J$108)),0))</f>
        <v/>
      </c>
      <c r="L112" s="67" t="str">
        <f ca="1">IF(OR(L$27="",$A112=""),"",OFFSET(L$59,8*(ROW(K112)-ROW(K$108)),0))</f>
        <v/>
      </c>
      <c r="M112" s="67" t="str">
        <f t="shared" si="36"/>
        <v/>
      </c>
      <c r="N112" s="65" t="str">
        <f>IF(OR($A112=""),"",M92)</f>
        <v/>
      </c>
    </row>
    <row r="113" spans="1:14" x14ac:dyDescent="0.35">
      <c r="A113" t="str">
        <f>IF(A10="","","    "&amp;A10)</f>
        <v/>
      </c>
      <c r="B113" s="1"/>
      <c r="C113" s="67" t="str">
        <f ca="1">IF(OR(C$27="",$A113=""),"",OFFSET(C$59,8*(ROW(B113)-ROW(B$108)),0))</f>
        <v/>
      </c>
      <c r="D113" s="67" t="str">
        <f ca="1">IF(OR(D$27="",$A113=""),"",OFFSET(D$59,8*(ROW(C113)-ROW(C$108)),0))</f>
        <v/>
      </c>
      <c r="E113" s="67" t="str">
        <f ca="1">IF(OR(E$27="",$A113=""),"",OFFSET(E$59,8*(ROW(D113)-ROW(D$108)),0))</f>
        <v/>
      </c>
      <c r="F113" s="67" t="str">
        <f ca="1">IF(OR(F$27="",$A113=""),"",OFFSET(F$59,8*(ROW(E113)-ROW(E$108)),0))</f>
        <v/>
      </c>
      <c r="G113" s="67" t="str">
        <f ca="1">IF(OR(G$27="",$A113=""),"",OFFSET(G$59,8*(ROW(F113)-ROW(F$108)),0))</f>
        <v/>
      </c>
      <c r="H113" s="67" t="str">
        <f ca="1">IF(OR(H$27="",$A113=""),"",OFFSET(H$59,8*(ROW(G113)-ROW(G$108)),0))</f>
        <v/>
      </c>
      <c r="I113" s="67" t="str">
        <f ca="1">IF(OR(I$27="",$A113=""),"",OFFSET(I$59,8*(ROW(H113)-ROW(H$108)),0))</f>
        <v/>
      </c>
      <c r="J113" s="67" t="str">
        <f ca="1">IF(OR(J$27="",$A113=""),"",OFFSET(J$59,8*(ROW(I113)-ROW(I$108)),0))</f>
        <v/>
      </c>
      <c r="K113" s="67" t="str">
        <f ca="1">IF(OR(K$27="",$A113=""),"",OFFSET(K$59,8*(ROW(J113)-ROW(J$108)),0))</f>
        <v/>
      </c>
      <c r="L113" s="67" t="str">
        <f ca="1">IF(OR(L$27="",$A113=""),"",OFFSET(L$59,8*(ROW(K113)-ROW(K$108)),0))</f>
        <v/>
      </c>
      <c r="M113" s="67" t="str">
        <f t="shared" si="36"/>
        <v/>
      </c>
      <c r="N113" s="65" t="str">
        <f>IF(OR($A113=""),"",M100)</f>
        <v/>
      </c>
    </row>
    <row r="114" spans="1:14" x14ac:dyDescent="0.35">
      <c r="A114" t="s">
        <v>145</v>
      </c>
      <c r="B114" s="1"/>
      <c r="C114" s="51" t="str">
        <f>IF(C$27&lt;&gt;"",SUM(C108:C113),"")</f>
        <v/>
      </c>
      <c r="D114" s="51" t="str">
        <f t="shared" ref="D114:L114" si="37">IF(D$27&lt;&gt;"",SUM(D108:D113),"")</f>
        <v/>
      </c>
      <c r="E114" s="115" t="str">
        <f t="shared" si="37"/>
        <v/>
      </c>
      <c r="F114" s="51" t="str">
        <f t="shared" si="37"/>
        <v/>
      </c>
      <c r="G114" s="51" t="str">
        <f t="shared" si="37"/>
        <v/>
      </c>
      <c r="H114" s="51" t="str">
        <f t="shared" si="37"/>
        <v/>
      </c>
      <c r="I114" s="51" t="str">
        <f t="shared" si="37"/>
        <v/>
      </c>
      <c r="J114" s="51" t="str">
        <f t="shared" si="37"/>
        <v/>
      </c>
      <c r="K114" s="51" t="str">
        <f t="shared" si="37"/>
        <v/>
      </c>
      <c r="L114" s="51" t="str">
        <f t="shared" si="37"/>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ca="1">IF(OR(C$27="",$A116=""),"",OFFSET(C$63,8*(ROW(B116)-ROW(B$116)),0))</f>
        <v/>
      </c>
      <c r="D116" s="67" t="str">
        <f ca="1">IF(OR(D$27="",$A116=""),"",OFFSET(D$63,8*(ROW(C116)-ROW(C$116)),0))</f>
        <v/>
      </c>
      <c r="E116" s="67" t="str">
        <f ca="1">IF(OR(E$27="",$A116=""),"",OFFSET(E$63,8*(ROW(D116)-ROW(D$116)),0))</f>
        <v/>
      </c>
      <c r="F116" s="67" t="str">
        <f ca="1">IF(OR(F$27="",$A116=""),"",OFFSET(F$63,8*(ROW(E116)-ROW(E$116)),0))</f>
        <v/>
      </c>
      <c r="G116" s="67" t="str">
        <f ca="1">IF(OR(G$27="",$A116=""),"",OFFSET(G$63,8*(ROW(F116)-ROW(F$116)),0))</f>
        <v/>
      </c>
      <c r="H116" s="67" t="str">
        <f ca="1">IF(OR(H$27="",$A116=""),"",OFFSET(H$63,8*(ROW(G116)-ROW(G$116)),0))</f>
        <v/>
      </c>
      <c r="I116" s="67" t="str">
        <f ca="1">IF(OR(I$27="",$A116=""),"",OFFSET(I$63,8*(ROW(H116)-ROW(H$116)),0))</f>
        <v/>
      </c>
      <c r="J116" s="67" t="str">
        <f ca="1">IF(OR(J$27="",$A116=""),"",OFFSET(J$63,8*(ROW(I116)-ROW(I$116)),0))</f>
        <v/>
      </c>
      <c r="K116" s="67" t="str">
        <f ca="1">IF(OR(K$27="",$A116=""),"",OFFSET(K$63,8*(ROW(J116)-ROW(J$116)),0))</f>
        <v/>
      </c>
      <c r="L116" s="67" t="str">
        <f ca="1">IF(OR(L$27="",$A116=""),"",OFFSET(L$63,8*(ROW(K116)-ROW(K$116)),0))</f>
        <v/>
      </c>
    </row>
    <row r="117" spans="1:14" x14ac:dyDescent="0.35">
      <c r="A117" t="str">
        <f>IF(A6="","","    "&amp;A6&amp;" - Release from Mead")</f>
        <v xml:space="preserve">    Lower Basin - Release from Mead</v>
      </c>
      <c r="C117" s="67" t="str">
        <f ca="1">IF(OR(C$27="",$A117=""),"",OFFSET(C$63,8*(ROW(B117)-ROW(B$116)),0))</f>
        <v/>
      </c>
      <c r="D117" s="67" t="str">
        <f ca="1">IF(OR(D$27="",$A117=""),"",OFFSET(D$63,8*(ROW(C117)-ROW(C$116)),0))</f>
        <v/>
      </c>
      <c r="E117" s="67" t="str">
        <f ca="1">IF(OR(E$27="",$A117=""),"",OFFSET(E$63,8*(ROW(D117)-ROW(D$116)),0))</f>
        <v/>
      </c>
      <c r="F117" s="67" t="str">
        <f ca="1">IF(OR(F$27="",$A117=""),"",OFFSET(F$63,8*(ROW(E117)-ROW(E$116)),0))</f>
        <v/>
      </c>
      <c r="G117" s="67" t="str">
        <f ca="1">IF(OR(G$27="",$A117=""),"",OFFSET(G$63,8*(ROW(F117)-ROW(F$116)),0))</f>
        <v/>
      </c>
      <c r="H117" s="67" t="str">
        <f ca="1">IF(OR(H$27="",$A117=""),"",OFFSET(H$63,8*(ROW(G117)-ROW(G$116)),0))</f>
        <v/>
      </c>
      <c r="I117" s="67" t="str">
        <f ca="1">IF(OR(I$27="",$A117=""),"",OFFSET(I$63,8*(ROW(H117)-ROW(H$116)),0))</f>
        <v/>
      </c>
      <c r="J117" s="67" t="str">
        <f ca="1">IF(OR(J$27="",$A117=""),"",OFFSET(J$63,8*(ROW(I117)-ROW(I$116)),0))</f>
        <v/>
      </c>
      <c r="K117" s="67" t="str">
        <f ca="1">IF(OR(K$27="",$A117=""),"",OFFSET(K$63,8*(ROW(J117)-ROW(J$116)),0))</f>
        <v/>
      </c>
      <c r="L117" s="67" t="str">
        <f ca="1">IF(OR(L$27="",$A117=""),"",OFFSET(L$63,8*(ROW(K117)-ROW(K$116)),0))</f>
        <v/>
      </c>
    </row>
    <row r="118" spans="1:14" x14ac:dyDescent="0.35">
      <c r="A118" t="str">
        <f>IF(A7="","","    "&amp;A7&amp;" - Release from Mead")</f>
        <v xml:space="preserve">    Mexico - Release from Mead</v>
      </c>
      <c r="C118" s="67" t="str">
        <f ca="1">IF(OR(C$27="",$A118=""),"",OFFSET(C$63,8*(ROW(B118)-ROW(B$116)),0))</f>
        <v/>
      </c>
      <c r="D118" s="67" t="str">
        <f ca="1">IF(OR(D$27="",$A118=""),"",OFFSET(D$63,8*(ROW(C118)-ROW(C$116)),0))</f>
        <v/>
      </c>
      <c r="E118" s="67" t="str">
        <f ca="1">IF(OR(E$27="",$A118=""),"",OFFSET(E$63,8*(ROW(D118)-ROW(D$116)),0))</f>
        <v/>
      </c>
      <c r="F118" s="67" t="str">
        <f ca="1">IF(OR(F$27="",$A118=""),"",OFFSET(F$63,8*(ROW(E118)-ROW(E$116)),0))</f>
        <v/>
      </c>
      <c r="G118" s="67" t="str">
        <f ca="1">IF(OR(G$27="",$A118=""),"",OFFSET(G$63,8*(ROW(F118)-ROW(F$116)),0))</f>
        <v/>
      </c>
      <c r="H118" s="67" t="str">
        <f ca="1">IF(OR(H$27="",$A118=""),"",OFFSET(H$63,8*(ROW(G118)-ROW(G$116)),0))</f>
        <v/>
      </c>
      <c r="I118" s="67" t="str">
        <f ca="1">IF(OR(I$27="",$A118=""),"",OFFSET(I$63,8*(ROW(H118)-ROW(H$116)),0))</f>
        <v/>
      </c>
      <c r="J118" s="67" t="str">
        <f ca="1">IF(OR(J$27="",$A118=""),"",OFFSET(J$63,8*(ROW(I118)-ROW(I$116)),0))</f>
        <v/>
      </c>
      <c r="K118" s="67" t="str">
        <f ca="1">IF(OR(K$27="",$A118=""),"",OFFSET(K$63,8*(ROW(J118)-ROW(J$116)),0))</f>
        <v/>
      </c>
      <c r="L118" s="67" t="str">
        <f ca="1">IF(OR(L$27="",$A118=""),"",OFFSET(L$63,8*(ROW(K118)-ROW(K$116)),0))</f>
        <v/>
      </c>
    </row>
    <row r="119" spans="1:14" x14ac:dyDescent="0.35">
      <c r="A119" t="str">
        <f>IF(A8="","","    "&amp;A8&amp;" - Release from Mead")</f>
        <v xml:space="preserve">    Shared, Reserve - Release from Mead</v>
      </c>
      <c r="C119" s="67" t="str">
        <f ca="1">IF(OR(C$27="",$A119=""),"",OFFSET(C$63,8*(ROW(B119)-ROW(B$116)),0))</f>
        <v/>
      </c>
      <c r="D119" s="67" t="str">
        <f ca="1">IF(OR(D$27="",$A119=""),"",OFFSET(D$63,8*(ROW(C119)-ROW(C$116)),0))</f>
        <v/>
      </c>
      <c r="E119" s="67" t="str">
        <f ca="1">IF(OR(E$27="",$A119=""),"",OFFSET(E$63,8*(ROW(D119)-ROW(D$116)),0))</f>
        <v/>
      </c>
      <c r="F119" s="67" t="str">
        <f ca="1">IF(OR(F$27="",$A119=""),"",OFFSET(F$63,8*(ROW(E119)-ROW(E$116)),0))</f>
        <v/>
      </c>
      <c r="G119" s="67" t="str">
        <f ca="1">IF(OR(G$27="",$A119=""),"",OFFSET(G$63,8*(ROW(F119)-ROW(F$116)),0))</f>
        <v/>
      </c>
      <c r="H119" s="67" t="str">
        <f ca="1">IF(OR(H$27="",$A119=""),"",OFFSET(H$63,8*(ROW(G119)-ROW(G$116)),0))</f>
        <v/>
      </c>
      <c r="I119" s="67" t="str">
        <f ca="1">IF(OR(I$27="",$A119=""),"",OFFSET(I$63,8*(ROW(H119)-ROW(H$116)),0))</f>
        <v/>
      </c>
      <c r="J119" s="67" t="str">
        <f ca="1">IF(OR(J$27="",$A119=""),"",OFFSET(J$63,8*(ROW(I119)-ROW(I$116)),0))</f>
        <v/>
      </c>
      <c r="K119" s="67" t="str">
        <f ca="1">IF(OR(K$27="",$A119=""),"",OFFSET(K$63,8*(ROW(J119)-ROW(J$116)),0))</f>
        <v/>
      </c>
      <c r="L119" s="67" t="str">
        <f ca="1">IF(OR(L$27="",$A119=""),"",OFFSET(L$63,8*(ROW(K119)-ROW(K$116)),0))</f>
        <v/>
      </c>
    </row>
    <row r="120" spans="1:14" x14ac:dyDescent="0.35">
      <c r="A120" t="str">
        <f>IF(A9="","","    "&amp;A9&amp;" - Release from Mead")</f>
        <v/>
      </c>
      <c r="C120" s="67" t="str">
        <f ca="1">IF(OR(C$27="",$A120=""),"",OFFSET(C$63,8*(ROW(B120)-ROW(B$116)),0))</f>
        <v/>
      </c>
      <c r="D120" s="67" t="str">
        <f ca="1">IF(OR(D$27="",$A120=""),"",OFFSET(D$63,8*(ROW(C120)-ROW(C$116)),0))</f>
        <v/>
      </c>
      <c r="E120" s="67" t="str">
        <f ca="1">IF(OR(E$27="",$A120=""),"",OFFSET(E$63,8*(ROW(D120)-ROW(D$116)),0))</f>
        <v/>
      </c>
      <c r="F120" s="67" t="str">
        <f ca="1">IF(OR(F$27="",$A120=""),"",OFFSET(F$63,8*(ROW(E120)-ROW(E$116)),0))</f>
        <v/>
      </c>
      <c r="G120" s="67" t="str">
        <f ca="1">IF(OR(G$27="",$A120=""),"",OFFSET(G$63,8*(ROW(F120)-ROW(F$116)),0))</f>
        <v/>
      </c>
      <c r="H120" s="67" t="str">
        <f ca="1">IF(OR(H$27="",$A120=""),"",OFFSET(H$63,8*(ROW(G120)-ROW(G$116)),0))</f>
        <v/>
      </c>
      <c r="I120" s="67" t="str">
        <f ca="1">IF(OR(I$27="",$A120=""),"",OFFSET(I$63,8*(ROW(H120)-ROW(H$116)),0))</f>
        <v/>
      </c>
      <c r="J120" s="67" t="str">
        <f ca="1">IF(OR(J$27="",$A120=""),"",OFFSET(J$63,8*(ROW(I120)-ROW(I$116)),0))</f>
        <v/>
      </c>
      <c r="K120" s="67" t="str">
        <f ca="1">IF(OR(K$27="",$A120=""),"",OFFSET(K$63,8*(ROW(J120)-ROW(J$116)),0))</f>
        <v/>
      </c>
      <c r="L120" s="67" t="str">
        <f ca="1">IF(OR(L$27="",$A120=""),"",OFFSET(L$63,8*(ROW(K120)-ROW(K$116)),0))</f>
        <v/>
      </c>
    </row>
    <row r="121" spans="1:14" x14ac:dyDescent="0.35">
      <c r="A121" t="str">
        <f>IF(A10="","","    "&amp;A10&amp;" - Release from Mead")</f>
        <v/>
      </c>
      <c r="C121" s="67" t="str">
        <f ca="1">IF(OR(C$27="",$A121=""),"",OFFSET(C$63,8*(ROW(B121)-ROW(B$116)),0))</f>
        <v/>
      </c>
      <c r="D121" s="67" t="str">
        <f ca="1">IF(OR(D$27="",$A121=""),"",OFFSET(D$63,8*(ROW(C121)-ROW(C$116)),0))</f>
        <v/>
      </c>
      <c r="E121" s="67" t="str">
        <f ca="1">IF(OR(E$27="",$A121=""),"",OFFSET(E$63,8*(ROW(D121)-ROW(D$116)),0))</f>
        <v/>
      </c>
      <c r="F121" s="67" t="str">
        <f ca="1">IF(OR(F$27="",$A121=""),"",OFFSET(F$63,8*(ROW(E121)-ROW(E$116)),0))</f>
        <v/>
      </c>
      <c r="G121" s="67" t="str">
        <f ca="1">IF(OR(G$27="",$A121=""),"",OFFSET(G$63,8*(ROW(F121)-ROW(F$116)),0))</f>
        <v/>
      </c>
      <c r="H121" s="67" t="str">
        <f ca="1">IF(OR(H$27="",$A121=""),"",OFFSET(H$63,8*(ROW(G121)-ROW(G$116)),0))</f>
        <v/>
      </c>
      <c r="I121" s="67" t="str">
        <f ca="1">IF(OR(I$27="",$A121=""),"",OFFSET(I$63,8*(ROW(H121)-ROW(H$116)),0))</f>
        <v/>
      </c>
      <c r="J121" s="67" t="str">
        <f ca="1">IF(OR(J$27="",$A121=""),"",OFFSET(J$63,8*(ROW(I121)-ROW(I$116)),0))</f>
        <v/>
      </c>
      <c r="K121" s="67" t="str">
        <f ca="1">IF(OR(K$27="",$A121=""),"",OFFSET(K$63,8*(ROW(J121)-ROW(J$116)),0))</f>
        <v/>
      </c>
      <c r="L121" s="67" t="str">
        <f ca="1">IF(OR(L$27="",$A121=""),"",OFFSET(L$63,8*(ROW(K121)-ROW(K$116)),0))</f>
        <v/>
      </c>
    </row>
    <row r="122" spans="1:14" x14ac:dyDescent="0.35">
      <c r="A122" s="1" t="s">
        <v>138</v>
      </c>
      <c r="B122" s="1"/>
      <c r="D122" s="2"/>
      <c r="E122" s="2"/>
      <c r="F122" s="2"/>
      <c r="G122" s="2"/>
      <c r="H122" s="2"/>
      <c r="I122" s="2"/>
      <c r="J122" s="2"/>
      <c r="K122" s="2"/>
      <c r="L122" s="2"/>
    </row>
    <row r="123" spans="1:14" x14ac:dyDescent="0.35">
      <c r="A123" t="str">
        <f>IF(A5="","","    "&amp;A5)</f>
        <v xml:space="preserve">    Upper Basin</v>
      </c>
      <c r="C123" s="67" t="str">
        <f ca="1">IF(OR(C$27="",$A123=""),"",OFFSET(C$64,8*(ROW(B123)-ROW(B$123)),0))</f>
        <v/>
      </c>
      <c r="D123" s="67" t="str">
        <f ca="1">IF(OR(D$27="",$A123=""),"",OFFSET(D$64,8*(ROW(C123)-ROW(C$123)),0))</f>
        <v/>
      </c>
      <c r="E123" s="67" t="str">
        <f ca="1">IF(OR(E$27="",$A123=""),"",OFFSET(E$64,8*(ROW(D123)-ROW(D$123)),0))</f>
        <v/>
      </c>
      <c r="F123" s="67" t="str">
        <f ca="1">IF(OR(F$27="",$A123=""),"",OFFSET(F$64,8*(ROW(E123)-ROW(E$123)),0))</f>
        <v/>
      </c>
      <c r="G123" s="67" t="str">
        <f ca="1">IF(OR(G$27="",$A123=""),"",OFFSET(G$64,8*(ROW(F123)-ROW(F$123)),0))</f>
        <v/>
      </c>
      <c r="H123" s="67" t="str">
        <f ca="1">IF(OR(H$27="",$A123=""),"",OFFSET(H$64,8*(ROW(G123)-ROW(G$123)),0))</f>
        <v/>
      </c>
      <c r="I123" s="67" t="str">
        <f ca="1">IF(OR(I$27="",$A123=""),"",OFFSET(I$64,8*(ROW(H123)-ROW(H$123)),0))</f>
        <v/>
      </c>
      <c r="J123" s="67" t="str">
        <f ca="1">IF(OR(J$27="",$A123=""),"",OFFSET(J$64,8*(ROW(I123)-ROW(I$123)),0))</f>
        <v/>
      </c>
      <c r="K123" s="67" t="str">
        <f ca="1">IF(OR(K$27="",$A123=""),"",OFFSET(K$64,8*(ROW(J123)-ROW(J$123)),0))</f>
        <v/>
      </c>
      <c r="L123" s="67" t="str">
        <f ca="1">IF(OR(L$27="",$A123=""),"",OFFSET(L$64,8*(ROW(K123)-ROW(K$123)),0))</f>
        <v/>
      </c>
    </row>
    <row r="124" spans="1:14" x14ac:dyDescent="0.35">
      <c r="A124" t="str">
        <f>IF(A6="","","    "&amp;A6)</f>
        <v xml:space="preserve">    Lower Basin</v>
      </c>
      <c r="C124" s="67" t="str">
        <f ca="1">IF(OR(C$27="",$A124=""),"",OFFSET(C$64,8*(ROW(B124)-ROW(B$123)),0))</f>
        <v/>
      </c>
      <c r="D124" s="67" t="str">
        <f ca="1">IF(OR(D$27="",$A124=""),"",OFFSET(D$64,8*(ROW(C124)-ROW(C$123)),0))</f>
        <v/>
      </c>
      <c r="E124" s="67" t="str">
        <f ca="1">IF(OR(E$27="",$A124=""),"",OFFSET(E$64,8*(ROW(D124)-ROW(D$123)),0))</f>
        <v/>
      </c>
      <c r="F124" s="67" t="str">
        <f ca="1">IF(OR(F$27="",$A124=""),"",OFFSET(F$64,8*(ROW(E124)-ROW(E$123)),0))</f>
        <v/>
      </c>
      <c r="G124" s="67" t="str">
        <f ca="1">IF(OR(G$27="",$A124=""),"",OFFSET(G$64,8*(ROW(F124)-ROW(F$123)),0))</f>
        <v/>
      </c>
      <c r="H124" s="67" t="str">
        <f ca="1">IF(OR(H$27="",$A124=""),"",OFFSET(H$64,8*(ROW(G124)-ROW(G$123)),0))</f>
        <v/>
      </c>
      <c r="I124" s="67" t="str">
        <f ca="1">IF(OR(I$27="",$A124=""),"",OFFSET(I$64,8*(ROW(H124)-ROW(H$123)),0))</f>
        <v/>
      </c>
      <c r="J124" s="67" t="str">
        <f ca="1">IF(OR(J$27="",$A124=""),"",OFFSET(J$64,8*(ROW(I124)-ROW(I$123)),0))</f>
        <v/>
      </c>
      <c r="K124" s="67" t="str">
        <f ca="1">IF(OR(K$27="",$A124=""),"",OFFSET(K$64,8*(ROW(J124)-ROW(J$123)),0))</f>
        <v/>
      </c>
      <c r="L124" s="67" t="str">
        <f ca="1">IF(OR(L$27="",$A124=""),"",OFFSET(L$64,8*(ROW(K124)-ROW(K$123)),0))</f>
        <v/>
      </c>
    </row>
    <row r="125" spans="1:14" x14ac:dyDescent="0.35">
      <c r="A125" t="str">
        <f>IF(A7="","","    "&amp;A7)</f>
        <v xml:space="preserve">    Mexico</v>
      </c>
      <c r="C125" s="67" t="str">
        <f ca="1">IF(OR(C$27="",$A125=""),"",OFFSET(C$64,8*(ROW(B125)-ROW(B$123)),0))</f>
        <v/>
      </c>
      <c r="D125" s="67" t="str">
        <f ca="1">IF(OR(D$27="",$A125=""),"",OFFSET(D$64,8*(ROW(C125)-ROW(C$123)),0))</f>
        <v/>
      </c>
      <c r="E125" s="67" t="str">
        <f ca="1">IF(OR(E$27="",$A125=""),"",OFFSET(E$64,8*(ROW(D125)-ROW(D$123)),0))</f>
        <v/>
      </c>
      <c r="F125" s="67" t="str">
        <f ca="1">IF(OR(F$27="",$A125=""),"",OFFSET(F$64,8*(ROW(E125)-ROW(E$123)),0))</f>
        <v/>
      </c>
      <c r="G125" s="67" t="str">
        <f ca="1">IF(OR(G$27="",$A125=""),"",OFFSET(G$64,8*(ROW(F125)-ROW(F$123)),0))</f>
        <v/>
      </c>
      <c r="H125" s="67" t="str">
        <f ca="1">IF(OR(H$27="",$A125=""),"",OFFSET(H$64,8*(ROW(G125)-ROW(G$123)),0))</f>
        <v/>
      </c>
      <c r="I125" s="67" t="str">
        <f ca="1">IF(OR(I$27="",$A125=""),"",OFFSET(I$64,8*(ROW(H125)-ROW(H$123)),0))</f>
        <v/>
      </c>
      <c r="J125" s="67" t="str">
        <f ca="1">IF(OR(J$27="",$A125=""),"",OFFSET(J$64,8*(ROW(I125)-ROW(I$123)),0))</f>
        <v/>
      </c>
      <c r="K125" s="67" t="str">
        <f ca="1">IF(OR(K$27="",$A125=""),"",OFFSET(K$64,8*(ROW(J125)-ROW(J$123)),0))</f>
        <v/>
      </c>
      <c r="L125" s="67" t="str">
        <f ca="1">IF(OR(L$27="",$A125=""),"",OFFSET(L$64,8*(ROW(K125)-ROW(K$123)),0))</f>
        <v/>
      </c>
    </row>
    <row r="126" spans="1:14" x14ac:dyDescent="0.35">
      <c r="A126" t="str">
        <f>IF(A8="","","    "&amp;A8)</f>
        <v xml:space="preserve">    Shared, Reserve</v>
      </c>
      <c r="C126" s="67" t="str">
        <f ca="1">IF(OR(C$27="",$A126=""),"",OFFSET(C$64,8*(ROW(B126)-ROW(B$123)),0))</f>
        <v/>
      </c>
      <c r="D126" s="67" t="str">
        <f ca="1">IF(OR(D$27="",$A126=""),"",OFFSET(D$64,8*(ROW(C126)-ROW(C$123)),0))</f>
        <v/>
      </c>
      <c r="E126" s="67" t="str">
        <f ca="1">IF(OR(E$27="",$A126=""),"",OFFSET(E$64,8*(ROW(D126)-ROW(D$123)),0))</f>
        <v/>
      </c>
      <c r="F126" s="67" t="str">
        <f ca="1">IF(OR(F$27="",$A126=""),"",OFFSET(F$64,8*(ROW(E126)-ROW(E$123)),0))</f>
        <v/>
      </c>
      <c r="G126" s="67" t="str">
        <f ca="1">IF(OR(G$27="",$A126=""),"",OFFSET(G$64,8*(ROW(F126)-ROW(F$123)),0))</f>
        <v/>
      </c>
      <c r="H126" s="67" t="str">
        <f ca="1">IF(OR(H$27="",$A126=""),"",OFFSET(H$64,8*(ROW(G126)-ROW(G$123)),0))</f>
        <v/>
      </c>
      <c r="I126" s="67" t="str">
        <f ca="1">IF(OR(I$27="",$A126=""),"",OFFSET(I$64,8*(ROW(H126)-ROW(H$123)),0))</f>
        <v/>
      </c>
      <c r="J126" s="67" t="str">
        <f ca="1">IF(OR(J$27="",$A126=""),"",OFFSET(J$64,8*(ROW(I126)-ROW(I$123)),0))</f>
        <v/>
      </c>
      <c r="K126" s="67" t="str">
        <f ca="1">IF(OR(K$27="",$A126=""),"",OFFSET(K$64,8*(ROW(J126)-ROW(J$123)),0))</f>
        <v/>
      </c>
      <c r="L126" s="67" t="str">
        <f ca="1">IF(OR(L$27="",$A126=""),"",OFFSET(L$64,8*(ROW(K126)-ROW(K$123)),0))</f>
        <v/>
      </c>
    </row>
    <row r="127" spans="1:14" x14ac:dyDescent="0.35">
      <c r="A127" t="str">
        <f>IF(A9="","","    "&amp;A9)</f>
        <v/>
      </c>
      <c r="C127" s="67" t="str">
        <f ca="1">IF(OR(C$27="",$A127=""),"",OFFSET(C$64,8*(ROW(B127)-ROW(B$123)),0))</f>
        <v/>
      </c>
      <c r="D127" s="67" t="str">
        <f ca="1">IF(OR(D$27="",$A127=""),"",OFFSET(D$64,8*(ROW(C127)-ROW(C$123)),0))</f>
        <v/>
      </c>
      <c r="E127" s="67" t="str">
        <f ca="1">IF(OR(E$27="",$A127=""),"",OFFSET(E$64,8*(ROW(D127)-ROW(D$123)),0))</f>
        <v/>
      </c>
      <c r="F127" s="67" t="str">
        <f ca="1">IF(OR(F$27="",$A127=""),"",OFFSET(F$64,8*(ROW(E127)-ROW(E$123)),0))</f>
        <v/>
      </c>
      <c r="G127" s="67" t="str">
        <f ca="1">IF(OR(G$27="",$A127=""),"",OFFSET(G$64,8*(ROW(F127)-ROW(F$123)),0))</f>
        <v/>
      </c>
      <c r="H127" s="67" t="str">
        <f ca="1">IF(OR(H$27="",$A127=""),"",OFFSET(H$64,8*(ROW(G127)-ROW(G$123)),0))</f>
        <v/>
      </c>
      <c r="I127" s="67" t="str">
        <f ca="1">IF(OR(I$27="",$A127=""),"",OFFSET(I$64,8*(ROW(H127)-ROW(H$123)),0))</f>
        <v/>
      </c>
      <c r="J127" s="67" t="str">
        <f ca="1">IF(OR(J$27="",$A127=""),"",OFFSET(J$64,8*(ROW(I127)-ROW(I$123)),0))</f>
        <v/>
      </c>
      <c r="K127" s="67" t="str">
        <f ca="1">IF(OR(K$27="",$A127=""),"",OFFSET(K$64,8*(ROW(J127)-ROW(J$123)),0))</f>
        <v/>
      </c>
      <c r="L127" s="67" t="str">
        <f ca="1">IF(OR(L$27="",$A127=""),"",OFFSET(L$64,8*(ROW(K127)-ROW(K$123)),0))</f>
        <v/>
      </c>
    </row>
    <row r="128" spans="1:14" x14ac:dyDescent="0.35">
      <c r="A128" t="str">
        <f>IF(A10="","","    "&amp;A10)</f>
        <v/>
      </c>
      <c r="C128" s="67" t="str">
        <f ca="1">IF(OR(C$27="",$A128=""),"",OFFSET(C$64,8*(ROW(B128)-ROW(B$123)),0))</f>
        <v/>
      </c>
      <c r="D128" s="67" t="str">
        <f ca="1">IF(OR(D$27="",$A128=""),"",OFFSET(D$64,8*(ROW(C128)-ROW(C$123)),0))</f>
        <v/>
      </c>
      <c r="E128" s="67" t="str">
        <f ca="1">IF(OR(E$27="",$A128=""),"",OFFSET(E$64,8*(ROW(D128)-ROW(D$123)),0))</f>
        <v/>
      </c>
      <c r="F128" s="67" t="str">
        <f ca="1">IF(OR(F$27="",$A128=""),"",OFFSET(F$64,8*(ROW(E128)-ROW(E$123)),0))</f>
        <v/>
      </c>
      <c r="G128" s="67" t="str">
        <f ca="1">IF(OR(G$27="",$A128=""),"",OFFSET(G$64,8*(ROW(F128)-ROW(F$123)),0))</f>
        <v/>
      </c>
      <c r="H128" s="67" t="str">
        <f ca="1">IF(OR(H$27="",$A128=""),"",OFFSET(H$64,8*(ROW(G128)-ROW(G$123)),0))</f>
        <v/>
      </c>
      <c r="I128" s="67" t="str">
        <f ca="1">IF(OR(I$27="",$A128=""),"",OFFSET(I$64,8*(ROW(H128)-ROW(H$123)),0))</f>
        <v/>
      </c>
      <c r="J128" s="67" t="str">
        <f ca="1">IF(OR(J$27="",$A128=""),"",OFFSET(J$64,8*(ROW(I128)-ROW(I$123)),0))</f>
        <v/>
      </c>
      <c r="K128" s="67" t="str">
        <f ca="1">IF(OR(K$27="",$A128=""),"",OFFSET(K$64,8*(ROW(J128)-ROW(J$123)),0))</f>
        <v/>
      </c>
      <c r="L128" s="67" t="str">
        <f ca="1">IF(OR(L$27="",$A128=""),"",OFFSET(L$64,8*(ROW(K128)-ROW(K$123)),0))</f>
        <v/>
      </c>
    </row>
    <row r="129" spans="1:14" x14ac:dyDescent="0.35">
      <c r="A129" s="1" t="s">
        <v>122</v>
      </c>
      <c r="B129" s="1"/>
      <c r="C129" s="14" t="str">
        <f>IF(C$27&lt;&gt;"",SUM(C123:C128),"")</f>
        <v/>
      </c>
      <c r="D129" s="14" t="str">
        <f t="shared" ref="D129:L129" si="38">IF(D$27&lt;&gt;"",SUM(D123:D128),"")</f>
        <v/>
      </c>
      <c r="E129" s="14" t="str">
        <f t="shared" si="38"/>
        <v/>
      </c>
      <c r="F129" s="14" t="str">
        <f t="shared" si="38"/>
        <v/>
      </c>
      <c r="G129" s="14" t="str">
        <f t="shared" si="38"/>
        <v/>
      </c>
      <c r="H129" s="14" t="str">
        <f t="shared" si="38"/>
        <v/>
      </c>
      <c r="I129" s="14" t="str">
        <f t="shared" si="38"/>
        <v/>
      </c>
      <c r="J129" s="14" t="str">
        <f t="shared" si="38"/>
        <v/>
      </c>
      <c r="K129" s="14" t="str">
        <f t="shared" si="38"/>
        <v/>
      </c>
      <c r="L129" s="14" t="str">
        <f t="shared" si="38"/>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39">IF(D27="","",D$130*D$129)</f>
        <v/>
      </c>
      <c r="E131" s="14" t="str">
        <f t="shared" si="39"/>
        <v/>
      </c>
      <c r="F131" s="14" t="str">
        <f t="shared" si="39"/>
        <v/>
      </c>
      <c r="G131" s="14" t="str">
        <f t="shared" si="39"/>
        <v/>
      </c>
      <c r="H131" s="14" t="str">
        <f t="shared" si="39"/>
        <v/>
      </c>
      <c r="I131" s="14" t="str">
        <f t="shared" si="39"/>
        <v/>
      </c>
      <c r="J131" s="14" t="str">
        <f t="shared" si="39"/>
        <v/>
      </c>
      <c r="K131" s="14" t="str">
        <f t="shared" si="39"/>
        <v/>
      </c>
      <c r="L131" s="14" t="str">
        <f t="shared" si="39"/>
        <v/>
      </c>
    </row>
    <row r="132" spans="1:14" x14ac:dyDescent="0.35">
      <c r="A132" s="1" t="s">
        <v>193</v>
      </c>
      <c r="B132" s="1"/>
      <c r="C132" s="14" t="str">
        <f>IF(C28="","",(1-C$130)*C$129)</f>
        <v/>
      </c>
      <c r="D132" s="14" t="str">
        <f t="shared" ref="D132:L132" si="40">IF(D28="","",(1-D$130)*D$129)</f>
        <v/>
      </c>
      <c r="E132" s="14" t="str">
        <f t="shared" si="40"/>
        <v/>
      </c>
      <c r="F132" s="14" t="str">
        <f t="shared" si="40"/>
        <v/>
      </c>
      <c r="G132" s="14" t="str">
        <f t="shared" si="40"/>
        <v/>
      </c>
      <c r="H132" s="14" t="str">
        <f t="shared" si="40"/>
        <v/>
      </c>
      <c r="I132" s="14" t="str">
        <f t="shared" si="40"/>
        <v/>
      </c>
      <c r="J132" s="14" t="str">
        <f t="shared" si="40"/>
        <v/>
      </c>
      <c r="K132" s="14" t="str">
        <f t="shared" si="40"/>
        <v/>
      </c>
      <c r="L132" s="14" t="str">
        <f t="shared" si="40"/>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H63">
    <cfRule type="cellIs" dxfId="61" priority="72" operator="greaterThan">
      <formula>$H$62</formula>
    </cfRule>
  </conditionalFormatting>
  <conditionalFormatting sqref="I63">
    <cfRule type="cellIs" dxfId="60" priority="71" operator="greaterThan">
      <formula>$I$62</formula>
    </cfRule>
  </conditionalFormatting>
  <conditionalFormatting sqref="J63">
    <cfRule type="cellIs" dxfId="59" priority="70" operator="greaterThan">
      <formula>$J$62</formula>
    </cfRule>
  </conditionalFormatting>
  <conditionalFormatting sqref="K63">
    <cfRule type="cellIs" dxfId="58" priority="69" operator="greaterThan">
      <formula>$K$62</formula>
    </cfRule>
  </conditionalFormatting>
  <conditionalFormatting sqref="L63">
    <cfRule type="cellIs" dxfId="57" priority="68" operator="greaterThan">
      <formula>$L$62</formula>
    </cfRule>
  </conditionalFormatting>
  <conditionalFormatting sqref="H71">
    <cfRule type="cellIs" dxfId="56" priority="63" operator="greaterThan">
      <formula>$H$70</formula>
    </cfRule>
  </conditionalFormatting>
  <conditionalFormatting sqref="I71">
    <cfRule type="cellIs" dxfId="55" priority="62" operator="greaterThan">
      <formula>$I$70</formula>
    </cfRule>
  </conditionalFormatting>
  <conditionalFormatting sqref="J71">
    <cfRule type="cellIs" dxfId="54" priority="61" operator="greaterThan">
      <formula>$J$70</formula>
    </cfRule>
  </conditionalFormatting>
  <conditionalFormatting sqref="K71">
    <cfRule type="cellIs" dxfId="53" priority="60" operator="greaterThan">
      <formula>$K$70</formula>
    </cfRule>
  </conditionalFormatting>
  <conditionalFormatting sqref="L71">
    <cfRule type="cellIs" dxfId="52" priority="59" operator="greaterThan">
      <formula>$L$70</formula>
    </cfRule>
  </conditionalFormatting>
  <conditionalFormatting sqref="H79">
    <cfRule type="cellIs" dxfId="51" priority="58" operator="greaterThan">
      <formula>$H$78</formula>
    </cfRule>
  </conditionalFormatting>
  <conditionalFormatting sqref="I79">
    <cfRule type="cellIs" dxfId="50" priority="57" operator="greaterThan">
      <formula>$I$78</formula>
    </cfRule>
  </conditionalFormatting>
  <conditionalFormatting sqref="J79">
    <cfRule type="cellIs" dxfId="49" priority="56" operator="greaterThan">
      <formula>$J$78</formula>
    </cfRule>
  </conditionalFormatting>
  <conditionalFormatting sqref="K79">
    <cfRule type="cellIs" dxfId="48" priority="55" operator="greaterThan">
      <formula>$K$78</formula>
    </cfRule>
  </conditionalFormatting>
  <conditionalFormatting sqref="L79">
    <cfRule type="cellIs" dxfId="47" priority="54" operator="greaterThan">
      <formula>$L$78</formula>
    </cfRule>
  </conditionalFormatting>
  <conditionalFormatting sqref="C87:L87">
    <cfRule type="cellIs" dxfId="46" priority="53" operator="greaterThan">
      <formula>$C$86</formula>
    </cfRule>
  </conditionalFormatting>
  <conditionalFormatting sqref="C95">
    <cfRule type="cellIs" dxfId="45" priority="52" operator="greaterThan">
      <formula>$C$94</formula>
    </cfRule>
  </conditionalFormatting>
  <conditionalFormatting sqref="D95">
    <cfRule type="cellIs" dxfId="44" priority="51" operator="greaterThan">
      <formula>$D$94</formula>
    </cfRule>
  </conditionalFormatting>
  <conditionalFormatting sqref="E95">
    <cfRule type="cellIs" dxfId="43" priority="50" operator="greaterThan">
      <formula>$E$94</formula>
    </cfRule>
  </conditionalFormatting>
  <conditionalFormatting sqref="F95">
    <cfRule type="cellIs" dxfId="42" priority="49" operator="greaterThan">
      <formula>$F$94</formula>
    </cfRule>
  </conditionalFormatting>
  <conditionalFormatting sqref="G95">
    <cfRule type="cellIs" dxfId="41" priority="48" operator="greaterThan">
      <formula>$G$94</formula>
    </cfRule>
  </conditionalFormatting>
  <conditionalFormatting sqref="H95">
    <cfRule type="cellIs" dxfId="40" priority="47" operator="greaterThan">
      <formula>$H$94</formula>
    </cfRule>
  </conditionalFormatting>
  <conditionalFormatting sqref="I95">
    <cfRule type="cellIs" dxfId="39" priority="46" operator="greaterThan">
      <formula>$I$94</formula>
    </cfRule>
  </conditionalFormatting>
  <conditionalFormatting sqref="J95">
    <cfRule type="cellIs" dxfId="38" priority="45" operator="greaterThan">
      <formula>$J$94</formula>
    </cfRule>
  </conditionalFormatting>
  <conditionalFormatting sqref="K95">
    <cfRule type="cellIs" dxfId="37" priority="44" operator="greaterThan">
      <formula>$K$94</formula>
    </cfRule>
  </conditionalFormatting>
  <conditionalFormatting sqref="L95">
    <cfRule type="cellIs" dxfId="36" priority="43" operator="greaterThan">
      <formula>$L$94</formula>
    </cfRule>
  </conditionalFormatting>
  <conditionalFormatting sqref="C103">
    <cfRule type="cellIs" dxfId="35" priority="42" operator="greaterThan">
      <formula>$C$102</formula>
    </cfRule>
  </conditionalFormatting>
  <conditionalFormatting sqref="D103">
    <cfRule type="cellIs" dxfId="34" priority="41" operator="greaterThan">
      <formula>$D$102</formula>
    </cfRule>
  </conditionalFormatting>
  <conditionalFormatting sqref="E103">
    <cfRule type="cellIs" dxfId="33" priority="40" operator="greaterThan">
      <formula>$E$102</formula>
    </cfRule>
  </conditionalFormatting>
  <conditionalFormatting sqref="F103">
    <cfRule type="cellIs" dxfId="32" priority="39" operator="greaterThan">
      <formula>$F$102</formula>
    </cfRule>
  </conditionalFormatting>
  <conditionalFormatting sqref="G103">
    <cfRule type="cellIs" dxfId="31" priority="38" operator="greaterThan">
      <formula>$G$102</formula>
    </cfRule>
  </conditionalFormatting>
  <conditionalFormatting sqref="H103">
    <cfRule type="cellIs" dxfId="30" priority="37" operator="greaterThan">
      <formula>$H$102</formula>
    </cfRule>
  </conditionalFormatting>
  <conditionalFormatting sqref="I103">
    <cfRule type="cellIs" dxfId="29" priority="36" operator="greaterThan">
      <formula>$I$102</formula>
    </cfRule>
  </conditionalFormatting>
  <conditionalFormatting sqref="J103">
    <cfRule type="cellIs" dxfId="28" priority="35" operator="greaterThan">
      <formula>$J$102</formula>
    </cfRule>
  </conditionalFormatting>
  <conditionalFormatting sqref="K103">
    <cfRule type="cellIs" dxfId="27" priority="34" operator="greaterThan">
      <formula>$K$102</formula>
    </cfRule>
  </conditionalFormatting>
  <conditionalFormatting sqref="L103">
    <cfRule type="cellIs" dxfId="26" priority="33" operator="greaterThan">
      <formula>$L$102</formula>
    </cfRule>
  </conditionalFormatting>
  <conditionalFormatting sqref="D63">
    <cfRule type="cellIs" dxfId="25" priority="20" operator="greaterThan">
      <formula>$D$62</formula>
    </cfRule>
  </conditionalFormatting>
  <conditionalFormatting sqref="C63">
    <cfRule type="cellIs" dxfId="24" priority="18" operator="greaterThan">
      <formula>$C$62</formula>
    </cfRule>
  </conditionalFormatting>
  <conditionalFormatting sqref="E63">
    <cfRule type="cellIs" dxfId="23" priority="16" operator="greaterThan">
      <formula>$E$62</formula>
    </cfRule>
  </conditionalFormatting>
  <conditionalFormatting sqref="F63">
    <cfRule type="cellIs" dxfId="22" priority="15" operator="greaterThan">
      <formula>$F$62</formula>
    </cfRule>
  </conditionalFormatting>
  <conditionalFormatting sqref="G63">
    <cfRule type="cellIs" dxfId="21" priority="14" operator="greaterThan">
      <formula>$G$62</formula>
    </cfRule>
  </conditionalFormatting>
  <conditionalFormatting sqref="C71">
    <cfRule type="cellIs" dxfId="20" priority="10" operator="greaterThan">
      <formula>$C$70</formula>
    </cfRule>
  </conditionalFormatting>
  <conditionalFormatting sqref="D71">
    <cfRule type="cellIs" dxfId="19" priority="9" operator="greaterThan">
      <formula>$D$70</formula>
    </cfRule>
  </conditionalFormatting>
  <conditionalFormatting sqref="E71">
    <cfRule type="cellIs" dxfId="18" priority="8" operator="greaterThan">
      <formula>$E$70</formula>
    </cfRule>
  </conditionalFormatting>
  <conditionalFormatting sqref="F71">
    <cfRule type="cellIs" dxfId="17" priority="7" operator="greaterThan">
      <formula>$F$70</formula>
    </cfRule>
  </conditionalFormatting>
  <conditionalFormatting sqref="G71">
    <cfRule type="cellIs" dxfId="16" priority="6" operator="greaterThan">
      <formula>$G$70</formula>
    </cfRule>
  </conditionalFormatting>
  <conditionalFormatting sqref="C79">
    <cfRule type="cellIs" dxfId="15" priority="5" operator="greaterThan">
      <formula>$C$78</formula>
    </cfRule>
  </conditionalFormatting>
  <conditionalFormatting sqref="D79">
    <cfRule type="cellIs" dxfId="14" priority="4" operator="greaterThan">
      <formula>$D$78</formula>
    </cfRule>
  </conditionalFormatting>
  <conditionalFormatting sqref="E79">
    <cfRule type="cellIs" dxfId="13" priority="3" operator="greaterThan">
      <formula>$E$78</formula>
    </cfRule>
  </conditionalFormatting>
  <conditionalFormatting sqref="F79">
    <cfRule type="cellIs" dxfId="12" priority="2" operator="greaterThan">
      <formula>$F$78</formula>
    </cfRule>
  </conditionalFormatting>
  <conditionalFormatting sqref="G79">
    <cfRule type="cellIs" dxfId="11"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EE4D4A1A-60C7-4FF7-B7DF-37BBC15AED5C}">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66" id="{7518B932-69C1-4F8E-9660-D62C4F4EB401}">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65" id="{0444E849-3429-409C-A534-5FF79B42E6CC}">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64" id="{AF626DB0-5E19-47EF-9856-A135B2A97564}">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A5930C02-6A4C-45C9-AE1D-A91912D19FE9}">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4D887676-23DA-4C13-9F3C-B35EFEF18173}">
            <xm:f>PowellReleaseTemperature!$B$10</xm:f>
            <x14:dxf>
              <font>
                <color auto="1"/>
              </font>
              <fill>
                <patternFill>
                  <bgColor theme="4"/>
                </patternFill>
              </fill>
            </x14:dxf>
          </x14:cfRule>
          <x14:cfRule type="cellIs" priority="29" operator="equal" id="{B3CDF08C-24E8-465E-9F0B-6161FF9C2C5C}">
            <xm:f>PowellReleaseTemperature!$B$9</xm:f>
            <x14:dxf>
              <font>
                <color theme="4" tint="-0.24994659260841701"/>
              </font>
              <fill>
                <patternFill>
                  <bgColor theme="8" tint="0.59996337778862885"/>
                </patternFill>
              </fill>
            </x14:dxf>
          </x14:cfRule>
          <x14:cfRule type="cellIs" priority="30" operator="equal" id="{8AD33B0D-B69E-4C40-BC5B-653668A4A9F1}">
            <xm:f>PowellReleaseTemperature!$B$8</xm:f>
            <x14:dxf>
              <font>
                <color rgb="FF9C0006"/>
              </font>
              <fill>
                <patternFill>
                  <bgColor rgb="FFFFC7CE"/>
                </patternFill>
              </fill>
            </x14:dxf>
          </x14:cfRule>
          <x14:cfRule type="cellIs" priority="31" operator="equal" id="{752B16D0-329B-4824-8BDB-763584664667}">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C0F98F8-0F33-4BD0-BA8C-387C1E80646B}">
            <xm:f>PowellReleaseTemperature!$E$5</xm:f>
            <x14:dxf>
              <font>
                <color auto="1"/>
              </font>
              <fill>
                <patternFill>
                  <bgColor rgb="FFFF0000"/>
                </patternFill>
              </fill>
            </x14:dxf>
          </x14:cfRule>
          <x14:cfRule type="cellIs" priority="25" operator="equal" id="{A6616081-1F34-4791-961C-FDBD1268C129}">
            <xm:f>PowellReleaseTemperature!$E$8</xm:f>
            <x14:dxf>
              <font>
                <color rgb="FF9C0006"/>
              </font>
              <fill>
                <patternFill>
                  <bgColor rgb="FFFFC7CE"/>
                </patternFill>
              </fill>
            </x14:dxf>
          </x14:cfRule>
          <x14:cfRule type="cellIs" priority="26" operator="equal" id="{77EB1E67-BED2-4CF1-900B-6E4FB00637F4}">
            <xm:f>PowellReleaseTemperature!$E$9</xm:f>
            <x14:dxf>
              <font>
                <color theme="4" tint="-0.24994659260841701"/>
              </font>
              <fill>
                <patternFill>
                  <bgColor theme="8" tint="0.59996337778862885"/>
                </patternFill>
              </fill>
            </x14:dxf>
          </x14:cfRule>
          <x14:cfRule type="cellIs" priority="27" operator="equal" id="{BED66CFA-891C-4B6C-A37A-A79F8DB0F44A}">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1874DD31-6F9A-4D92-AB25-2FE464153C00}">
            <xm:f>PowellReleaseTemperature!$F$10</xm:f>
            <x14:dxf>
              <font>
                <color auto="1"/>
              </font>
              <fill>
                <patternFill>
                  <bgColor theme="4"/>
                </patternFill>
              </fill>
            </x14:dxf>
          </x14:cfRule>
          <x14:cfRule type="cellIs" priority="22" operator="equal" id="{46061748-3B6F-48D8-BEA4-B86ACC6567D9}">
            <xm:f>PowellReleaseTemperature!$F$9</xm:f>
            <x14:dxf>
              <font>
                <color theme="4" tint="-0.24994659260841701"/>
              </font>
              <fill>
                <patternFill>
                  <bgColor theme="8" tint="0.59996337778862885"/>
                </patternFill>
              </fill>
            </x14:dxf>
          </x14:cfRule>
          <x14:cfRule type="cellIs" priority="23" operator="equal" id="{85B4157B-E6C3-4340-9130-20A0F0C09CBA}">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B272CE0F-2B1E-479F-8AB2-2D9278E77612}">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2CAF530A-0772-430C-8718-CDA4EDEDE2CD}">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AE995116-4B80-438C-A74D-17EC1EBFD410}">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568FEE9A-D836-40E5-84D8-964E371606C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D3563717-8579-4126-ACD8-9481FE8AA3FE}">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8" zoomScale="150" zoomScaleNormal="150" workbookViewId="0">
      <selection activeCell="C130" sqref="C130:D13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c r="D5" s="178"/>
      <c r="E5" s="178"/>
      <c r="F5" s="178"/>
      <c r="G5" s="178"/>
      <c r="M5" t="s">
        <v>308</v>
      </c>
    </row>
    <row r="6" spans="1:13" x14ac:dyDescent="0.35">
      <c r="A6" s="129" t="s">
        <v>40</v>
      </c>
      <c r="B6" s="129"/>
      <c r="C6" s="177"/>
      <c r="D6" s="178"/>
      <c r="E6" s="178"/>
      <c r="F6" s="178"/>
      <c r="G6" s="178"/>
      <c r="M6" t="s">
        <v>313</v>
      </c>
    </row>
    <row r="7" spans="1:13" x14ac:dyDescent="0.35">
      <c r="A7" s="129" t="s">
        <v>41</v>
      </c>
      <c r="B7" s="129"/>
      <c r="C7" s="177"/>
      <c r="D7" s="178"/>
      <c r="E7" s="178"/>
      <c r="F7" s="178"/>
      <c r="G7" s="178"/>
      <c r="M7" t="s">
        <v>314</v>
      </c>
    </row>
    <row r="8" spans="1:13" x14ac:dyDescent="0.35">
      <c r="A8" s="113" t="s">
        <v>156</v>
      </c>
      <c r="B8" s="113"/>
      <c r="C8" s="172"/>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89">
        <v>5.73</v>
      </c>
      <c r="C20" s="189">
        <v>6</v>
      </c>
      <c r="D20" s="23" t="s">
        <v>111</v>
      </c>
    </row>
    <row r="21" spans="1:14" x14ac:dyDescent="0.35">
      <c r="A21" t="s">
        <v>140</v>
      </c>
      <c r="B21" s="189">
        <v>11</v>
      </c>
      <c r="C21" s="189">
        <v>10.1</v>
      </c>
      <c r="D21" s="11" t="s">
        <v>34</v>
      </c>
    </row>
    <row r="22" spans="1:14" x14ac:dyDescent="0.35">
      <c r="A22" t="s">
        <v>188</v>
      </c>
      <c r="B22" s="190">
        <v>3525</v>
      </c>
      <c r="C22" s="190">
        <v>1020</v>
      </c>
      <c r="D22" s="11" t="s">
        <v>352</v>
      </c>
    </row>
    <row r="23" spans="1:14" x14ac:dyDescent="0.35">
      <c r="A23" t="s">
        <v>174</v>
      </c>
      <c r="B23" s="189">
        <f>VLOOKUP(B22,'Powell-Elevation-Area'!$A$5:$B$689,2)/1000000</f>
        <v>5.9265762500000001</v>
      </c>
      <c r="C23" s="189">
        <f>VLOOKUP(C22,'Mead-Elevation-Area'!$A$5:$B$689,2)/1000000</f>
        <v>5.664593</v>
      </c>
      <c r="D23" s="11"/>
      <c r="E23" s="45"/>
    </row>
    <row r="24" spans="1:14" x14ac:dyDescent="0.35">
      <c r="A24" t="s">
        <v>351</v>
      </c>
      <c r="B24" s="189">
        <v>78.099999999999994</v>
      </c>
      <c r="C24"/>
      <c r="D24" s="29" t="s">
        <v>358</v>
      </c>
      <c r="E24"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354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IF(A5="","","    "&amp;A5&amp;" Balance")</f>
        <v xml:space="preserve">    Upper Basin Balance</v>
      </c>
      <c r="B32" s="111">
        <f>B21-B23</f>
        <v>5.0734237499999999</v>
      </c>
      <c r="C32" s="108" t="str">
        <f>IF(OR(C$27="",$A32=""),"",B32)</f>
        <v/>
      </c>
      <c r="D32" s="14" t="str">
        <f>IF(OR(D$27="",$A32=""),"",C123)</f>
        <v/>
      </c>
      <c r="E32" s="14" t="str">
        <f t="shared" ref="E32:L32" si="4">IF(OR(E$27="",$A32=""),"",D123)</f>
        <v/>
      </c>
      <c r="F32" s="14" t="str">
        <f t="shared" si="4"/>
        <v/>
      </c>
      <c r="G32" s="14" t="str">
        <f t="shared" si="4"/>
        <v/>
      </c>
      <c r="H32" s="14" t="str">
        <f t="shared" si="4"/>
        <v/>
      </c>
      <c r="I32" s="14" t="str">
        <f t="shared" si="4"/>
        <v/>
      </c>
      <c r="J32" s="14" t="str">
        <f t="shared" si="4"/>
        <v/>
      </c>
      <c r="K32" s="14" t="str">
        <f t="shared" si="4"/>
        <v/>
      </c>
      <c r="L32" s="14" t="str">
        <f t="shared" si="4"/>
        <v/>
      </c>
      <c r="N32" t="s">
        <v>176</v>
      </c>
    </row>
    <row r="33" spans="1:14" x14ac:dyDescent="0.35">
      <c r="A33" t="str">
        <f>IF(A6="","","    "&amp;A6&amp;" Balance")</f>
        <v xml:space="preserve">    Lower Basin Balance</v>
      </c>
      <c r="B33" s="111">
        <f>C21-C23-B34</f>
        <v>4.2614069999999993</v>
      </c>
      <c r="C33" s="108" t="str">
        <f t="shared" ref="C33:C37" si="5">IF(OR(C$27="",$A33=""),"",B33)</f>
        <v/>
      </c>
      <c r="D33" s="14" t="str">
        <f t="shared" ref="D33:L37" si="6">IF(OR(D$27="",$A33=""),"",C124)</f>
        <v/>
      </c>
      <c r="E33" s="14" t="str">
        <f t="shared" si="6"/>
        <v/>
      </c>
      <c r="F33" s="14" t="str">
        <f t="shared" si="6"/>
        <v/>
      </c>
      <c r="G33" s="14" t="str">
        <f t="shared" si="6"/>
        <v/>
      </c>
      <c r="H33" s="14" t="str">
        <f t="shared" si="6"/>
        <v/>
      </c>
      <c r="I33" s="14" t="str">
        <f t="shared" si="6"/>
        <v/>
      </c>
      <c r="J33" s="14" t="str">
        <f t="shared" si="6"/>
        <v/>
      </c>
      <c r="K33" s="14" t="str">
        <f t="shared" si="6"/>
        <v/>
      </c>
      <c r="L33" s="14" t="str">
        <f t="shared" si="6"/>
        <v/>
      </c>
      <c r="N33" t="s">
        <v>173</v>
      </c>
    </row>
    <row r="34" spans="1:14" x14ac:dyDescent="0.35">
      <c r="A34" t="str">
        <f>IF(A7="","","    "&amp;A7&amp;" Balance")</f>
        <v xml:space="preserve">    Mexico Balance</v>
      </c>
      <c r="B34" s="112">
        <v>0.17399999999999999</v>
      </c>
      <c r="C34" s="109" t="str">
        <f t="shared" si="5"/>
        <v/>
      </c>
      <c r="D34" s="52" t="str">
        <f t="shared" si="6"/>
        <v/>
      </c>
      <c r="E34" s="52" t="str">
        <f t="shared" si="6"/>
        <v/>
      </c>
      <c r="F34" s="52" t="str">
        <f t="shared" si="6"/>
        <v/>
      </c>
      <c r="G34" s="52" t="str">
        <f t="shared" si="6"/>
        <v/>
      </c>
      <c r="H34" s="14" t="str">
        <f t="shared" si="6"/>
        <v/>
      </c>
      <c r="I34" s="14" t="str">
        <f t="shared" si="6"/>
        <v/>
      </c>
      <c r="J34" s="14" t="str">
        <f t="shared" si="6"/>
        <v/>
      </c>
      <c r="K34" s="14" t="str">
        <f t="shared" si="6"/>
        <v/>
      </c>
      <c r="L34" s="14" t="str">
        <f t="shared" si="6"/>
        <v/>
      </c>
      <c r="N34" t="s">
        <v>172</v>
      </c>
    </row>
    <row r="35" spans="1:14" x14ac:dyDescent="0.35">
      <c r="A35" t="str">
        <f>IF(A8="","","    "&amp;A8&amp;" Balance")</f>
        <v xml:space="preserve">    Shared, Reserve Balance</v>
      </c>
      <c r="B35" s="111">
        <f>SUM(B23:C23)</f>
        <v>11.59116925</v>
      </c>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t="str">
        <f>IF(A9="","","    "&amp;A9&amp;" Balance")</f>
        <v/>
      </c>
      <c r="B36" s="111"/>
      <c r="C36" s="108" t="str">
        <f t="shared" si="5"/>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c r="N36" t="s">
        <v>175</v>
      </c>
    </row>
    <row r="37" spans="1:14" x14ac:dyDescent="0.35">
      <c r="A37" t="str">
        <f>IF(A10="","","    "&amp;A10&amp;" Balance")</f>
        <v/>
      </c>
      <c r="B37" s="113"/>
      <c r="C37" s="108" t="str">
        <f t="shared" si="5"/>
        <v/>
      </c>
      <c r="D37" s="14" t="str">
        <f t="shared" si="6"/>
        <v/>
      </c>
      <c r="E37" s="14" t="str">
        <f t="shared" si="6"/>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s="1" t="s">
        <v>195</v>
      </c>
      <c r="C38"/>
    </row>
    <row r="39" spans="1:14" x14ac:dyDescent="0.35">
      <c r="A39" t="s">
        <v>112</v>
      </c>
      <c r="C39" s="14" t="str">
        <f>IF(C$27&lt;&gt;"",B21,"")</f>
        <v/>
      </c>
      <c r="D39" s="14" t="str">
        <f>IF(D$27&lt;&gt;"",C131,"")</f>
        <v/>
      </c>
      <c r="E39" s="14" t="str">
        <f t="shared" ref="E39:G40" si="7">IF(E$27&lt;&gt;"",D131,"")</f>
        <v/>
      </c>
      <c r="F39" s="14" t="str">
        <f t="shared" si="7"/>
        <v/>
      </c>
      <c r="G39" s="14" t="str">
        <f t="shared" si="7"/>
        <v/>
      </c>
      <c r="H39" s="14" t="str">
        <f t="shared" ref="H39:H40" si="8">IF(H$27&lt;&gt;"",G131,"")</f>
        <v/>
      </c>
      <c r="I39" s="14" t="str">
        <f t="shared" ref="I39:I40" si="9">IF(I$27&lt;&gt;"",H131,"")</f>
        <v/>
      </c>
      <c r="J39" s="14" t="str">
        <f t="shared" ref="J39:J40" si="10">IF(J$27&lt;&gt;"",I131,"")</f>
        <v/>
      </c>
      <c r="K39" s="14" t="str">
        <f t="shared" ref="K39:K40" si="11">IF(K$27&lt;&gt;"",J131,"")</f>
        <v/>
      </c>
      <c r="L39" s="14" t="str">
        <f t="shared" ref="L39:L40" si="12">IF(L$27&lt;&gt;"",K131,"")</f>
        <v/>
      </c>
    </row>
    <row r="40" spans="1:14" x14ac:dyDescent="0.35">
      <c r="A40" t="s">
        <v>113</v>
      </c>
      <c r="C40" s="14" t="str">
        <f>IF(C$27&lt;&gt;"",C21,"")</f>
        <v/>
      </c>
      <c r="D40" s="14" t="str">
        <f>IF(D$27&lt;&gt;"",C132,"")</f>
        <v/>
      </c>
      <c r="E40" s="14" t="str">
        <f t="shared" si="7"/>
        <v/>
      </c>
      <c r="F40" s="14" t="str">
        <f t="shared" si="7"/>
        <v/>
      </c>
      <c r="G40" s="14" t="str">
        <f t="shared" si="7"/>
        <v/>
      </c>
      <c r="H40" s="14" t="str">
        <f t="shared" si="8"/>
        <v/>
      </c>
      <c r="I40" s="14" t="str">
        <f t="shared" si="9"/>
        <v/>
      </c>
      <c r="J40" s="14" t="str">
        <f t="shared" si="10"/>
        <v/>
      </c>
      <c r="K40" s="14" t="str">
        <f t="shared" si="11"/>
        <v/>
      </c>
      <c r="L40" s="14" t="str">
        <f t="shared" si="12"/>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IF(A5="","","    "&amp;A5&amp;" Share")</f>
        <v xml:space="preserve">    Upper Basin Share</v>
      </c>
      <c r="B42" s="1"/>
      <c r="C42" s="14" t="str">
        <f>IF(OR(C$27="",$A42=""),"",C$41*C32/C$31)</f>
        <v/>
      </c>
      <c r="D42" s="14" t="str">
        <f>IF(OR(D$27="",$A42=""),"",D$41*D32/D$31)</f>
        <v/>
      </c>
      <c r="E42" s="14" t="str">
        <f>IF(OR(E$27="",$A42=""),"",E$41*E32/E$31)</f>
        <v/>
      </c>
      <c r="F42" s="14" t="str">
        <f>IF(OR(F$27="",$A42=""),"",F$41*F32/F$31)</f>
        <v/>
      </c>
      <c r="G42" s="14" t="str">
        <f>IF(OR(G$27="",$A42=""),"",G$41*G32/G$31)</f>
        <v/>
      </c>
      <c r="H42" s="14" t="str">
        <f>IF(OR(H$27="",$A42=""),"",H$41*H32/H$31)</f>
        <v/>
      </c>
      <c r="I42" s="14" t="str">
        <f>IF(OR(I$27="",$A42=""),"",I$41*I32/I$31)</f>
        <v/>
      </c>
      <c r="J42" s="14" t="str">
        <f>IF(OR(J$27="",$A42=""),"",J$41*J32/J$31)</f>
        <v/>
      </c>
      <c r="K42" s="14" t="str">
        <f>IF(OR(K$27="",$A42=""),"",K$41*K32/K$31)</f>
        <v/>
      </c>
      <c r="L42" s="14" t="str">
        <f>IF(OR(L$27="",$A42=""),"",L$41*L32/L$31)</f>
        <v/>
      </c>
    </row>
    <row r="43" spans="1:14" x14ac:dyDescent="0.35">
      <c r="A43" t="str">
        <f>IF(A6="","","    "&amp;A6&amp;" Share")</f>
        <v xml:space="preserve">    Lower Basin Share</v>
      </c>
      <c r="B43" s="1"/>
      <c r="C43" s="14" t="str">
        <f>IF(OR(C$27="",$A43=""),"",C$41*C33/C$31)</f>
        <v/>
      </c>
      <c r="D43" s="14" t="str">
        <f>IF(OR(D$27="",$A43=""),"",D$41*D33/D$31)</f>
        <v/>
      </c>
      <c r="E43" s="14" t="str">
        <f>IF(OR(E$27="",$A43=""),"",E$41*E33/E$31)</f>
        <v/>
      </c>
      <c r="F43" s="14" t="str">
        <f>IF(OR(F$27="",$A43=""),"",F$41*F33/F$31)</f>
        <v/>
      </c>
      <c r="G43" s="14" t="str">
        <f>IF(OR(G$27="",$A43=""),"",G$41*G33/G$31)</f>
        <v/>
      </c>
      <c r="H43" s="14" t="str">
        <f>IF(OR(H$27="",$A43=""),"",H$41*H33/H$31)</f>
        <v/>
      </c>
      <c r="I43" s="14" t="str">
        <f>IF(OR(I$27="",$A43=""),"",I$41*I33/I$31)</f>
        <v/>
      </c>
      <c r="J43" s="14" t="str">
        <f>IF(OR(J$27="",$A43=""),"",J$41*J33/J$31)</f>
        <v/>
      </c>
      <c r="K43" s="14" t="str">
        <f>IF(OR(K$27="",$A43=""),"",K$41*K33/K$31)</f>
        <v/>
      </c>
      <c r="L43" s="14" t="str">
        <f>IF(OR(L$27="",$A43=""),"",L$41*L33/L$31)</f>
        <v/>
      </c>
    </row>
    <row r="44" spans="1:14" x14ac:dyDescent="0.35">
      <c r="A44" t="str">
        <f>IF(A7="","","    "&amp;A7&amp;" Share")</f>
        <v xml:space="preserve">    Mexico Share</v>
      </c>
      <c r="B44" s="1"/>
      <c r="C44" s="14" t="str">
        <f>IF(OR(C$27="",$A44=""),"",C$41*C34/C$31)</f>
        <v/>
      </c>
      <c r="D44" s="14" t="str">
        <f>IF(OR(D$27="",$A44=""),"",D$41*D34/D$31)</f>
        <v/>
      </c>
      <c r="E44" s="14" t="str">
        <f>IF(OR(E$27="",$A44=""),"",E$41*E34/E$31)</f>
        <v/>
      </c>
      <c r="F44" s="14" t="str">
        <f>IF(OR(F$27="",$A44=""),"",F$41*F34/F$31)</f>
        <v/>
      </c>
      <c r="G44" s="14" t="str">
        <f>IF(OR(G$27="",$A44=""),"",G$41*G34/G$31)</f>
        <v/>
      </c>
      <c r="H44" s="14" t="str">
        <f>IF(OR(H$27="",$A44=""),"",H$41*H34/H$31)</f>
        <v/>
      </c>
      <c r="I44" s="14" t="str">
        <f>IF(OR(I$27="",$A44=""),"",I$41*I34/I$31)</f>
        <v/>
      </c>
      <c r="J44" s="14" t="str">
        <f>IF(OR(J$27="",$A44=""),"",J$41*J34/J$31)</f>
        <v/>
      </c>
      <c r="K44" s="14" t="str">
        <f>IF(OR(K$27="",$A44=""),"",K$41*K34/K$31)</f>
        <v/>
      </c>
      <c r="L44" s="14" t="str">
        <f>IF(OR(L$27="",$A44=""),"",L$41*L34/L$31)</f>
        <v/>
      </c>
    </row>
    <row r="45" spans="1:14" x14ac:dyDescent="0.35">
      <c r="A45" t="str">
        <f>IF(A8="","","    "&amp;A8&amp;" Share")</f>
        <v xml:space="preserve">    Shared, Reserve Share</v>
      </c>
      <c r="B45" s="1"/>
      <c r="C45" s="14" t="str">
        <f>IF(OR(C$27="",$A45=""),"",C$41*C35/C$31)</f>
        <v/>
      </c>
      <c r="D45" s="14" t="str">
        <f>IF(OR(D$27="",$A45=""),"",D$41*D35/D$31)</f>
        <v/>
      </c>
      <c r="E45" s="14" t="str">
        <f>IF(OR(E$27="",$A45=""),"",E$41*E35/E$31)</f>
        <v/>
      </c>
      <c r="F45" s="14" t="str">
        <f>IF(OR(F$27="",$A45=""),"",F$41*F35/F$31)</f>
        <v/>
      </c>
      <c r="G45" s="14" t="str">
        <f>IF(OR(G$27="",$A45=""),"",G$41*G35/G$31)</f>
        <v/>
      </c>
      <c r="H45" s="14" t="str">
        <f>IF(OR(H$27="",$A45=""),"",H$41*H35/H$31)</f>
        <v/>
      </c>
      <c r="I45" s="14" t="str">
        <f>IF(OR(I$27="",$A45=""),"",I$41*I35/I$31)</f>
        <v/>
      </c>
      <c r="J45" s="14" t="str">
        <f>IF(OR(J$27="",$A45=""),"",J$41*J35/J$31)</f>
        <v/>
      </c>
      <c r="K45" s="14" t="str">
        <f>IF(OR(K$27="",$A45=""),"",K$41*K35/K$31)</f>
        <v/>
      </c>
      <c r="L45" s="14" t="str">
        <f>IF(OR(L$27="",$A45=""),"",L$41*L35/L$31)</f>
        <v/>
      </c>
    </row>
    <row r="46" spans="1:14" x14ac:dyDescent="0.35">
      <c r="A46" t="str">
        <f>IF(A9="","","    "&amp;A9&amp;" Share")</f>
        <v/>
      </c>
      <c r="B46" s="1"/>
      <c r="C46" s="14" t="str">
        <f>IF(OR(C$27="",$A46=""),"",C$41*C36/C$31)</f>
        <v/>
      </c>
      <c r="D46" s="14" t="str">
        <f>IF(OR(D$27="",$A46=""),"",D$41*D36/D$31)</f>
        <v/>
      </c>
      <c r="E46" s="14" t="str">
        <f>IF(OR(E$27="",$A46=""),"",E$41*E36/E$31)</f>
        <v/>
      </c>
      <c r="F46" s="14" t="str">
        <f>IF(OR(F$27="",$A46=""),"",F$41*F36/F$31)</f>
        <v/>
      </c>
      <c r="G46" s="14" t="str">
        <f>IF(OR(G$27="",$A46=""),"",G$41*G36/G$31)</f>
        <v/>
      </c>
      <c r="H46" s="14" t="str">
        <f>IF(OR(H$27="",$A46=""),"",H$41*H36/H$31)</f>
        <v/>
      </c>
      <c r="I46" s="14" t="str">
        <f>IF(OR(I$27="",$A46=""),"",I$41*I36/I$31)</f>
        <v/>
      </c>
      <c r="J46" s="14" t="str">
        <f>IF(OR(J$27="",$A46=""),"",J$41*J36/J$31)</f>
        <v/>
      </c>
      <c r="K46" s="14" t="str">
        <f>IF(OR(K$27="",$A46=""),"",K$41*K36/K$31)</f>
        <v/>
      </c>
      <c r="L46" s="14" t="str">
        <f>IF(OR(L$27="",$A46=""),"",L$41*L36/L$31)</f>
        <v/>
      </c>
    </row>
    <row r="47" spans="1:14" x14ac:dyDescent="0.35">
      <c r="A47" t="str">
        <f>IF(A10="","","    "&amp;A10&amp;" Share")</f>
        <v/>
      </c>
      <c r="B47" s="1"/>
      <c r="C47" s="14" t="str">
        <f>IF(OR(C$27="",$A47=""),"",C$41*C37/C$31)</f>
        <v/>
      </c>
      <c r="D47" s="14" t="str">
        <f>IF(OR(D$27="",$A47=""),"",D$41*D37/D$31)</f>
        <v/>
      </c>
      <c r="E47" s="14" t="str">
        <f>IF(OR(E$27="",$A47=""),"",E$41*E37/E$31)</f>
        <v/>
      </c>
      <c r="F47" s="14" t="str">
        <f>IF(OR(F$27="",$A47=""),"",F$41*F37/F$31)</f>
        <v/>
      </c>
      <c r="G47" s="14" t="str">
        <f>IF(OR(G$27="",$A47=""),"",G$41*G37/G$31)</f>
        <v/>
      </c>
      <c r="H47" s="14" t="str">
        <f>IF(OR(H$27="",$A47=""),"",H$41*H37/H$31)</f>
        <v/>
      </c>
      <c r="I47" s="14" t="str">
        <f>IF(OR(I$27="",$A47=""),"",I$41*I37/I$31)</f>
        <v/>
      </c>
      <c r="J47" s="14" t="str">
        <f>IF(OR(J$27="",$A47=""),"",J$41*J37/J$31)</f>
        <v/>
      </c>
      <c r="K47" s="14" t="str">
        <f>IF(OR(K$27="",$A47=""),"",K$41*K37/K$31)</f>
        <v/>
      </c>
      <c r="L47" s="14" t="str">
        <f>IF(OR(L$27="",$A47=""),"",L$41*L37/L$31)</f>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292</v>
      </c>
      <c r="B49" s="1"/>
      <c r="C49" s="51" t="str">
        <f>IF(C27="","",SUM(C27:C29)-C30)</f>
        <v/>
      </c>
      <c r="D49" s="51" t="str">
        <f t="shared" ref="D49:L49" si="13">IF(D27="","",SUM(D27:D29)-D30)</f>
        <v/>
      </c>
      <c r="E49" s="51" t="str">
        <f t="shared" si="13"/>
        <v/>
      </c>
      <c r="F49" s="51" t="str">
        <f t="shared" si="13"/>
        <v/>
      </c>
      <c r="G49" s="51" t="str">
        <f t="shared" si="13"/>
        <v/>
      </c>
      <c r="H49" s="51" t="str">
        <f t="shared" si="13"/>
        <v/>
      </c>
      <c r="I49" s="51" t="str">
        <f t="shared" si="13"/>
        <v/>
      </c>
      <c r="J49" s="51" t="str">
        <f t="shared" si="13"/>
        <v/>
      </c>
      <c r="K49" s="51" t="str">
        <f t="shared" si="13"/>
        <v/>
      </c>
      <c r="L49" s="51" t="str">
        <f t="shared" si="13"/>
        <v/>
      </c>
      <c r="M49" s="45"/>
      <c r="N49" s="45"/>
    </row>
    <row r="50" spans="1:14" x14ac:dyDescent="0.35">
      <c r="A50" t="str">
        <f>IF(A5="","","    To "&amp;A5)</f>
        <v xml:space="preserve">    To Upper Basin</v>
      </c>
      <c r="B50" s="134" t="s">
        <v>146</v>
      </c>
      <c r="C50" s="108" t="str">
        <f>IF(OR(C$27="",$A50=""),"",MAX(C27-(82.3-$B$24)-C45*$B$23/SUM($B$23:$C$23),0))</f>
        <v/>
      </c>
      <c r="D50" s="108" t="str">
        <f>IF(OR(D$27="",$A50=""),"",MAX(0,D27-$B$51-D48/2-D53*$B$23/SUM($B$23:$C$23)))</f>
        <v/>
      </c>
      <c r="E50" s="108" t="str">
        <f t="shared" ref="E50:G50" si="14">IF(OR(E$27="",$A50=""),"",MAX(0,E49-SUM(E51:E55)))</f>
        <v/>
      </c>
      <c r="F50" s="108" t="str">
        <f t="shared" si="14"/>
        <v/>
      </c>
      <c r="G50" s="108" t="str">
        <f t="shared" si="14"/>
        <v/>
      </c>
      <c r="H50" s="108" t="str">
        <f t="shared" ref="H50" si="15">IF(OR(H$27="",$A50=""),"",MAX(0,H49-SUM(H51:H55)))</f>
        <v/>
      </c>
      <c r="I50" s="108" t="str">
        <f t="shared" ref="I50" si="16">IF(OR(I$27="",$A50=""),"",MAX(0,I49-SUM(I51:I55)))</f>
        <v/>
      </c>
      <c r="J50" s="108" t="str">
        <f t="shared" ref="J50" si="17">IF(OR(J$27="",$A50=""),"",MAX(0,J49-SUM(J51:J55)))</f>
        <v/>
      </c>
      <c r="K50" s="108" t="str">
        <f t="shared" ref="K50" si="18">IF(OR(K$27="",$A50=""),"",MAX(0,K49-SUM(K51:K55)))</f>
        <v/>
      </c>
      <c r="L50" s="108" t="str">
        <f t="shared" ref="L50" si="19">IF(OR(L$27="",$A50=""),"",MAX(0,L49-SUM(L51:L55)))</f>
        <v/>
      </c>
      <c r="M50" s="29"/>
      <c r="N50" s="191" t="s">
        <v>353</v>
      </c>
    </row>
    <row r="51" spans="1:14" x14ac:dyDescent="0.35">
      <c r="A51" t="str">
        <f>IF(A6="","","    To "&amp;A6)</f>
        <v xml:space="preserve">    To Lower Basin</v>
      </c>
      <c r="B51" s="135">
        <f>7.5</f>
        <v>7.5</v>
      </c>
      <c r="C51" s="108" t="str">
        <f>IF(OR(C$27="",$A51=""),"",C28+C29-C30-C53*$C$23/SUM($B$23:$C$23)-C52+MIN(82.3-$B$24,C27))</f>
        <v/>
      </c>
      <c r="D51" s="108" t="str">
        <f>IF(OR(D$27="",$A51=""),"",D28+D29-D30-D53*$C$23/SUM($B$23:$C$23)-D52/2+MIN($B51,D27-D52/2))</f>
        <v/>
      </c>
      <c r="E51" s="108" t="str">
        <f t="shared" ref="E51:L51" si="20">IF(OR(E$27="",$A51=""),"",E28+E29-E30-E53*$C$23/SUM($B$23:$C$23)-E52/2+MIN($B51,E27-E52/2))</f>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IF(A7="","","    To "&amp;A7)</f>
        <v xml:space="preserve">    To Mexico</v>
      </c>
      <c r="B52" s="135" t="s">
        <v>184</v>
      </c>
      <c r="C52" s="108" t="str">
        <f>IF(OR(C$27="",$A52=""),"",IF(C$49&gt;SUM(C53:C54,C48),C48,C$49-SUM(C53:C54)))</f>
        <v/>
      </c>
      <c r="D52" s="108" t="str">
        <f t="shared" ref="D52:L52" si="21">IF(OR(D$27="",$A52=""),"",IF(D$49&gt;SUM(D53:D54,D48),D48,D$49-SUM(D53:D54)))</f>
        <v/>
      </c>
      <c r="E52" s="108" t="str">
        <f t="shared" si="21"/>
        <v/>
      </c>
      <c r="F52" s="108" t="str">
        <f t="shared" si="21"/>
        <v/>
      </c>
      <c r="G52" s="108" t="str">
        <f t="shared" si="21"/>
        <v/>
      </c>
      <c r="H52" s="108" t="str">
        <f t="shared" si="21"/>
        <v/>
      </c>
      <c r="I52" s="108" t="str">
        <f t="shared" si="21"/>
        <v/>
      </c>
      <c r="J52" s="108" t="str">
        <f t="shared" si="21"/>
        <v/>
      </c>
      <c r="K52" s="108" t="str">
        <f t="shared" si="21"/>
        <v/>
      </c>
      <c r="L52" s="108" t="str">
        <f t="shared" si="21"/>
        <v/>
      </c>
      <c r="M52" s="29"/>
      <c r="N52" s="29"/>
    </row>
    <row r="53" spans="1:14" x14ac:dyDescent="0.35">
      <c r="A53" t="str">
        <f>IF(A8="","","    To "&amp;A8)</f>
        <v xml:space="preserve">    To Shared, Reserve</v>
      </c>
      <c r="B53" s="135" t="s">
        <v>183</v>
      </c>
      <c r="C53" s="108" t="str">
        <f>IF(OR(C$27="",$A53=""),"",IF(C$49&gt;C45,C45,C49))</f>
        <v/>
      </c>
      <c r="D53" s="108" t="str">
        <f t="shared" ref="D53:L53" si="22">IF(OR(D$27="",$A53=""),"",IF(D$49&gt;D45,D45,D49))</f>
        <v/>
      </c>
      <c r="E53" s="108" t="str">
        <f t="shared" si="22"/>
        <v/>
      </c>
      <c r="F53" s="108" t="str">
        <f t="shared" si="22"/>
        <v/>
      </c>
      <c r="G53" s="108" t="str">
        <f t="shared" si="22"/>
        <v/>
      </c>
      <c r="H53" s="108" t="str">
        <f t="shared" si="22"/>
        <v/>
      </c>
      <c r="I53" s="108" t="str">
        <f t="shared" si="22"/>
        <v/>
      </c>
      <c r="J53" s="108" t="str">
        <f t="shared" si="22"/>
        <v/>
      </c>
      <c r="K53" s="108" t="str">
        <f t="shared" si="22"/>
        <v/>
      </c>
      <c r="L53" s="108" t="str">
        <f t="shared" si="22"/>
        <v/>
      </c>
      <c r="M53" s="29"/>
      <c r="N53" s="29"/>
    </row>
    <row r="54" spans="1:14" x14ac:dyDescent="0.35">
      <c r="A54" t="str">
        <f>IF(A9="","","    To "&amp;A9)</f>
        <v/>
      </c>
      <c r="B54" s="135"/>
      <c r="C54" s="108"/>
      <c r="D54" s="108"/>
      <c r="E54" s="108"/>
      <c r="F54" s="108"/>
      <c r="G54" s="108"/>
      <c r="H54" s="108"/>
      <c r="I54" s="108"/>
      <c r="J54" s="108"/>
      <c r="K54" s="108"/>
      <c r="L54" s="108"/>
      <c r="M54" s="29"/>
      <c r="N54" s="29"/>
    </row>
    <row r="55" spans="1:14" x14ac:dyDescent="0.35">
      <c r="A55" t="str">
        <f>IF(A10="","","    To "&amp;A10)</f>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23">IF(OR(C$27="",$A61=""),"",C$114)</f>
        <v/>
      </c>
      <c r="D61" s="67" t="str">
        <f t="shared" si="23"/>
        <v/>
      </c>
      <c r="E61" s="67" t="str">
        <f t="shared" si="23"/>
        <v/>
      </c>
      <c r="F61" s="67" t="str">
        <f t="shared" si="23"/>
        <v/>
      </c>
      <c r="G61" s="67" t="str">
        <f t="shared" si="23"/>
        <v/>
      </c>
      <c r="H61" s="67" t="str">
        <f t="shared" si="23"/>
        <v/>
      </c>
      <c r="I61" s="67" t="str">
        <f t="shared" si="23"/>
        <v/>
      </c>
      <c r="J61" s="67" t="str">
        <f t="shared" si="23"/>
        <v/>
      </c>
      <c r="K61" s="67" t="str">
        <f t="shared" si="23"/>
        <v/>
      </c>
      <c r="L61" s="67" t="str">
        <f t="shared" si="23"/>
        <v/>
      </c>
      <c r="M61" t="str">
        <f t="shared" si="2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4">IF(OR(D$27="",$A62=""),"",D32+D50-D42-D59)</f>
        <v/>
      </c>
      <c r="E62" s="14" t="str">
        <f t="shared" si="24"/>
        <v/>
      </c>
      <c r="F62" s="14" t="str">
        <f t="shared" si="24"/>
        <v/>
      </c>
      <c r="G62" s="14" t="str">
        <f t="shared" si="24"/>
        <v/>
      </c>
      <c r="H62" s="14" t="str">
        <f t="shared" si="24"/>
        <v/>
      </c>
      <c r="I62" s="14" t="str">
        <f t="shared" si="24"/>
        <v/>
      </c>
      <c r="J62" s="14" t="str">
        <f t="shared" si="24"/>
        <v/>
      </c>
      <c r="K62" s="14" t="str">
        <f t="shared" si="24"/>
        <v/>
      </c>
      <c r="L62" s="14" t="str">
        <f t="shared" si="2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5">IF(OR(D$27="",$A64=""),"",D62-D63)</f>
        <v/>
      </c>
      <c r="E64" s="66" t="str">
        <f t="shared" si="25"/>
        <v/>
      </c>
      <c r="F64" s="66" t="str">
        <f t="shared" si="25"/>
        <v/>
      </c>
      <c r="G64" s="66" t="str">
        <f t="shared" si="25"/>
        <v/>
      </c>
      <c r="H64" s="66" t="str">
        <f t="shared" si="25"/>
        <v/>
      </c>
      <c r="I64" s="66" t="str">
        <f t="shared" si="25"/>
        <v/>
      </c>
      <c r="J64" s="66" t="str">
        <f t="shared" si="25"/>
        <v/>
      </c>
      <c r="K64" s="66" t="str">
        <f t="shared" si="25"/>
        <v/>
      </c>
      <c r="L64" s="66" t="str">
        <f t="shared" si="25"/>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26">IF(A68="","",N60)</f>
        <v>Add if multiple transactions, e.g.: $350*0.5 + $450*0.25</v>
      </c>
    </row>
    <row r="69" spans="1:14" x14ac:dyDescent="0.35">
      <c r="A69" s="32" t="str">
        <f>IF(A68="","","   Volume all players (should be zero)")</f>
        <v xml:space="preserve">   Volume all players (should be zero)</v>
      </c>
      <c r="C69" s="67" t="str">
        <f t="shared" ref="C69:M69" si="27">IF(OR(C$27="",$A69=""),"",C$114)</f>
        <v/>
      </c>
      <c r="D69" s="67" t="str">
        <f t="shared" si="27"/>
        <v/>
      </c>
      <c r="E69" s="67" t="str">
        <f t="shared" si="27"/>
        <v/>
      </c>
      <c r="F69" s="67" t="str">
        <f t="shared" si="27"/>
        <v/>
      </c>
      <c r="G69" s="67" t="str">
        <f t="shared" si="27"/>
        <v/>
      </c>
      <c r="H69" s="67" t="str">
        <f t="shared" si="27"/>
        <v/>
      </c>
      <c r="I69" s="67" t="str">
        <f t="shared" si="27"/>
        <v/>
      </c>
      <c r="J69" s="67" t="str">
        <f t="shared" si="27"/>
        <v/>
      </c>
      <c r="K69" s="67" t="str">
        <f t="shared" si="27"/>
        <v/>
      </c>
      <c r="L69" s="67" t="str">
        <f t="shared" si="27"/>
        <v/>
      </c>
      <c r="M69" t="str">
        <f t="shared" si="27"/>
        <v/>
      </c>
      <c r="N69" t="str">
        <f t="shared" si="26"/>
        <v>If non-zero, players need to change amount(s)</v>
      </c>
    </row>
    <row r="70" spans="1:14" x14ac:dyDescent="0.35">
      <c r="A70" s="1" t="str">
        <f>IF(A68="","","   Available Water [maf]")</f>
        <v xml:space="preserve">   Available Water [maf]</v>
      </c>
      <c r="C70" s="14" t="str">
        <f t="shared" ref="C70:L70" si="28">IF(OR(C$27="",$A70=""),"",C33+C51-C43-C67)</f>
        <v/>
      </c>
      <c r="D70" s="14" t="str">
        <f t="shared" si="28"/>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t="str">
        <f t="shared" si="26"/>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26"/>
        <v>Must be less than Available water</v>
      </c>
    </row>
    <row r="72" spans="1:14" x14ac:dyDescent="0.35">
      <c r="A72" s="32" t="str">
        <f>IF(A71="","","   End of Year Balance [maf]")</f>
        <v xml:space="preserve">   End of Year Balance [maf]</v>
      </c>
      <c r="C72" s="66" t="str">
        <f>IF(OR(C$27="",$A72=""),"",C70-C71)</f>
        <v/>
      </c>
      <c r="D72" s="66" t="str">
        <f t="shared" ref="D72:L72" si="29">IF(OR(D$27="",$A72=""),"",D70-D71)</f>
        <v/>
      </c>
      <c r="E72" s="66" t="str">
        <f t="shared" si="29"/>
        <v/>
      </c>
      <c r="F72" s="66" t="str">
        <f t="shared" si="29"/>
        <v/>
      </c>
      <c r="G72" s="66" t="str">
        <f t="shared" si="29"/>
        <v/>
      </c>
      <c r="H72" s="66" t="str">
        <f t="shared" si="29"/>
        <v/>
      </c>
      <c r="I72" s="66" t="str">
        <f t="shared" si="29"/>
        <v/>
      </c>
      <c r="J72" s="66" t="str">
        <f t="shared" si="29"/>
        <v/>
      </c>
      <c r="K72" s="66" t="str">
        <f t="shared" si="29"/>
        <v/>
      </c>
      <c r="L72" s="66" t="str">
        <f t="shared" si="29"/>
        <v/>
      </c>
      <c r="N72" t="str">
        <f t="shared" si="26"/>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0">IF(A76="","",N68)</f>
        <v>Add if multiple transactions, e.g.: $350*0.5 + $450*0.25</v>
      </c>
    </row>
    <row r="77" spans="1:14" x14ac:dyDescent="0.35">
      <c r="A77" s="32" t="str">
        <f>IF(A76="","","   Volume all players (should be zero)")</f>
        <v xml:space="preserve">   Volume all players (should be zero)</v>
      </c>
      <c r="C77" s="67" t="str">
        <f t="shared" ref="C77:M77" si="31">IF(OR(C$27="",$A77=""),"",C$114)</f>
        <v/>
      </c>
      <c r="D77" s="67" t="str">
        <f t="shared" si="31"/>
        <v/>
      </c>
      <c r="E77" s="67" t="str">
        <f t="shared" si="31"/>
        <v/>
      </c>
      <c r="F77" s="67" t="str">
        <f t="shared" si="31"/>
        <v/>
      </c>
      <c r="G77" s="67" t="str">
        <f t="shared" si="31"/>
        <v/>
      </c>
      <c r="H77" s="67" t="str">
        <f t="shared" si="31"/>
        <v/>
      </c>
      <c r="I77" s="67" t="str">
        <f t="shared" si="31"/>
        <v/>
      </c>
      <c r="J77" s="67" t="str">
        <f t="shared" si="31"/>
        <v/>
      </c>
      <c r="K77" s="67" t="str">
        <f t="shared" si="31"/>
        <v/>
      </c>
      <c r="L77" s="67" t="str">
        <f t="shared" si="31"/>
        <v/>
      </c>
      <c r="M77" t="str">
        <f t="shared" si="31"/>
        <v/>
      </c>
      <c r="N77" t="str">
        <f t="shared" si="30"/>
        <v>If non-zero, players need to change amount(s)</v>
      </c>
    </row>
    <row r="78" spans="1:14" x14ac:dyDescent="0.35">
      <c r="A78" s="1" t="str">
        <f>IF(A76="","","   Available Water [maf]")</f>
        <v xml:space="preserve">   Available Water [maf]</v>
      </c>
      <c r="C78" s="14" t="str">
        <f t="shared" ref="C78:L78" si="32">IF(OR(C$27="",$A78=""),"",C34+C52-C44-C75)</f>
        <v/>
      </c>
      <c r="D78" s="14" t="str">
        <f t="shared" si="32"/>
        <v/>
      </c>
      <c r="E78" s="14" t="str">
        <f t="shared" si="32"/>
        <v/>
      </c>
      <c r="F78" s="14" t="str">
        <f>IF(OR(F$27="",$A78=""),"",F34+F52-F44-F75)</f>
        <v/>
      </c>
      <c r="G78" s="14" t="str">
        <f t="shared" si="32"/>
        <v/>
      </c>
      <c r="H78" s="14" t="str">
        <f t="shared" si="32"/>
        <v/>
      </c>
      <c r="I78" s="14" t="str">
        <f t="shared" si="32"/>
        <v/>
      </c>
      <c r="J78" s="14" t="str">
        <f t="shared" si="32"/>
        <v/>
      </c>
      <c r="K78" s="14" t="str">
        <f t="shared" si="32"/>
        <v/>
      </c>
      <c r="L78" s="14" t="str">
        <f t="shared" si="32"/>
        <v/>
      </c>
      <c r="N78" t="str">
        <f t="shared" si="30"/>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0"/>
        <v>Must be less than Available water</v>
      </c>
    </row>
    <row r="80" spans="1:14" x14ac:dyDescent="0.35">
      <c r="A80" s="32" t="str">
        <f>IF(A79="","","   End of Year Balance [maf]")</f>
        <v xml:space="preserve">   End of Year Balance [maf]</v>
      </c>
      <c r="C80" s="66" t="str">
        <f>IF(OR(C$27="",$A80=""),"",C78-C79)</f>
        <v/>
      </c>
      <c r="D80" s="66" t="str">
        <f t="shared" ref="D80:L80" si="33">IF(OR(D$27="",$A80=""),"",D78-D79)</f>
        <v/>
      </c>
      <c r="E80" s="66" t="str">
        <f t="shared" si="33"/>
        <v/>
      </c>
      <c r="F80" s="66" t="str">
        <f t="shared" si="33"/>
        <v/>
      </c>
      <c r="G80" s="66" t="str">
        <f t="shared" si="33"/>
        <v/>
      </c>
      <c r="H80" s="66" t="str">
        <f t="shared" si="33"/>
        <v/>
      </c>
      <c r="I80" s="66" t="str">
        <f t="shared" si="33"/>
        <v/>
      </c>
      <c r="J80" s="66" t="str">
        <f t="shared" si="33"/>
        <v/>
      </c>
      <c r="K80" s="66" t="str">
        <f t="shared" si="33"/>
        <v/>
      </c>
      <c r="L80" s="66" t="str">
        <f t="shared" si="33"/>
        <v/>
      </c>
      <c r="N80" t="str">
        <f t="shared" si="30"/>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92"/>
      <c r="D84" s="192"/>
      <c r="E84" s="192"/>
      <c r="F84" s="192"/>
      <c r="G84" s="192"/>
      <c r="H84" s="192"/>
      <c r="I84" s="192"/>
      <c r="J84" s="192"/>
      <c r="K84" s="192"/>
      <c r="L84" s="192"/>
      <c r="M84" s="65">
        <f>SUM(C84:L84)</f>
        <v>0</v>
      </c>
      <c r="N84" t="str">
        <f t="shared" ref="N84:N88" si="34">IF(A84="","",N76)</f>
        <v>Add if multiple transactions, e.g.: $350*0.5 + $450*0.25</v>
      </c>
    </row>
    <row r="85" spans="1:14" x14ac:dyDescent="0.35">
      <c r="A85" s="32" t="str">
        <f>IF(A84="","","   Volume all players (should be zero)")</f>
        <v xml:space="preserv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t="str">
        <f t="shared" si="34"/>
        <v>If non-zero, players need to change amount(s)</v>
      </c>
    </row>
    <row r="86" spans="1:14" x14ac:dyDescent="0.35">
      <c r="A86" s="1" t="str">
        <f>IF(A84="","","   Available Water [maf]")</f>
        <v xml:space="preserve">   Available Water [maf]</v>
      </c>
      <c r="C86" s="14" t="str">
        <f t="shared" ref="C86:L86" si="36">IF(OR(C$27="",$A86=""),"",C35+C53-C45-C83)</f>
        <v/>
      </c>
      <c r="D86" s="14" t="str">
        <f t="shared" si="36"/>
        <v/>
      </c>
      <c r="E86" s="14" t="str">
        <f t="shared" si="36"/>
        <v/>
      </c>
      <c r="F86" s="14" t="str">
        <f t="shared" si="36"/>
        <v/>
      </c>
      <c r="G86" s="14" t="str">
        <f t="shared" si="36"/>
        <v/>
      </c>
      <c r="H86" s="14" t="str">
        <f t="shared" si="36"/>
        <v/>
      </c>
      <c r="I86" s="14" t="str">
        <f t="shared" si="36"/>
        <v/>
      </c>
      <c r="J86" s="14" t="str">
        <f t="shared" si="36"/>
        <v/>
      </c>
      <c r="K86" s="14" t="str">
        <f t="shared" si="36"/>
        <v/>
      </c>
      <c r="L86" s="14" t="str">
        <f t="shared" si="36"/>
        <v/>
      </c>
      <c r="N86" t="str">
        <f t="shared" si="3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34"/>
        <v>Must be less than Available water</v>
      </c>
    </row>
    <row r="88" spans="1:14" x14ac:dyDescent="0.35">
      <c r="A88" s="32" t="str">
        <f>IF(A87="","","   End of Year Balance [maf]")</f>
        <v xml:space="preserve">   End of Year Balance [maf]</v>
      </c>
      <c r="C88" s="66" t="str">
        <f>IF(OR(C$27="",$A88=""),"",C86-C87)</f>
        <v/>
      </c>
      <c r="D88" s="66" t="str">
        <f t="shared" ref="D88:L88" si="37">IF(OR(D$27="",$A88=""),"",D86-D87)</f>
        <v/>
      </c>
      <c r="E88" s="66" t="str">
        <f t="shared" si="37"/>
        <v/>
      </c>
      <c r="F88" s="66" t="str">
        <f t="shared" si="37"/>
        <v/>
      </c>
      <c r="G88" s="66" t="str">
        <f t="shared" si="37"/>
        <v/>
      </c>
      <c r="H88" s="66" t="str">
        <f t="shared" si="37"/>
        <v/>
      </c>
      <c r="I88" s="66" t="str">
        <f t="shared" si="37"/>
        <v/>
      </c>
      <c r="J88" s="66" t="str">
        <f t="shared" si="37"/>
        <v/>
      </c>
      <c r="K88" s="66" t="str">
        <f t="shared" si="37"/>
        <v/>
      </c>
      <c r="L88" s="66" t="str">
        <f t="shared" si="37"/>
        <v/>
      </c>
      <c r="N88" t="str">
        <f t="shared" si="3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38">IF(A92="","",N84)</f>
        <v/>
      </c>
    </row>
    <row r="93" spans="1:14" x14ac:dyDescent="0.35">
      <c r="A93" s="32" t="str">
        <f>IF(A92="","","   Volume all players (should be zero)")</f>
        <v/>
      </c>
      <c r="C93" s="67" t="str">
        <f t="shared" ref="C93:M93" si="39">IF(OR(C$27="",$A93=""),"",C$114)</f>
        <v/>
      </c>
      <c r="D93" s="67" t="str">
        <f t="shared" si="39"/>
        <v/>
      </c>
      <c r="E93" s="67" t="str">
        <f t="shared" si="39"/>
        <v/>
      </c>
      <c r="F93" s="67" t="str">
        <f t="shared" si="39"/>
        <v/>
      </c>
      <c r="G93" s="67" t="str">
        <f t="shared" si="39"/>
        <v/>
      </c>
      <c r="H93" s="67" t="str">
        <f t="shared" si="39"/>
        <v/>
      </c>
      <c r="I93" s="67" t="str">
        <f t="shared" si="39"/>
        <v/>
      </c>
      <c r="J93" s="67" t="str">
        <f t="shared" si="39"/>
        <v/>
      </c>
      <c r="K93" s="67" t="str">
        <f t="shared" si="39"/>
        <v/>
      </c>
      <c r="L93" s="67" t="str">
        <f t="shared" si="39"/>
        <v/>
      </c>
      <c r="M93" t="str">
        <f t="shared" si="39"/>
        <v/>
      </c>
      <c r="N93" t="str">
        <f t="shared" si="38"/>
        <v/>
      </c>
    </row>
    <row r="94" spans="1:14" x14ac:dyDescent="0.35">
      <c r="A94" s="1" t="str">
        <f>IF(A92="","","   Available Water [maf]")</f>
        <v/>
      </c>
      <c r="C94" s="14" t="str">
        <f t="shared" ref="C94:L94" si="40">IF(OR(C$27="",$A94=""),"",C36+C54-C46-C91)</f>
        <v/>
      </c>
      <c r="D94" s="14" t="str">
        <f t="shared" si="40"/>
        <v/>
      </c>
      <c r="E94" s="14" t="str">
        <f t="shared" si="40"/>
        <v/>
      </c>
      <c r="F94" s="14" t="str">
        <f t="shared" si="40"/>
        <v/>
      </c>
      <c r="G94" s="14" t="str">
        <f t="shared" si="40"/>
        <v/>
      </c>
      <c r="H94" s="14" t="str">
        <f t="shared" si="40"/>
        <v/>
      </c>
      <c r="I94" s="14" t="str">
        <f t="shared" si="40"/>
        <v/>
      </c>
      <c r="J94" s="14" t="str">
        <f t="shared" si="40"/>
        <v/>
      </c>
      <c r="K94" s="14" t="str">
        <f t="shared" si="40"/>
        <v/>
      </c>
      <c r="L94" s="14" t="str">
        <f t="shared" si="40"/>
        <v/>
      </c>
      <c r="N94" t="str">
        <f t="shared" si="38"/>
        <v/>
      </c>
    </row>
    <row r="95" spans="1:14" x14ac:dyDescent="0.35">
      <c r="A95" s="1" t="str">
        <f>IF(A94="","","   Account Withdraw [maf]")</f>
        <v/>
      </c>
      <c r="C95" s="132"/>
      <c r="D95" s="132"/>
      <c r="E95" s="132"/>
      <c r="F95" s="132"/>
      <c r="G95" s="132"/>
      <c r="H95" s="132"/>
      <c r="I95" s="132"/>
      <c r="J95" s="132"/>
      <c r="K95" s="132"/>
      <c r="L95" s="132"/>
      <c r="N95" t="str">
        <f t="shared" si="38"/>
        <v/>
      </c>
    </row>
    <row r="96" spans="1:14" x14ac:dyDescent="0.35">
      <c r="A96" s="32" t="str">
        <f>IF(A95="","","   End of Year Balance [maf]")</f>
        <v/>
      </c>
      <c r="C96" s="66" t="str">
        <f>IF(OR(C$27="",$A96=""),"",C94-C95)</f>
        <v/>
      </c>
      <c r="D96" s="66" t="str">
        <f t="shared" ref="D96:L96" si="41">IF(OR(D$27="",$A96=""),"",D94-D95)</f>
        <v/>
      </c>
      <c r="E96" s="66" t="str">
        <f t="shared" si="41"/>
        <v/>
      </c>
      <c r="F96" s="66" t="str">
        <f t="shared" si="41"/>
        <v/>
      </c>
      <c r="G96" s="66" t="str">
        <f t="shared" si="41"/>
        <v/>
      </c>
      <c r="H96" s="66" t="str">
        <f t="shared" si="41"/>
        <v/>
      </c>
      <c r="I96" s="66" t="str">
        <f t="shared" si="41"/>
        <v/>
      </c>
      <c r="J96" s="66" t="str">
        <f t="shared" si="41"/>
        <v/>
      </c>
      <c r="K96" s="66" t="str">
        <f t="shared" si="41"/>
        <v/>
      </c>
      <c r="L96" s="66" t="str">
        <f t="shared" si="41"/>
        <v/>
      </c>
      <c r="N96" t="str">
        <f t="shared" si="38"/>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42">IF(A100="","",N92)</f>
        <v/>
      </c>
    </row>
    <row r="101" spans="1:14" x14ac:dyDescent="0.35">
      <c r="A101" s="32" t="str">
        <f>IF(A100="","","   Volume all players (should be zero)")</f>
        <v/>
      </c>
      <c r="C101" s="67" t="str">
        <f t="shared" ref="C101:M101" si="43">IF(OR(C$27="",$A101=""),"",C$114)</f>
        <v/>
      </c>
      <c r="D101" s="67" t="str">
        <f t="shared" si="43"/>
        <v/>
      </c>
      <c r="E101" s="67" t="str">
        <f t="shared" si="43"/>
        <v/>
      </c>
      <c r="F101" s="67" t="str">
        <f t="shared" si="43"/>
        <v/>
      </c>
      <c r="G101" s="67" t="str">
        <f t="shared" si="43"/>
        <v/>
      </c>
      <c r="H101" s="67" t="str">
        <f t="shared" si="43"/>
        <v/>
      </c>
      <c r="I101" s="67" t="str">
        <f t="shared" si="43"/>
        <v/>
      </c>
      <c r="J101" s="67" t="str">
        <f t="shared" si="43"/>
        <v/>
      </c>
      <c r="K101" s="67" t="str">
        <f t="shared" si="43"/>
        <v/>
      </c>
      <c r="L101" s="67" t="str">
        <f t="shared" si="43"/>
        <v/>
      </c>
      <c r="M101" t="str">
        <f t="shared" si="43"/>
        <v/>
      </c>
      <c r="N101" t="str">
        <f t="shared" si="42"/>
        <v/>
      </c>
    </row>
    <row r="102" spans="1:14" x14ac:dyDescent="0.35">
      <c r="A102" s="1" t="str">
        <f>IF(A100="","","   Available Water [maf]")</f>
        <v/>
      </c>
      <c r="C102" s="14" t="str">
        <f t="shared" ref="C102:L102" si="44">IF(OR(C$27="",$A102=""),"",C37+C55-C47-C99)</f>
        <v/>
      </c>
      <c r="D102" s="14" t="str">
        <f t="shared" si="44"/>
        <v/>
      </c>
      <c r="E102" s="14" t="str">
        <f t="shared" si="44"/>
        <v/>
      </c>
      <c r="F102" s="14" t="str">
        <f t="shared" si="44"/>
        <v/>
      </c>
      <c r="G102" s="14" t="str">
        <f t="shared" si="44"/>
        <v/>
      </c>
      <c r="H102" s="14" t="str">
        <f t="shared" si="44"/>
        <v/>
      </c>
      <c r="I102" s="14" t="str">
        <f t="shared" si="44"/>
        <v/>
      </c>
      <c r="J102" s="14" t="str">
        <f t="shared" si="44"/>
        <v/>
      </c>
      <c r="K102" s="14" t="str">
        <f t="shared" si="44"/>
        <v/>
      </c>
      <c r="L102" s="14" t="str">
        <f t="shared" si="44"/>
        <v/>
      </c>
      <c r="N102" t="str">
        <f t="shared" si="42"/>
        <v/>
      </c>
    </row>
    <row r="103" spans="1:14" x14ac:dyDescent="0.35">
      <c r="A103" s="1" t="str">
        <f>IF(A102="","","   Account Withdraw [maf]")</f>
        <v/>
      </c>
      <c r="C103" s="132"/>
      <c r="D103" s="132"/>
      <c r="E103" s="132"/>
      <c r="F103" s="132"/>
      <c r="G103" s="132"/>
      <c r="H103" s="132"/>
      <c r="I103" s="132"/>
      <c r="J103" s="132"/>
      <c r="K103" s="132"/>
      <c r="L103" s="132"/>
      <c r="N103" t="str">
        <f t="shared" si="42"/>
        <v/>
      </c>
    </row>
    <row r="104" spans="1:14" x14ac:dyDescent="0.35">
      <c r="A104" s="32" t="str">
        <f>IF(A103="","","   End of Year Balance [maf]")</f>
        <v/>
      </c>
      <c r="C104" s="66" t="str">
        <f>IF(OR(C$27="",$A104=""),"",C102-C103)</f>
        <v/>
      </c>
      <c r="D104" s="66" t="str">
        <f t="shared" ref="D104:L104" si="45">IF(OR(D$27="",$A104=""),"",D102-D103)</f>
        <v/>
      </c>
      <c r="E104" s="66" t="str">
        <f t="shared" si="45"/>
        <v/>
      </c>
      <c r="F104" s="66" t="str">
        <f t="shared" si="45"/>
        <v/>
      </c>
      <c r="G104" s="66" t="str">
        <f t="shared" si="45"/>
        <v/>
      </c>
      <c r="H104" s="66" t="str">
        <f t="shared" si="45"/>
        <v/>
      </c>
      <c r="I104" s="66" t="str">
        <f t="shared" si="45"/>
        <v/>
      </c>
      <c r="J104" s="66" t="str">
        <f t="shared" si="45"/>
        <v/>
      </c>
      <c r="K104" s="66" t="str">
        <f t="shared" si="45"/>
        <v/>
      </c>
      <c r="L104" s="66" t="str">
        <f t="shared" si="45"/>
        <v/>
      </c>
      <c r="N104" t="str">
        <f t="shared" si="42"/>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IF(A5="","","    "&amp;A5)</f>
        <v xml:space="preserve">    Upper Basin</v>
      </c>
      <c r="B108" s="1"/>
      <c r="C108" s="67" t="str">
        <f ca="1">IF(OR(C$27="",$A108=""),"",OFFSET(C$59,8*(ROW(B108)-ROW(B$108)),0))</f>
        <v/>
      </c>
      <c r="D108" s="67" t="str">
        <f ca="1">IF(OR(D$27="",$A108=""),"",OFFSET(D$59,8*(ROW(C108)-ROW(C$108)),0))</f>
        <v/>
      </c>
      <c r="E108" s="67" t="str">
        <f ca="1">IF(OR(E$27="",$A108=""),"",OFFSET(E$59,8*(ROW(D108)-ROW(D$108)),0))</f>
        <v/>
      </c>
      <c r="F108" s="67" t="str">
        <f ca="1">IF(OR(F$27="",$A108=""),"",OFFSET(F$59,8*(ROW(E108)-ROW(E$108)),0))</f>
        <v/>
      </c>
      <c r="G108" s="67" t="str">
        <f ca="1">IF(OR(G$27="",$A108=""),"",OFFSET(G$59,8*(ROW(F108)-ROW(F$108)),0))</f>
        <v/>
      </c>
      <c r="H108" s="67" t="str">
        <f ca="1">IF(OR(H$27="",$A108=""),"",OFFSET(H$59,8*(ROW(G108)-ROW(G$108)),0))</f>
        <v/>
      </c>
      <c r="I108" s="67" t="str">
        <f ca="1">IF(OR(I$27="",$A108=""),"",OFFSET(I$59,8*(ROW(H108)-ROW(H$108)),0))</f>
        <v/>
      </c>
      <c r="J108" s="67" t="str">
        <f ca="1">IF(OR(J$27="",$A108=""),"",OFFSET(J$59,8*(ROW(I108)-ROW(I$108)),0))</f>
        <v/>
      </c>
      <c r="K108" s="67" t="str">
        <f ca="1">IF(OR(K$27="",$A108=""),"",OFFSET(K$59,8*(ROW(J108)-ROW(J$108)),0))</f>
        <v/>
      </c>
      <c r="L108" s="67" t="str">
        <f ca="1">IF(OR(L$27="",$A108=""),"",OFFSET(L$59,8*(ROW(K108)-ROW(K$108)),0))</f>
        <v/>
      </c>
      <c r="M108" s="67">
        <f ca="1">IF(OR($A108=""),"",SUM(C108:L108))</f>
        <v>0</v>
      </c>
      <c r="N108" s="65">
        <f>IF(OR($A108=""),"",M60)</f>
        <v>0</v>
      </c>
    </row>
    <row r="109" spans="1:14" x14ac:dyDescent="0.35">
      <c r="A109" t="str">
        <f>IF(A6="","","    "&amp;A6)</f>
        <v xml:space="preserve">    Lower Basin</v>
      </c>
      <c r="B109" s="1"/>
      <c r="C109" s="67" t="str">
        <f ca="1">IF(OR(C$27="",$A109=""),"",OFFSET(C$59,8*(ROW(B109)-ROW(B$108)),0))</f>
        <v/>
      </c>
      <c r="D109" s="67" t="str">
        <f ca="1">IF(OR(D$27="",$A109=""),"",OFFSET(D$59,8*(ROW(C109)-ROW(C$108)),0))</f>
        <v/>
      </c>
      <c r="E109" s="67" t="str">
        <f ca="1">IF(OR(E$27="",$A109=""),"",OFFSET(E$59,8*(ROW(D109)-ROW(D$108)),0))</f>
        <v/>
      </c>
      <c r="F109" s="67" t="str">
        <f ca="1">IF(OR(F$27="",$A109=""),"",OFFSET(F$59,8*(ROW(E109)-ROW(E$108)),0))</f>
        <v/>
      </c>
      <c r="G109" s="67" t="str">
        <f ca="1">IF(OR(G$27="",$A109=""),"",OFFSET(G$59,8*(ROW(F109)-ROW(F$108)),0))</f>
        <v/>
      </c>
      <c r="H109" s="67" t="str">
        <f ca="1">IF(OR(H$27="",$A109=""),"",OFFSET(H$59,8*(ROW(G109)-ROW(G$108)),0))</f>
        <v/>
      </c>
      <c r="I109" s="67" t="str">
        <f ca="1">IF(OR(I$27="",$A109=""),"",OFFSET(I$59,8*(ROW(H109)-ROW(H$108)),0))</f>
        <v/>
      </c>
      <c r="J109" s="67" t="str">
        <f ca="1">IF(OR(J$27="",$A109=""),"",OFFSET(J$59,8*(ROW(I109)-ROW(I$108)),0))</f>
        <v/>
      </c>
      <c r="K109" s="67" t="str">
        <f ca="1">IF(OR(K$27="",$A109=""),"",OFFSET(K$59,8*(ROW(J109)-ROW(J$108)),0))</f>
        <v/>
      </c>
      <c r="L109" s="67" t="str">
        <f ca="1">IF(OR(L$27="",$A109=""),"",OFFSET(L$59,8*(ROW(K109)-ROW(K$108)),0))</f>
        <v/>
      </c>
      <c r="M109" s="67">
        <f t="shared" ref="M109:M113" ca="1" si="46">IF(OR($A109=""),"",SUM(C109:L109))</f>
        <v>0</v>
      </c>
      <c r="N109" s="65">
        <f>IF(OR($A109=""),"",M68)</f>
        <v>0</v>
      </c>
    </row>
    <row r="110" spans="1:14" x14ac:dyDescent="0.35">
      <c r="A110" t="str">
        <f>IF(A7="","","    "&amp;A7)</f>
        <v xml:space="preserve">    Mexico</v>
      </c>
      <c r="B110" s="1"/>
      <c r="C110" s="67" t="str">
        <f ca="1">IF(OR(C$27="",$A110=""),"",OFFSET(C$59,8*(ROW(B110)-ROW(B$108)),0))</f>
        <v/>
      </c>
      <c r="D110" s="67" t="str">
        <f ca="1">IF(OR(D$27="",$A110=""),"",OFFSET(D$59,8*(ROW(C110)-ROW(C$108)),0))</f>
        <v/>
      </c>
      <c r="E110" s="67" t="str">
        <f ca="1">IF(OR(E$27="",$A110=""),"",OFFSET(E$59,8*(ROW(D110)-ROW(D$108)),0))</f>
        <v/>
      </c>
      <c r="F110" s="67" t="str">
        <f ca="1">IF(OR(F$27="",$A110=""),"",OFFSET(F$59,8*(ROW(E110)-ROW(E$108)),0))</f>
        <v/>
      </c>
      <c r="G110" s="67" t="str">
        <f ca="1">IF(OR(G$27="",$A110=""),"",OFFSET(G$59,8*(ROW(F110)-ROW(F$108)),0))</f>
        <v/>
      </c>
      <c r="H110" s="67" t="str">
        <f ca="1">IF(OR(H$27="",$A110=""),"",OFFSET(H$59,8*(ROW(G110)-ROW(G$108)),0))</f>
        <v/>
      </c>
      <c r="I110" s="67" t="str">
        <f ca="1">IF(OR(I$27="",$A110=""),"",OFFSET(I$59,8*(ROW(H110)-ROW(H$108)),0))</f>
        <v/>
      </c>
      <c r="J110" s="67" t="str">
        <f ca="1">IF(OR(J$27="",$A110=""),"",OFFSET(J$59,8*(ROW(I110)-ROW(I$108)),0))</f>
        <v/>
      </c>
      <c r="K110" s="67" t="str">
        <f ca="1">IF(OR(K$27="",$A110=""),"",OFFSET(K$59,8*(ROW(J110)-ROW(J$108)),0))</f>
        <v/>
      </c>
      <c r="L110" s="67" t="str">
        <f ca="1">IF(OR(L$27="",$A110=""),"",OFFSET(L$59,8*(ROW(K110)-ROW(K$108)),0))</f>
        <v/>
      </c>
      <c r="M110" s="67">
        <f t="shared" ca="1" si="46"/>
        <v>0</v>
      </c>
      <c r="N110" s="65">
        <f>IF(OR($A110=""),"",M76)</f>
        <v>0</v>
      </c>
    </row>
    <row r="111" spans="1:14" x14ac:dyDescent="0.35">
      <c r="A111" t="str">
        <f>IF(A8="","","    "&amp;A8)</f>
        <v xml:space="preserve">    Shared, Reserve</v>
      </c>
      <c r="B111" s="1"/>
      <c r="C111" s="67" t="str">
        <f ca="1">IF(OR(C$27="",$A111=""),"",OFFSET(C$59,8*(ROW(B111)-ROW(B$108)),0))</f>
        <v/>
      </c>
      <c r="D111" s="67" t="str">
        <f ca="1">IF(OR(D$27="",$A111=""),"",OFFSET(D$59,8*(ROW(C111)-ROW(C$108)),0))</f>
        <v/>
      </c>
      <c r="E111" s="67" t="str">
        <f ca="1">IF(OR(E$27="",$A111=""),"",OFFSET(E$59,8*(ROW(D111)-ROW(D$108)),0))</f>
        <v/>
      </c>
      <c r="F111" s="67" t="str">
        <f ca="1">IF(OR(F$27="",$A111=""),"",OFFSET(F$59,8*(ROW(E111)-ROW(E$108)),0))</f>
        <v/>
      </c>
      <c r="G111" s="67" t="str">
        <f ca="1">IF(OR(G$27="",$A111=""),"",OFFSET(G$59,8*(ROW(F111)-ROW(F$108)),0))</f>
        <v/>
      </c>
      <c r="H111" s="67" t="str">
        <f ca="1">IF(OR(H$27="",$A111=""),"",OFFSET(H$59,8*(ROW(G111)-ROW(G$108)),0))</f>
        <v/>
      </c>
      <c r="I111" s="67" t="str">
        <f ca="1">IF(OR(I$27="",$A111=""),"",OFFSET(I$59,8*(ROW(H111)-ROW(H$108)),0))</f>
        <v/>
      </c>
      <c r="J111" s="67" t="str">
        <f ca="1">IF(OR(J$27="",$A111=""),"",OFFSET(J$59,8*(ROW(I111)-ROW(I$108)),0))</f>
        <v/>
      </c>
      <c r="K111" s="67" t="str">
        <f ca="1">IF(OR(K$27="",$A111=""),"",OFFSET(K$59,8*(ROW(J111)-ROW(J$108)),0))</f>
        <v/>
      </c>
      <c r="L111" s="67" t="str">
        <f ca="1">IF(OR(L$27="",$A111=""),"",OFFSET(L$59,8*(ROW(K111)-ROW(K$108)),0))</f>
        <v/>
      </c>
      <c r="M111" s="67">
        <f t="shared" ca="1" si="46"/>
        <v>0</v>
      </c>
      <c r="N111" s="65">
        <f>IF(OR($A111=""),"",M84)</f>
        <v>0</v>
      </c>
    </row>
    <row r="112" spans="1:14" x14ac:dyDescent="0.35">
      <c r="A112" t="str">
        <f>IF(A9="","","    "&amp;A9)</f>
        <v/>
      </c>
      <c r="B112" s="1"/>
      <c r="C112" s="67" t="str">
        <f ca="1">IF(OR(C$27="",$A112=""),"",OFFSET(C$59,8*(ROW(B112)-ROW(B$108)),0))</f>
        <v/>
      </c>
      <c r="D112" s="67" t="str">
        <f ca="1">IF(OR(D$27="",$A112=""),"",OFFSET(D$59,8*(ROW(C112)-ROW(C$108)),0))</f>
        <v/>
      </c>
      <c r="E112" s="67" t="str">
        <f ca="1">IF(OR(E$27="",$A112=""),"",OFFSET(E$59,8*(ROW(D112)-ROW(D$108)),0))</f>
        <v/>
      </c>
      <c r="F112" s="67" t="str">
        <f ca="1">IF(OR(F$27="",$A112=""),"",OFFSET(F$59,8*(ROW(E112)-ROW(E$108)),0))</f>
        <v/>
      </c>
      <c r="G112" s="67" t="str">
        <f ca="1">IF(OR(G$27="",$A112=""),"",OFFSET(G$59,8*(ROW(F112)-ROW(F$108)),0))</f>
        <v/>
      </c>
      <c r="H112" s="67" t="str">
        <f ca="1">IF(OR(H$27="",$A112=""),"",OFFSET(H$59,8*(ROW(G112)-ROW(G$108)),0))</f>
        <v/>
      </c>
      <c r="I112" s="67" t="str">
        <f ca="1">IF(OR(I$27="",$A112=""),"",OFFSET(I$59,8*(ROW(H112)-ROW(H$108)),0))</f>
        <v/>
      </c>
      <c r="J112" s="67" t="str">
        <f ca="1">IF(OR(J$27="",$A112=""),"",OFFSET(J$59,8*(ROW(I112)-ROW(I$108)),0))</f>
        <v/>
      </c>
      <c r="K112" s="67" t="str">
        <f ca="1">IF(OR(K$27="",$A112=""),"",OFFSET(K$59,8*(ROW(J112)-ROW(J$108)),0))</f>
        <v/>
      </c>
      <c r="L112" s="67" t="str">
        <f ca="1">IF(OR(L$27="",$A112=""),"",OFFSET(L$59,8*(ROW(K112)-ROW(K$108)),0))</f>
        <v/>
      </c>
      <c r="M112" s="67" t="str">
        <f t="shared" si="46"/>
        <v/>
      </c>
      <c r="N112" s="65" t="str">
        <f>IF(OR($A112=""),"",M92)</f>
        <v/>
      </c>
    </row>
    <row r="113" spans="1:14" x14ac:dyDescent="0.35">
      <c r="A113" t="str">
        <f>IF(A10="","","    "&amp;A10)</f>
        <v/>
      </c>
      <c r="B113" s="1"/>
      <c r="C113" s="67" t="str">
        <f ca="1">IF(OR(C$27="",$A113=""),"",OFFSET(C$59,8*(ROW(B113)-ROW(B$108)),0))</f>
        <v/>
      </c>
      <c r="D113" s="67" t="str">
        <f ca="1">IF(OR(D$27="",$A113=""),"",OFFSET(D$59,8*(ROW(C113)-ROW(C$108)),0))</f>
        <v/>
      </c>
      <c r="E113" s="67" t="str">
        <f ca="1">IF(OR(E$27="",$A113=""),"",OFFSET(E$59,8*(ROW(D113)-ROW(D$108)),0))</f>
        <v/>
      </c>
      <c r="F113" s="67" t="str">
        <f ca="1">IF(OR(F$27="",$A113=""),"",OFFSET(F$59,8*(ROW(E113)-ROW(E$108)),0))</f>
        <v/>
      </c>
      <c r="G113" s="67" t="str">
        <f ca="1">IF(OR(G$27="",$A113=""),"",OFFSET(G$59,8*(ROW(F113)-ROW(F$108)),0))</f>
        <v/>
      </c>
      <c r="H113" s="67" t="str">
        <f ca="1">IF(OR(H$27="",$A113=""),"",OFFSET(H$59,8*(ROW(G113)-ROW(G$108)),0))</f>
        <v/>
      </c>
      <c r="I113" s="67" t="str">
        <f ca="1">IF(OR(I$27="",$A113=""),"",OFFSET(I$59,8*(ROW(H113)-ROW(H$108)),0))</f>
        <v/>
      </c>
      <c r="J113" s="67" t="str">
        <f ca="1">IF(OR(J$27="",$A113=""),"",OFFSET(J$59,8*(ROW(I113)-ROW(I$108)),0))</f>
        <v/>
      </c>
      <c r="K113" s="67" t="str">
        <f ca="1">IF(OR(K$27="",$A113=""),"",OFFSET(K$59,8*(ROW(J113)-ROW(J$108)),0))</f>
        <v/>
      </c>
      <c r="L113" s="67" t="str">
        <f ca="1">IF(OR(L$27="",$A113=""),"",OFFSET(L$59,8*(ROW(K113)-ROW(K$108)),0))</f>
        <v/>
      </c>
      <c r="M113" s="67" t="str">
        <f t="shared" si="46"/>
        <v/>
      </c>
      <c r="N113" s="65" t="str">
        <f>IF(OR($A113=""),"",M100)</f>
        <v/>
      </c>
    </row>
    <row r="114" spans="1:14" x14ac:dyDescent="0.35">
      <c r="A114" t="s">
        <v>145</v>
      </c>
      <c r="B114" s="1"/>
      <c r="C114" s="51" t="str">
        <f>IF(C$27&lt;&gt;"",SUM(C108:C113),"")</f>
        <v/>
      </c>
      <c r="D114" s="51" t="str">
        <f t="shared" ref="D114:L114" si="47">IF(D$27&lt;&gt;"",SUM(D108:D113),"")</f>
        <v/>
      </c>
      <c r="E114" s="115" t="str">
        <f t="shared" si="47"/>
        <v/>
      </c>
      <c r="F114" s="51" t="str">
        <f t="shared" si="47"/>
        <v/>
      </c>
      <c r="G114" s="51" t="str">
        <f t="shared" si="47"/>
        <v/>
      </c>
      <c r="H114" s="51" t="str">
        <f t="shared" si="47"/>
        <v/>
      </c>
      <c r="I114" s="51" t="str">
        <f t="shared" si="47"/>
        <v/>
      </c>
      <c r="J114" s="51" t="str">
        <f t="shared" si="47"/>
        <v/>
      </c>
      <c r="K114" s="51" t="str">
        <f t="shared" si="47"/>
        <v/>
      </c>
      <c r="L114" s="51" t="str">
        <f t="shared" si="47"/>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ca="1">IF(OR(C$27="",$A116=""),"",OFFSET(C$63,8*(ROW(B116)-ROW(B$116)),0))</f>
        <v/>
      </c>
      <c r="D116" s="67" t="str">
        <f ca="1">IF(OR(D$27="",$A116=""),"",OFFSET(D$63,8*(ROW(C116)-ROW(C$116)),0))</f>
        <v/>
      </c>
      <c r="E116" s="67" t="str">
        <f ca="1">IF(OR(E$27="",$A116=""),"",OFFSET(E$63,8*(ROW(D116)-ROW(D$116)),0))</f>
        <v/>
      </c>
      <c r="F116" s="67" t="str">
        <f ca="1">IF(OR(F$27="",$A116=""),"",OFFSET(F$63,8*(ROW(E116)-ROW(E$116)),0))</f>
        <v/>
      </c>
      <c r="G116" s="67" t="str">
        <f ca="1">IF(OR(G$27="",$A116=""),"",OFFSET(G$63,8*(ROW(F116)-ROW(F$116)),0))</f>
        <v/>
      </c>
      <c r="H116" s="67" t="str">
        <f ca="1">IF(OR(H$27="",$A116=""),"",OFFSET(H$63,8*(ROW(G116)-ROW(G$116)),0))</f>
        <v/>
      </c>
      <c r="I116" s="67" t="str">
        <f ca="1">IF(OR(I$27="",$A116=""),"",OFFSET(I$63,8*(ROW(H116)-ROW(H$116)),0))</f>
        <v/>
      </c>
      <c r="J116" s="67" t="str">
        <f ca="1">IF(OR(J$27="",$A116=""),"",OFFSET(J$63,8*(ROW(I116)-ROW(I$116)),0))</f>
        <v/>
      </c>
      <c r="K116" s="67" t="str">
        <f ca="1">IF(OR(K$27="",$A116=""),"",OFFSET(K$63,8*(ROW(J116)-ROW(J$116)),0))</f>
        <v/>
      </c>
      <c r="L116" s="67" t="str">
        <f ca="1">IF(OR(L$27="",$A116=""),"",OFFSET(L$63,8*(ROW(K116)-ROW(K$116)),0))</f>
        <v/>
      </c>
    </row>
    <row r="117" spans="1:14" x14ac:dyDescent="0.35">
      <c r="A117" t="str">
        <f>IF(A6="","","    "&amp;A6&amp;" - Release from Mead")</f>
        <v xml:space="preserve">    Lower Basin - Release from Mead</v>
      </c>
      <c r="C117" s="67" t="str">
        <f ca="1">IF(OR(C$27="",$A117=""),"",OFFSET(C$63,8*(ROW(B117)-ROW(B$116)),0))</f>
        <v/>
      </c>
      <c r="D117" s="67" t="str">
        <f ca="1">IF(OR(D$27="",$A117=""),"",OFFSET(D$63,8*(ROW(C117)-ROW(C$116)),0))</f>
        <v/>
      </c>
      <c r="E117" s="67" t="str">
        <f ca="1">IF(OR(E$27="",$A117=""),"",OFFSET(E$63,8*(ROW(D117)-ROW(D$116)),0))</f>
        <v/>
      </c>
      <c r="F117" s="67" t="str">
        <f ca="1">IF(OR(F$27="",$A117=""),"",OFFSET(F$63,8*(ROW(E117)-ROW(E$116)),0))</f>
        <v/>
      </c>
      <c r="G117" s="67" t="str">
        <f ca="1">IF(OR(G$27="",$A117=""),"",OFFSET(G$63,8*(ROW(F117)-ROW(F$116)),0))</f>
        <v/>
      </c>
      <c r="H117" s="67" t="str">
        <f ca="1">IF(OR(H$27="",$A117=""),"",OFFSET(H$63,8*(ROW(G117)-ROW(G$116)),0))</f>
        <v/>
      </c>
      <c r="I117" s="67" t="str">
        <f ca="1">IF(OR(I$27="",$A117=""),"",OFFSET(I$63,8*(ROW(H117)-ROW(H$116)),0))</f>
        <v/>
      </c>
      <c r="J117" s="67" t="str">
        <f ca="1">IF(OR(J$27="",$A117=""),"",OFFSET(J$63,8*(ROW(I117)-ROW(I$116)),0))</f>
        <v/>
      </c>
      <c r="K117" s="67" t="str">
        <f ca="1">IF(OR(K$27="",$A117=""),"",OFFSET(K$63,8*(ROW(J117)-ROW(J$116)),0))</f>
        <v/>
      </c>
      <c r="L117" s="67" t="str">
        <f ca="1">IF(OR(L$27="",$A117=""),"",OFFSET(L$63,8*(ROW(K117)-ROW(K$116)),0))</f>
        <v/>
      </c>
    </row>
    <row r="118" spans="1:14" x14ac:dyDescent="0.35">
      <c r="A118" t="str">
        <f>IF(A7="","","    "&amp;A7&amp;" - Release from Mead")</f>
        <v xml:space="preserve">    Mexico - Release from Mead</v>
      </c>
      <c r="C118" s="67" t="str">
        <f ca="1">IF(OR(C$27="",$A118=""),"",OFFSET(C$63,8*(ROW(B118)-ROW(B$116)),0))</f>
        <v/>
      </c>
      <c r="D118" s="67" t="str">
        <f ca="1">IF(OR(D$27="",$A118=""),"",OFFSET(D$63,8*(ROW(C118)-ROW(C$116)),0))</f>
        <v/>
      </c>
      <c r="E118" s="67" t="str">
        <f ca="1">IF(OR(E$27="",$A118=""),"",OFFSET(E$63,8*(ROW(D118)-ROW(D$116)),0))</f>
        <v/>
      </c>
      <c r="F118" s="67" t="str">
        <f ca="1">IF(OR(F$27="",$A118=""),"",OFFSET(F$63,8*(ROW(E118)-ROW(E$116)),0))</f>
        <v/>
      </c>
      <c r="G118" s="67" t="str">
        <f ca="1">IF(OR(G$27="",$A118=""),"",OFFSET(G$63,8*(ROW(F118)-ROW(F$116)),0))</f>
        <v/>
      </c>
      <c r="H118" s="67" t="str">
        <f ca="1">IF(OR(H$27="",$A118=""),"",OFFSET(H$63,8*(ROW(G118)-ROW(G$116)),0))</f>
        <v/>
      </c>
      <c r="I118" s="67" t="str">
        <f ca="1">IF(OR(I$27="",$A118=""),"",OFFSET(I$63,8*(ROW(H118)-ROW(H$116)),0))</f>
        <v/>
      </c>
      <c r="J118" s="67" t="str">
        <f ca="1">IF(OR(J$27="",$A118=""),"",OFFSET(J$63,8*(ROW(I118)-ROW(I$116)),0))</f>
        <v/>
      </c>
      <c r="K118" s="67" t="str">
        <f ca="1">IF(OR(K$27="",$A118=""),"",OFFSET(K$63,8*(ROW(J118)-ROW(J$116)),0))</f>
        <v/>
      </c>
      <c r="L118" s="67" t="str">
        <f ca="1">IF(OR(L$27="",$A118=""),"",OFFSET(L$63,8*(ROW(K118)-ROW(K$116)),0))</f>
        <v/>
      </c>
    </row>
    <row r="119" spans="1:14" x14ac:dyDescent="0.35">
      <c r="A119" t="str">
        <f>IF(A8="","","    "&amp;A8&amp;" - Release from Mead")</f>
        <v xml:space="preserve">    Shared, Reserve - Release from Mead</v>
      </c>
      <c r="C119" s="67" t="str">
        <f ca="1">IF(OR(C$27="",$A119=""),"",OFFSET(C$63,8*(ROW(B119)-ROW(B$116)),0))</f>
        <v/>
      </c>
      <c r="D119" s="67" t="str">
        <f ca="1">IF(OR(D$27="",$A119=""),"",OFFSET(D$63,8*(ROW(C119)-ROW(C$116)),0))</f>
        <v/>
      </c>
      <c r="E119" s="67" t="str">
        <f ca="1">IF(OR(E$27="",$A119=""),"",OFFSET(E$63,8*(ROW(D119)-ROW(D$116)),0))</f>
        <v/>
      </c>
      <c r="F119" s="67" t="str">
        <f ca="1">IF(OR(F$27="",$A119=""),"",OFFSET(F$63,8*(ROW(E119)-ROW(E$116)),0))</f>
        <v/>
      </c>
      <c r="G119" s="67" t="str">
        <f ca="1">IF(OR(G$27="",$A119=""),"",OFFSET(G$63,8*(ROW(F119)-ROW(F$116)),0))</f>
        <v/>
      </c>
      <c r="H119" s="67" t="str">
        <f ca="1">IF(OR(H$27="",$A119=""),"",OFFSET(H$63,8*(ROW(G119)-ROW(G$116)),0))</f>
        <v/>
      </c>
      <c r="I119" s="67" t="str">
        <f ca="1">IF(OR(I$27="",$A119=""),"",OFFSET(I$63,8*(ROW(H119)-ROW(H$116)),0))</f>
        <v/>
      </c>
      <c r="J119" s="67" t="str">
        <f ca="1">IF(OR(J$27="",$A119=""),"",OFFSET(J$63,8*(ROW(I119)-ROW(I$116)),0))</f>
        <v/>
      </c>
      <c r="K119" s="67" t="str">
        <f ca="1">IF(OR(K$27="",$A119=""),"",OFFSET(K$63,8*(ROW(J119)-ROW(J$116)),0))</f>
        <v/>
      </c>
      <c r="L119" s="67" t="str">
        <f ca="1">IF(OR(L$27="",$A119=""),"",OFFSET(L$63,8*(ROW(K119)-ROW(K$116)),0))</f>
        <v/>
      </c>
    </row>
    <row r="120" spans="1:14" x14ac:dyDescent="0.35">
      <c r="A120" t="str">
        <f>IF(A9="","","    "&amp;A9&amp;" - Release from Mead")</f>
        <v/>
      </c>
      <c r="C120" s="67" t="str">
        <f ca="1">IF(OR(C$27="",$A120=""),"",OFFSET(C$63,8*(ROW(B120)-ROW(B$116)),0))</f>
        <v/>
      </c>
      <c r="D120" s="67" t="str">
        <f ca="1">IF(OR(D$27="",$A120=""),"",OFFSET(D$63,8*(ROW(C120)-ROW(C$116)),0))</f>
        <v/>
      </c>
      <c r="E120" s="67" t="str">
        <f ca="1">IF(OR(E$27="",$A120=""),"",OFFSET(E$63,8*(ROW(D120)-ROW(D$116)),0))</f>
        <v/>
      </c>
      <c r="F120" s="67" t="str">
        <f ca="1">IF(OR(F$27="",$A120=""),"",OFFSET(F$63,8*(ROW(E120)-ROW(E$116)),0))</f>
        <v/>
      </c>
      <c r="G120" s="67" t="str">
        <f ca="1">IF(OR(G$27="",$A120=""),"",OFFSET(G$63,8*(ROW(F120)-ROW(F$116)),0))</f>
        <v/>
      </c>
      <c r="H120" s="67" t="str">
        <f ca="1">IF(OR(H$27="",$A120=""),"",OFFSET(H$63,8*(ROW(G120)-ROW(G$116)),0))</f>
        <v/>
      </c>
      <c r="I120" s="67" t="str">
        <f ca="1">IF(OR(I$27="",$A120=""),"",OFFSET(I$63,8*(ROW(H120)-ROW(H$116)),0))</f>
        <v/>
      </c>
      <c r="J120" s="67" t="str">
        <f ca="1">IF(OR(J$27="",$A120=""),"",OFFSET(J$63,8*(ROW(I120)-ROW(I$116)),0))</f>
        <v/>
      </c>
      <c r="K120" s="67" t="str">
        <f ca="1">IF(OR(K$27="",$A120=""),"",OFFSET(K$63,8*(ROW(J120)-ROW(J$116)),0))</f>
        <v/>
      </c>
      <c r="L120" s="67" t="str">
        <f ca="1">IF(OR(L$27="",$A120=""),"",OFFSET(L$63,8*(ROW(K120)-ROW(K$116)),0))</f>
        <v/>
      </c>
    </row>
    <row r="121" spans="1:14" x14ac:dyDescent="0.35">
      <c r="A121" t="str">
        <f>IF(A10="","","    "&amp;A10&amp;" - Release from Mead")</f>
        <v/>
      </c>
      <c r="C121" s="67" t="str">
        <f ca="1">IF(OR(C$27="",$A121=""),"",OFFSET(C$63,8*(ROW(B121)-ROW(B$116)),0))</f>
        <v/>
      </c>
      <c r="D121" s="67" t="str">
        <f ca="1">IF(OR(D$27="",$A121=""),"",OFFSET(D$63,8*(ROW(C121)-ROW(C$116)),0))</f>
        <v/>
      </c>
      <c r="E121" s="67" t="str">
        <f ca="1">IF(OR(E$27="",$A121=""),"",OFFSET(E$63,8*(ROW(D121)-ROW(D$116)),0))</f>
        <v/>
      </c>
      <c r="F121" s="67" t="str">
        <f ca="1">IF(OR(F$27="",$A121=""),"",OFFSET(F$63,8*(ROW(E121)-ROW(E$116)),0))</f>
        <v/>
      </c>
      <c r="G121" s="67" t="str">
        <f ca="1">IF(OR(G$27="",$A121=""),"",OFFSET(G$63,8*(ROW(F121)-ROW(F$116)),0))</f>
        <v/>
      </c>
      <c r="H121" s="67" t="str">
        <f ca="1">IF(OR(H$27="",$A121=""),"",OFFSET(H$63,8*(ROW(G121)-ROW(G$116)),0))</f>
        <v/>
      </c>
      <c r="I121" s="67" t="str">
        <f ca="1">IF(OR(I$27="",$A121=""),"",OFFSET(I$63,8*(ROW(H121)-ROW(H$116)),0))</f>
        <v/>
      </c>
      <c r="J121" s="67" t="str">
        <f ca="1">IF(OR(J$27="",$A121=""),"",OFFSET(J$63,8*(ROW(I121)-ROW(I$116)),0))</f>
        <v/>
      </c>
      <c r="K121" s="67" t="str">
        <f ca="1">IF(OR(K$27="",$A121=""),"",OFFSET(K$63,8*(ROW(J121)-ROW(J$116)),0))</f>
        <v/>
      </c>
      <c r="L121" s="67" t="str">
        <f ca="1">IF(OR(L$27="",$A121=""),"",OFFSET(L$63,8*(ROW(K121)-ROW(K$116)),0))</f>
        <v/>
      </c>
    </row>
    <row r="122" spans="1:14" x14ac:dyDescent="0.35">
      <c r="A122" s="1" t="s">
        <v>138</v>
      </c>
      <c r="B122" s="1"/>
      <c r="D122" s="2"/>
      <c r="E122" s="2"/>
      <c r="F122" s="2"/>
      <c r="G122" s="2"/>
      <c r="H122" s="2"/>
      <c r="I122" s="2"/>
      <c r="J122" s="2"/>
      <c r="K122" s="2"/>
      <c r="L122" s="2"/>
    </row>
    <row r="123" spans="1:14" x14ac:dyDescent="0.35">
      <c r="A123" t="str">
        <f>IF(A5="","","    "&amp;A5)</f>
        <v xml:space="preserve">    Upper Basin</v>
      </c>
      <c r="C123" s="67" t="str">
        <f ca="1">IF(OR(C$27="",$A123=""),"",OFFSET(C$64,8*(ROW(B123)-ROW(B$123)),0))</f>
        <v/>
      </c>
      <c r="D123" s="67" t="str">
        <f ca="1">IF(OR(D$27="",$A123=""),"",OFFSET(D$64,8*(ROW(C123)-ROW(C$123)),0))</f>
        <v/>
      </c>
      <c r="E123" s="67" t="str">
        <f ca="1">IF(OR(E$27="",$A123=""),"",OFFSET(E$64,8*(ROW(D123)-ROW(D$123)),0))</f>
        <v/>
      </c>
      <c r="F123" s="67" t="str">
        <f ca="1">IF(OR(F$27="",$A123=""),"",OFFSET(F$64,8*(ROW(E123)-ROW(E$123)),0))</f>
        <v/>
      </c>
      <c r="G123" s="67" t="str">
        <f ca="1">IF(OR(G$27="",$A123=""),"",OFFSET(G$64,8*(ROW(F123)-ROW(F$123)),0))</f>
        <v/>
      </c>
      <c r="H123" s="67" t="str">
        <f ca="1">IF(OR(H$27="",$A123=""),"",OFFSET(H$64,8*(ROW(G123)-ROW(G$123)),0))</f>
        <v/>
      </c>
      <c r="I123" s="67" t="str">
        <f ca="1">IF(OR(I$27="",$A123=""),"",OFFSET(I$64,8*(ROW(H123)-ROW(H$123)),0))</f>
        <v/>
      </c>
      <c r="J123" s="67" t="str">
        <f ca="1">IF(OR(J$27="",$A123=""),"",OFFSET(J$64,8*(ROW(I123)-ROW(I$123)),0))</f>
        <v/>
      </c>
      <c r="K123" s="67" t="str">
        <f ca="1">IF(OR(K$27="",$A123=""),"",OFFSET(K$64,8*(ROW(J123)-ROW(J$123)),0))</f>
        <v/>
      </c>
      <c r="L123" s="67" t="str">
        <f ca="1">IF(OR(L$27="",$A123=""),"",OFFSET(L$64,8*(ROW(K123)-ROW(K$123)),0))</f>
        <v/>
      </c>
    </row>
    <row r="124" spans="1:14" x14ac:dyDescent="0.35">
      <c r="A124" t="str">
        <f>IF(A6="","","    "&amp;A6)</f>
        <v xml:space="preserve">    Lower Basin</v>
      </c>
      <c r="C124" s="67" t="str">
        <f ca="1">IF(OR(C$27="",$A124=""),"",OFFSET(C$64,8*(ROW(B124)-ROW(B$123)),0))</f>
        <v/>
      </c>
      <c r="D124" s="67" t="str">
        <f ca="1">IF(OR(D$27="",$A124=""),"",OFFSET(D$64,8*(ROW(C124)-ROW(C$123)),0))</f>
        <v/>
      </c>
      <c r="E124" s="67" t="str">
        <f ca="1">IF(OR(E$27="",$A124=""),"",OFFSET(E$64,8*(ROW(D124)-ROW(D$123)),0))</f>
        <v/>
      </c>
      <c r="F124" s="67" t="str">
        <f ca="1">IF(OR(F$27="",$A124=""),"",OFFSET(F$64,8*(ROW(E124)-ROW(E$123)),0))</f>
        <v/>
      </c>
      <c r="G124" s="67" t="str">
        <f ca="1">IF(OR(G$27="",$A124=""),"",OFFSET(G$64,8*(ROW(F124)-ROW(F$123)),0))</f>
        <v/>
      </c>
      <c r="H124" s="67" t="str">
        <f ca="1">IF(OR(H$27="",$A124=""),"",OFFSET(H$64,8*(ROW(G124)-ROW(G$123)),0))</f>
        <v/>
      </c>
      <c r="I124" s="67" t="str">
        <f ca="1">IF(OR(I$27="",$A124=""),"",OFFSET(I$64,8*(ROW(H124)-ROW(H$123)),0))</f>
        <v/>
      </c>
      <c r="J124" s="67" t="str">
        <f ca="1">IF(OR(J$27="",$A124=""),"",OFFSET(J$64,8*(ROW(I124)-ROW(I$123)),0))</f>
        <v/>
      </c>
      <c r="K124" s="67" t="str">
        <f ca="1">IF(OR(K$27="",$A124=""),"",OFFSET(K$64,8*(ROW(J124)-ROW(J$123)),0))</f>
        <v/>
      </c>
      <c r="L124" s="67" t="str">
        <f ca="1">IF(OR(L$27="",$A124=""),"",OFFSET(L$64,8*(ROW(K124)-ROW(K$123)),0))</f>
        <v/>
      </c>
    </row>
    <row r="125" spans="1:14" x14ac:dyDescent="0.35">
      <c r="A125" t="str">
        <f>IF(A7="","","    "&amp;A7)</f>
        <v xml:space="preserve">    Mexico</v>
      </c>
      <c r="C125" s="67" t="str">
        <f ca="1">IF(OR(C$27="",$A125=""),"",OFFSET(C$64,8*(ROW(B125)-ROW(B$123)),0))</f>
        <v/>
      </c>
      <c r="D125" s="67" t="str">
        <f ca="1">IF(OR(D$27="",$A125=""),"",OFFSET(D$64,8*(ROW(C125)-ROW(C$123)),0))</f>
        <v/>
      </c>
      <c r="E125" s="67" t="str">
        <f ca="1">IF(OR(E$27="",$A125=""),"",OFFSET(E$64,8*(ROW(D125)-ROW(D$123)),0))</f>
        <v/>
      </c>
      <c r="F125" s="67" t="str">
        <f ca="1">IF(OR(F$27="",$A125=""),"",OFFSET(F$64,8*(ROW(E125)-ROW(E$123)),0))</f>
        <v/>
      </c>
      <c r="G125" s="67" t="str">
        <f ca="1">IF(OR(G$27="",$A125=""),"",OFFSET(G$64,8*(ROW(F125)-ROW(F$123)),0))</f>
        <v/>
      </c>
      <c r="H125" s="67" t="str">
        <f ca="1">IF(OR(H$27="",$A125=""),"",OFFSET(H$64,8*(ROW(G125)-ROW(G$123)),0))</f>
        <v/>
      </c>
      <c r="I125" s="67" t="str">
        <f ca="1">IF(OR(I$27="",$A125=""),"",OFFSET(I$64,8*(ROW(H125)-ROW(H$123)),0))</f>
        <v/>
      </c>
      <c r="J125" s="67" t="str">
        <f ca="1">IF(OR(J$27="",$A125=""),"",OFFSET(J$64,8*(ROW(I125)-ROW(I$123)),0))</f>
        <v/>
      </c>
      <c r="K125" s="67" t="str">
        <f ca="1">IF(OR(K$27="",$A125=""),"",OFFSET(K$64,8*(ROW(J125)-ROW(J$123)),0))</f>
        <v/>
      </c>
      <c r="L125" s="67" t="str">
        <f ca="1">IF(OR(L$27="",$A125=""),"",OFFSET(L$64,8*(ROW(K125)-ROW(K$123)),0))</f>
        <v/>
      </c>
    </row>
    <row r="126" spans="1:14" x14ac:dyDescent="0.35">
      <c r="A126" t="str">
        <f>IF(A8="","","    "&amp;A8)</f>
        <v xml:space="preserve">    Shared, Reserve</v>
      </c>
      <c r="C126" s="67" t="str">
        <f ca="1">IF(OR(C$27="",$A126=""),"",OFFSET(C$64,8*(ROW(B126)-ROW(B$123)),0))</f>
        <v/>
      </c>
      <c r="D126" s="67" t="str">
        <f ca="1">IF(OR(D$27="",$A126=""),"",OFFSET(D$64,8*(ROW(C126)-ROW(C$123)),0))</f>
        <v/>
      </c>
      <c r="E126" s="67" t="str">
        <f ca="1">IF(OR(E$27="",$A126=""),"",OFFSET(E$64,8*(ROW(D126)-ROW(D$123)),0))</f>
        <v/>
      </c>
      <c r="F126" s="67" t="str">
        <f ca="1">IF(OR(F$27="",$A126=""),"",OFFSET(F$64,8*(ROW(E126)-ROW(E$123)),0))</f>
        <v/>
      </c>
      <c r="G126" s="67" t="str">
        <f ca="1">IF(OR(G$27="",$A126=""),"",OFFSET(G$64,8*(ROW(F126)-ROW(F$123)),0))</f>
        <v/>
      </c>
      <c r="H126" s="67" t="str">
        <f ca="1">IF(OR(H$27="",$A126=""),"",OFFSET(H$64,8*(ROW(G126)-ROW(G$123)),0))</f>
        <v/>
      </c>
      <c r="I126" s="67" t="str">
        <f ca="1">IF(OR(I$27="",$A126=""),"",OFFSET(I$64,8*(ROW(H126)-ROW(H$123)),0))</f>
        <v/>
      </c>
      <c r="J126" s="67" t="str">
        <f ca="1">IF(OR(J$27="",$A126=""),"",OFFSET(J$64,8*(ROW(I126)-ROW(I$123)),0))</f>
        <v/>
      </c>
      <c r="K126" s="67" t="str">
        <f ca="1">IF(OR(K$27="",$A126=""),"",OFFSET(K$64,8*(ROW(J126)-ROW(J$123)),0))</f>
        <v/>
      </c>
      <c r="L126" s="67" t="str">
        <f ca="1">IF(OR(L$27="",$A126=""),"",OFFSET(L$64,8*(ROW(K126)-ROW(K$123)),0))</f>
        <v/>
      </c>
    </row>
    <row r="127" spans="1:14" x14ac:dyDescent="0.35">
      <c r="A127" t="str">
        <f>IF(A9="","","    "&amp;A9)</f>
        <v/>
      </c>
      <c r="C127" s="67" t="str">
        <f ca="1">IF(OR(C$27="",$A127=""),"",OFFSET(C$64,8*(ROW(B127)-ROW(B$123)),0))</f>
        <v/>
      </c>
      <c r="D127" s="67" t="str">
        <f ca="1">IF(OR(D$27="",$A127=""),"",OFFSET(D$64,8*(ROW(C127)-ROW(C$123)),0))</f>
        <v/>
      </c>
      <c r="E127" s="67" t="str">
        <f ca="1">IF(OR(E$27="",$A127=""),"",OFFSET(E$64,8*(ROW(D127)-ROW(D$123)),0))</f>
        <v/>
      </c>
      <c r="F127" s="67" t="str">
        <f ca="1">IF(OR(F$27="",$A127=""),"",OFFSET(F$64,8*(ROW(E127)-ROW(E$123)),0))</f>
        <v/>
      </c>
      <c r="G127" s="67" t="str">
        <f ca="1">IF(OR(G$27="",$A127=""),"",OFFSET(G$64,8*(ROW(F127)-ROW(F$123)),0))</f>
        <v/>
      </c>
      <c r="H127" s="67" t="str">
        <f ca="1">IF(OR(H$27="",$A127=""),"",OFFSET(H$64,8*(ROW(G127)-ROW(G$123)),0))</f>
        <v/>
      </c>
      <c r="I127" s="67" t="str">
        <f ca="1">IF(OR(I$27="",$A127=""),"",OFFSET(I$64,8*(ROW(H127)-ROW(H$123)),0))</f>
        <v/>
      </c>
      <c r="J127" s="67" t="str">
        <f ca="1">IF(OR(J$27="",$A127=""),"",OFFSET(J$64,8*(ROW(I127)-ROW(I$123)),0))</f>
        <v/>
      </c>
      <c r="K127" s="67" t="str">
        <f ca="1">IF(OR(K$27="",$A127=""),"",OFFSET(K$64,8*(ROW(J127)-ROW(J$123)),0))</f>
        <v/>
      </c>
      <c r="L127" s="67" t="str">
        <f ca="1">IF(OR(L$27="",$A127=""),"",OFFSET(L$64,8*(ROW(K127)-ROW(K$123)),0))</f>
        <v/>
      </c>
    </row>
    <row r="128" spans="1:14" x14ac:dyDescent="0.35">
      <c r="A128" t="str">
        <f>IF(A10="","","    "&amp;A10)</f>
        <v/>
      </c>
      <c r="C128" s="67" t="str">
        <f ca="1">IF(OR(C$27="",$A128=""),"",OFFSET(C$64,8*(ROW(B128)-ROW(B$123)),0))</f>
        <v/>
      </c>
      <c r="D128" s="67" t="str">
        <f ca="1">IF(OR(D$27="",$A128=""),"",OFFSET(D$64,8*(ROW(C128)-ROW(C$123)),0))</f>
        <v/>
      </c>
      <c r="E128" s="67" t="str">
        <f ca="1">IF(OR(E$27="",$A128=""),"",OFFSET(E$64,8*(ROW(D128)-ROW(D$123)),0))</f>
        <v/>
      </c>
      <c r="F128" s="67" t="str">
        <f ca="1">IF(OR(F$27="",$A128=""),"",OFFSET(F$64,8*(ROW(E128)-ROW(E$123)),0))</f>
        <v/>
      </c>
      <c r="G128" s="67" t="str">
        <f ca="1">IF(OR(G$27="",$A128=""),"",OFFSET(G$64,8*(ROW(F128)-ROW(F$123)),0))</f>
        <v/>
      </c>
      <c r="H128" s="67" t="str">
        <f ca="1">IF(OR(H$27="",$A128=""),"",OFFSET(H$64,8*(ROW(G128)-ROW(G$123)),0))</f>
        <v/>
      </c>
      <c r="I128" s="67" t="str">
        <f ca="1">IF(OR(I$27="",$A128=""),"",OFFSET(I$64,8*(ROW(H128)-ROW(H$123)),0))</f>
        <v/>
      </c>
      <c r="J128" s="67" t="str">
        <f ca="1">IF(OR(J$27="",$A128=""),"",OFFSET(J$64,8*(ROW(I128)-ROW(I$123)),0))</f>
        <v/>
      </c>
      <c r="K128" s="67" t="str">
        <f ca="1">IF(OR(K$27="",$A128=""),"",OFFSET(K$64,8*(ROW(J128)-ROW(J$123)),0))</f>
        <v/>
      </c>
      <c r="L128" s="67" t="str">
        <f ca="1">IF(OR(L$27="",$A128=""),"",OFFSET(L$64,8*(ROW(K128)-ROW(K$123)),0))</f>
        <v/>
      </c>
    </row>
    <row r="129" spans="1:14" x14ac:dyDescent="0.35">
      <c r="A129" s="1" t="s">
        <v>122</v>
      </c>
      <c r="B129" s="1"/>
      <c r="C129" s="14" t="str">
        <f>IF(C$27&lt;&gt;"",SUM(C123:C128),"")</f>
        <v/>
      </c>
      <c r="D129" s="14" t="str">
        <f t="shared" ref="D129:L129" si="48">IF(D$27&lt;&gt;"",SUM(D123:D128),"")</f>
        <v/>
      </c>
      <c r="E129" s="14" t="str">
        <f t="shared" si="48"/>
        <v/>
      </c>
      <c r="F129" s="14" t="str">
        <f t="shared" si="48"/>
        <v/>
      </c>
      <c r="G129" s="14" t="str">
        <f t="shared" si="48"/>
        <v/>
      </c>
      <c r="H129" s="14" t="str">
        <f t="shared" si="48"/>
        <v/>
      </c>
      <c r="I129" s="14" t="str">
        <f t="shared" si="48"/>
        <v/>
      </c>
      <c r="J129" s="14" t="str">
        <f t="shared" si="48"/>
        <v/>
      </c>
      <c r="K129" s="14" t="str">
        <f t="shared" si="48"/>
        <v/>
      </c>
      <c r="L129" s="14" t="str">
        <f t="shared" si="48"/>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49">IF(D27="","",D$130*D$129)</f>
        <v/>
      </c>
      <c r="E131" s="14" t="str">
        <f t="shared" si="49"/>
        <v/>
      </c>
      <c r="F131" s="14" t="str">
        <f t="shared" si="49"/>
        <v/>
      </c>
      <c r="G131" s="14" t="str">
        <f t="shared" si="49"/>
        <v/>
      </c>
      <c r="H131" s="14" t="str">
        <f t="shared" si="49"/>
        <v/>
      </c>
      <c r="I131" s="14" t="str">
        <f t="shared" si="49"/>
        <v/>
      </c>
      <c r="J131" s="14" t="str">
        <f t="shared" si="49"/>
        <v/>
      </c>
      <c r="K131" s="14" t="str">
        <f t="shared" si="49"/>
        <v/>
      </c>
      <c r="L131" s="14" t="str">
        <f t="shared" si="49"/>
        <v/>
      </c>
    </row>
    <row r="132" spans="1:14" x14ac:dyDescent="0.35">
      <c r="A132" s="1" t="s">
        <v>193</v>
      </c>
      <c r="B132" s="1"/>
      <c r="C132" s="14" t="str">
        <f>IF(C28="","",(1-C$130)*C$129)</f>
        <v/>
      </c>
      <c r="D132" s="14" t="str">
        <f t="shared" ref="D132:L132" si="50">IF(D28="","",(1-D$130)*D$129)</f>
        <v/>
      </c>
      <c r="E132" s="14" t="str">
        <f t="shared" si="50"/>
        <v/>
      </c>
      <c r="F132" s="14" t="str">
        <f t="shared" si="50"/>
        <v/>
      </c>
      <c r="G132" s="14" t="str">
        <f t="shared" si="50"/>
        <v/>
      </c>
      <c r="H132" s="14" t="str">
        <f t="shared" si="50"/>
        <v/>
      </c>
      <c r="I132" s="14" t="str">
        <f t="shared" si="50"/>
        <v/>
      </c>
      <c r="J132" s="14" t="str">
        <f t="shared" si="50"/>
        <v/>
      </c>
      <c r="K132" s="14" t="str">
        <f t="shared" si="50"/>
        <v/>
      </c>
      <c r="L132" s="14" t="str">
        <f t="shared" si="50"/>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417" priority="85" operator="greaterThan">
      <formula>$H$62</formula>
    </cfRule>
  </conditionalFormatting>
  <conditionalFormatting sqref="I63">
    <cfRule type="cellIs" dxfId="416" priority="84" operator="greaterThan">
      <formula>$I$62</formula>
    </cfRule>
  </conditionalFormatting>
  <conditionalFormatting sqref="J63">
    <cfRule type="cellIs" dxfId="415" priority="83" operator="greaterThan">
      <formula>$J$62</formula>
    </cfRule>
  </conditionalFormatting>
  <conditionalFormatting sqref="K63">
    <cfRule type="cellIs" dxfId="414" priority="82" operator="greaterThan">
      <formula>$K$62</formula>
    </cfRule>
  </conditionalFormatting>
  <conditionalFormatting sqref="L63">
    <cfRule type="cellIs" dxfId="413" priority="81" operator="greaterThan">
      <formula>$L$62</formula>
    </cfRule>
  </conditionalFormatting>
  <conditionalFormatting sqref="H71">
    <cfRule type="cellIs" dxfId="412" priority="68" operator="greaterThan">
      <formula>$H$70</formula>
    </cfRule>
  </conditionalFormatting>
  <conditionalFormatting sqref="I71">
    <cfRule type="cellIs" dxfId="411" priority="67" operator="greaterThan">
      <formula>$I$70</formula>
    </cfRule>
  </conditionalFormatting>
  <conditionalFormatting sqref="J71">
    <cfRule type="cellIs" dxfId="410" priority="66" operator="greaterThan">
      <formula>$J$70</formula>
    </cfRule>
  </conditionalFormatting>
  <conditionalFormatting sqref="K71">
    <cfRule type="cellIs" dxfId="409" priority="65" operator="greaterThan">
      <formula>$K$70</formula>
    </cfRule>
  </conditionalFormatting>
  <conditionalFormatting sqref="L71">
    <cfRule type="cellIs" dxfId="408" priority="64" operator="greaterThan">
      <formula>$L$70</formula>
    </cfRule>
  </conditionalFormatting>
  <conditionalFormatting sqref="H79">
    <cfRule type="cellIs" dxfId="407" priority="58" operator="greaterThan">
      <formula>$H$78</formula>
    </cfRule>
  </conditionalFormatting>
  <conditionalFormatting sqref="I79">
    <cfRule type="cellIs" dxfId="406" priority="57" operator="greaterThan">
      <formula>$I$78</formula>
    </cfRule>
  </conditionalFormatting>
  <conditionalFormatting sqref="J79">
    <cfRule type="cellIs" dxfId="405" priority="56" operator="greaterThan">
      <formula>$J$78</formula>
    </cfRule>
  </conditionalFormatting>
  <conditionalFormatting sqref="K79">
    <cfRule type="cellIs" dxfId="404" priority="55" operator="greaterThan">
      <formula>$K$78</formula>
    </cfRule>
  </conditionalFormatting>
  <conditionalFormatting sqref="L79">
    <cfRule type="cellIs" dxfId="403" priority="54" operator="greaterThan">
      <formula>$L$78</formula>
    </cfRule>
  </conditionalFormatting>
  <conditionalFormatting sqref="C87:L87">
    <cfRule type="cellIs" dxfId="402" priority="53" operator="greaterThan">
      <formula>$C$86</formula>
    </cfRule>
  </conditionalFormatting>
  <conditionalFormatting sqref="C95">
    <cfRule type="cellIs" dxfId="401" priority="52" operator="greaterThan">
      <formula>$C$94</formula>
    </cfRule>
  </conditionalFormatting>
  <conditionalFormatting sqref="D95">
    <cfRule type="cellIs" dxfId="400" priority="51" operator="greaterThan">
      <formula>$D$94</formula>
    </cfRule>
  </conditionalFormatting>
  <conditionalFormatting sqref="E95">
    <cfRule type="cellIs" dxfId="399" priority="50" operator="greaterThan">
      <formula>$E$94</formula>
    </cfRule>
  </conditionalFormatting>
  <conditionalFormatting sqref="F95">
    <cfRule type="cellIs" dxfId="398" priority="49" operator="greaterThan">
      <formula>$F$94</formula>
    </cfRule>
  </conditionalFormatting>
  <conditionalFormatting sqref="G95">
    <cfRule type="cellIs" dxfId="397" priority="48" operator="greaterThan">
      <formula>$G$94</formula>
    </cfRule>
  </conditionalFormatting>
  <conditionalFormatting sqref="H95">
    <cfRule type="cellIs" dxfId="396" priority="47" operator="greaterThan">
      <formula>$H$94</formula>
    </cfRule>
  </conditionalFormatting>
  <conditionalFormatting sqref="I95">
    <cfRule type="cellIs" dxfId="395" priority="46" operator="greaterThan">
      <formula>$I$94</formula>
    </cfRule>
  </conditionalFormatting>
  <conditionalFormatting sqref="J95">
    <cfRule type="cellIs" dxfId="394" priority="45" operator="greaterThan">
      <formula>$J$94</formula>
    </cfRule>
  </conditionalFormatting>
  <conditionalFormatting sqref="K95">
    <cfRule type="cellIs" dxfId="393" priority="44" operator="greaterThan">
      <formula>$K$94</formula>
    </cfRule>
  </conditionalFormatting>
  <conditionalFormatting sqref="L95">
    <cfRule type="cellIs" dxfId="392" priority="43" operator="greaterThan">
      <formula>$L$94</formula>
    </cfRule>
  </conditionalFormatting>
  <conditionalFormatting sqref="C103">
    <cfRule type="cellIs" dxfId="391" priority="42" operator="greaterThan">
      <formula>$C$102</formula>
    </cfRule>
  </conditionalFormatting>
  <conditionalFormatting sqref="D103">
    <cfRule type="cellIs" dxfId="390" priority="41" operator="greaterThan">
      <formula>$D$102</formula>
    </cfRule>
  </conditionalFormatting>
  <conditionalFormatting sqref="E103">
    <cfRule type="cellIs" dxfId="389" priority="40" operator="greaterThan">
      <formula>$E$102</formula>
    </cfRule>
  </conditionalFormatting>
  <conditionalFormatting sqref="F103">
    <cfRule type="cellIs" dxfId="388" priority="39" operator="greaterThan">
      <formula>$F$102</formula>
    </cfRule>
  </conditionalFormatting>
  <conditionalFormatting sqref="G103">
    <cfRule type="cellIs" dxfId="387" priority="38" operator="greaterThan">
      <formula>$G$102</formula>
    </cfRule>
  </conditionalFormatting>
  <conditionalFormatting sqref="H103">
    <cfRule type="cellIs" dxfId="386" priority="37" operator="greaterThan">
      <formula>$H$102</formula>
    </cfRule>
  </conditionalFormatting>
  <conditionalFormatting sqref="I103">
    <cfRule type="cellIs" dxfId="385" priority="36" operator="greaterThan">
      <formula>$I$102</formula>
    </cfRule>
  </conditionalFormatting>
  <conditionalFormatting sqref="J103">
    <cfRule type="cellIs" dxfId="384" priority="35" operator="greaterThan">
      <formula>$J$102</formula>
    </cfRule>
  </conditionalFormatting>
  <conditionalFormatting sqref="K103">
    <cfRule type="cellIs" dxfId="383" priority="34" operator="greaterThan">
      <formula>$K$102</formula>
    </cfRule>
  </conditionalFormatting>
  <conditionalFormatting sqref="L103">
    <cfRule type="cellIs" dxfId="382" priority="33" operator="greaterThan">
      <formula>$L$102</formula>
    </cfRule>
  </conditionalFormatting>
  <conditionalFormatting sqref="D63">
    <cfRule type="cellIs" dxfId="381" priority="20" operator="greaterThan">
      <formula>$D$62</formula>
    </cfRule>
  </conditionalFormatting>
  <conditionalFormatting sqref="C63">
    <cfRule type="cellIs" dxfId="380" priority="18" operator="greaterThan">
      <formula>$C$62</formula>
    </cfRule>
  </conditionalFormatting>
  <conditionalFormatting sqref="E63">
    <cfRule type="cellIs" dxfId="379" priority="16" operator="greaterThan">
      <formula>$E$62</formula>
    </cfRule>
  </conditionalFormatting>
  <conditionalFormatting sqref="F63">
    <cfRule type="cellIs" dxfId="378" priority="15" operator="greaterThan">
      <formula>$F$62</formula>
    </cfRule>
  </conditionalFormatting>
  <conditionalFormatting sqref="G63">
    <cfRule type="cellIs" dxfId="377" priority="14" operator="greaterThan">
      <formula>$G$62</formula>
    </cfRule>
  </conditionalFormatting>
  <conditionalFormatting sqref="C71">
    <cfRule type="cellIs" dxfId="376" priority="10" operator="greaterThan">
      <formula>$C$70</formula>
    </cfRule>
  </conditionalFormatting>
  <conditionalFormatting sqref="D71">
    <cfRule type="cellIs" dxfId="375" priority="9" operator="greaterThan">
      <formula>$D$70</formula>
    </cfRule>
  </conditionalFormatting>
  <conditionalFormatting sqref="E71">
    <cfRule type="cellIs" dxfId="374" priority="8" operator="greaterThan">
      <formula>$E$70</formula>
    </cfRule>
  </conditionalFormatting>
  <conditionalFormatting sqref="F71">
    <cfRule type="cellIs" dxfId="373" priority="7" operator="greaterThan">
      <formula>$F$70</formula>
    </cfRule>
  </conditionalFormatting>
  <conditionalFormatting sqref="G71">
    <cfRule type="cellIs" dxfId="372" priority="6" operator="greaterThan">
      <formula>$G$70</formula>
    </cfRule>
  </conditionalFormatting>
  <conditionalFormatting sqref="C79">
    <cfRule type="cellIs" dxfId="371" priority="5" operator="greaterThan">
      <formula>$C$78</formula>
    </cfRule>
  </conditionalFormatting>
  <conditionalFormatting sqref="D79">
    <cfRule type="cellIs" dxfId="370" priority="4" operator="greaterThan">
      <formula>$D$78</formula>
    </cfRule>
  </conditionalFormatting>
  <conditionalFormatting sqref="E79">
    <cfRule type="cellIs" dxfId="369" priority="3" operator="greaterThan">
      <formula>$E$78</formula>
    </cfRule>
  </conditionalFormatting>
  <conditionalFormatting sqref="F79">
    <cfRule type="cellIs" dxfId="368" priority="2" operator="greaterThan">
      <formula>$F$78</formula>
    </cfRule>
  </conditionalFormatting>
  <conditionalFormatting sqref="G79">
    <cfRule type="cellIs" dxfId="367"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51"/>
      <c r="I3" s="151"/>
      <c r="J3" s="151"/>
      <c r="K3" s="151"/>
    </row>
    <row r="4" spans="1:13" x14ac:dyDescent="0.35">
      <c r="A4" s="53" t="s">
        <v>38</v>
      </c>
      <c r="B4" s="53" t="s">
        <v>42</v>
      </c>
      <c r="C4" s="174" t="s">
        <v>43</v>
      </c>
      <c r="D4" s="175"/>
      <c r="E4" s="175"/>
      <c r="F4" s="175"/>
      <c r="G4" s="176"/>
      <c r="M4" s="1" t="s">
        <v>307</v>
      </c>
    </row>
    <row r="5" spans="1:13" x14ac:dyDescent="0.35">
      <c r="A5" s="149" t="s">
        <v>39</v>
      </c>
      <c r="B5" s="149" t="str">
        <f>IF(Today!B5="","",Today!B5)</f>
        <v/>
      </c>
      <c r="C5" s="177" t="s">
        <v>317</v>
      </c>
      <c r="D5" s="178"/>
      <c r="E5" s="178"/>
      <c r="F5" s="178"/>
      <c r="G5" s="178"/>
      <c r="M5" t="s">
        <v>308</v>
      </c>
    </row>
    <row r="6" spans="1:13" x14ac:dyDescent="0.35">
      <c r="A6" s="149" t="s">
        <v>40</v>
      </c>
      <c r="B6" s="149" t="str">
        <f>IF(Today!B6="","",Today!B6)</f>
        <v/>
      </c>
      <c r="C6" s="177" t="s">
        <v>317</v>
      </c>
      <c r="D6" s="178"/>
      <c r="E6" s="178"/>
      <c r="F6" s="178"/>
      <c r="G6" s="178"/>
      <c r="M6" t="s">
        <v>313</v>
      </c>
    </row>
    <row r="7" spans="1:13" x14ac:dyDescent="0.35">
      <c r="A7" s="149" t="s">
        <v>41</v>
      </c>
      <c r="B7" s="149" t="str">
        <f>IF(Today!B7="","",Today!B7)</f>
        <v/>
      </c>
      <c r="C7" s="177" t="s">
        <v>317</v>
      </c>
      <c r="D7" s="178"/>
      <c r="E7" s="178"/>
      <c r="F7" s="178"/>
      <c r="G7" s="178"/>
      <c r="M7" t="s">
        <v>314</v>
      </c>
    </row>
    <row r="8" spans="1:13" x14ac:dyDescent="0.35">
      <c r="A8" s="150" t="s">
        <v>156</v>
      </c>
      <c r="B8" s="150" t="str">
        <f>IF(Today!B8="","",Today!B8)</f>
        <v/>
      </c>
      <c r="C8" s="172" t="s">
        <v>309</v>
      </c>
      <c r="D8" s="172"/>
      <c r="E8" s="172"/>
      <c r="F8" s="172"/>
      <c r="G8" s="172"/>
    </row>
    <row r="9" spans="1:13" x14ac:dyDescent="0.35">
      <c r="A9" s="149" t="str">
        <f>IF(Today!A9="","",Today!A9)</f>
        <v/>
      </c>
      <c r="B9" s="149" t="str">
        <f>IF(Today!B9="","",Today!B9)</f>
        <v/>
      </c>
      <c r="C9" s="180"/>
      <c r="D9" s="180"/>
      <c r="E9" s="180"/>
      <c r="F9" s="180"/>
      <c r="G9" s="180"/>
    </row>
    <row r="10" spans="1:13" x14ac:dyDescent="0.35">
      <c r="A10" s="149" t="str">
        <f>IF(Today!A10="","",Today!A10)</f>
        <v/>
      </c>
      <c r="B10" s="149" t="str">
        <f>IF(Today!B10="","",Today!B10)</f>
        <v/>
      </c>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tr">
        <f>Today!D17</f>
        <v>11.0 maf every year natural flow to Lake Powell</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IF(Today!C27="","",Today!C27)</f>
        <v/>
      </c>
      <c r="D26" s="137" t="str">
        <f>IF(Today!D27="","",Today!D27)</f>
        <v/>
      </c>
      <c r="E26" s="137" t="str">
        <f>IF(Today!E27="","",Today!E27)</f>
        <v/>
      </c>
      <c r="F26" s="137" t="str">
        <f>IF(Today!F27="","",Today!F27)</f>
        <v/>
      </c>
      <c r="G26" s="137" t="str">
        <f>IF(Today!G27="","",Today!G27)</f>
        <v/>
      </c>
      <c r="H26" s="137" t="str">
        <f>IF(Today!H27="","",Today!H27)</f>
        <v/>
      </c>
      <c r="I26" s="137" t="str">
        <f>IF(Today!I27="","",Today!I27)</f>
        <v/>
      </c>
      <c r="J26" s="137" t="str">
        <f>IF(Today!J27="","",Today!J27)</f>
        <v/>
      </c>
      <c r="K26" s="137" t="str">
        <f>IF(Today!K27="","",Today!K27)</f>
        <v/>
      </c>
      <c r="L26" s="137" t="str">
        <f>IF(Today!L27="","",Today!L27)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355" priority="56" operator="greaterThan">
      <formula>$H$60</formula>
    </cfRule>
  </conditionalFormatting>
  <conditionalFormatting sqref="I61">
    <cfRule type="cellIs" dxfId="354" priority="55" operator="greaterThan">
      <formula>$I$60</formula>
    </cfRule>
  </conditionalFormatting>
  <conditionalFormatting sqref="J61">
    <cfRule type="cellIs" dxfId="353" priority="54" operator="greaterThan">
      <formula>$J$60</formula>
    </cfRule>
  </conditionalFormatting>
  <conditionalFormatting sqref="K61">
    <cfRule type="cellIs" dxfId="352" priority="53" operator="greaterThan">
      <formula>$K$60</formula>
    </cfRule>
  </conditionalFormatting>
  <conditionalFormatting sqref="L61">
    <cfRule type="cellIs" dxfId="351" priority="52" operator="greaterThan">
      <formula>$L$60</formula>
    </cfRule>
  </conditionalFormatting>
  <conditionalFormatting sqref="H69">
    <cfRule type="cellIs" dxfId="350" priority="47" operator="greaterThan">
      <formula>$H$68</formula>
    </cfRule>
  </conditionalFormatting>
  <conditionalFormatting sqref="I69">
    <cfRule type="cellIs" dxfId="349" priority="46" operator="greaterThan">
      <formula>$I$68</formula>
    </cfRule>
  </conditionalFormatting>
  <conditionalFormatting sqref="J69">
    <cfRule type="cellIs" dxfId="348" priority="45" operator="greaterThan">
      <formula>$J$68</formula>
    </cfRule>
  </conditionalFormatting>
  <conditionalFormatting sqref="K69">
    <cfRule type="cellIs" dxfId="347" priority="44" operator="greaterThan">
      <formula>$K$68</formula>
    </cfRule>
  </conditionalFormatting>
  <conditionalFormatting sqref="L69">
    <cfRule type="cellIs" dxfId="346" priority="43" operator="greaterThan">
      <formula>$L$68</formula>
    </cfRule>
  </conditionalFormatting>
  <conditionalFormatting sqref="C77:G77">
    <cfRule type="cellIs" dxfId="345" priority="42" operator="greaterThan">
      <formula>$C$76</formula>
    </cfRule>
  </conditionalFormatting>
  <conditionalFormatting sqref="H77">
    <cfRule type="cellIs" dxfId="344" priority="41" operator="greaterThan">
      <formula>$H$76</formula>
    </cfRule>
  </conditionalFormatting>
  <conditionalFormatting sqref="I77">
    <cfRule type="cellIs" dxfId="343" priority="40" operator="greaterThan">
      <formula>$I$76</formula>
    </cfRule>
  </conditionalFormatting>
  <conditionalFormatting sqref="J77">
    <cfRule type="cellIs" dxfId="342" priority="39" operator="greaterThan">
      <formula>$J$76</formula>
    </cfRule>
  </conditionalFormatting>
  <conditionalFormatting sqref="K77">
    <cfRule type="cellIs" dxfId="341" priority="38" operator="greaterThan">
      <formula>$K$76</formula>
    </cfRule>
  </conditionalFormatting>
  <conditionalFormatting sqref="L77">
    <cfRule type="cellIs" dxfId="340" priority="37" operator="greaterThan">
      <formula>$L$76</formula>
    </cfRule>
  </conditionalFormatting>
  <conditionalFormatting sqref="C85:L85">
    <cfRule type="cellIs" dxfId="339" priority="36" operator="greaterThan">
      <formula>$C$84</formula>
    </cfRule>
  </conditionalFormatting>
  <conditionalFormatting sqref="C93">
    <cfRule type="cellIs" dxfId="338" priority="35" operator="greaterThan">
      <formula>$C$92</formula>
    </cfRule>
  </conditionalFormatting>
  <conditionalFormatting sqref="D93">
    <cfRule type="cellIs" dxfId="337" priority="34" operator="greaterThan">
      <formula>$D$92</formula>
    </cfRule>
  </conditionalFormatting>
  <conditionalFormatting sqref="E93">
    <cfRule type="cellIs" dxfId="336" priority="33" operator="greaterThan">
      <formula>$E$92</formula>
    </cfRule>
  </conditionalFormatting>
  <conditionalFormatting sqref="F93">
    <cfRule type="cellIs" dxfId="335" priority="32" operator="greaterThan">
      <formula>$F$92</formula>
    </cfRule>
  </conditionalFormatting>
  <conditionalFormatting sqref="G93">
    <cfRule type="cellIs" dxfId="334" priority="31" operator="greaterThan">
      <formula>$G$92</formula>
    </cfRule>
  </conditionalFormatting>
  <conditionalFormatting sqref="H93">
    <cfRule type="cellIs" dxfId="333" priority="30" operator="greaterThan">
      <formula>$H$92</formula>
    </cfRule>
  </conditionalFormatting>
  <conditionalFormatting sqref="I93">
    <cfRule type="cellIs" dxfId="332" priority="29" operator="greaterThan">
      <formula>$I$92</formula>
    </cfRule>
  </conditionalFormatting>
  <conditionalFormatting sqref="J93">
    <cfRule type="cellIs" dxfId="331" priority="28" operator="greaterThan">
      <formula>$J$92</formula>
    </cfRule>
  </conditionalFormatting>
  <conditionalFormatting sqref="K93">
    <cfRule type="cellIs" dxfId="330" priority="27" operator="greaterThan">
      <formula>$K$92</formula>
    </cfRule>
  </conditionalFormatting>
  <conditionalFormatting sqref="L93">
    <cfRule type="cellIs" dxfId="329" priority="26" operator="greaterThan">
      <formula>$L$92</formula>
    </cfRule>
  </conditionalFormatting>
  <conditionalFormatting sqref="C101">
    <cfRule type="cellIs" dxfId="328" priority="25" operator="greaterThan">
      <formula>$C$100</formula>
    </cfRule>
  </conditionalFormatting>
  <conditionalFormatting sqref="D101">
    <cfRule type="cellIs" dxfId="327" priority="24" operator="greaterThan">
      <formula>$D$100</formula>
    </cfRule>
  </conditionalFormatting>
  <conditionalFormatting sqref="E101">
    <cfRule type="cellIs" dxfId="326" priority="23" operator="greaterThan">
      <formula>$E$100</formula>
    </cfRule>
  </conditionalFormatting>
  <conditionalFormatting sqref="F101">
    <cfRule type="cellIs" dxfId="325" priority="22" operator="greaterThan">
      <formula>$F$100</formula>
    </cfRule>
  </conditionalFormatting>
  <conditionalFormatting sqref="G101">
    <cfRule type="cellIs" dxfId="324" priority="21" operator="greaterThan">
      <formula>$G$100</formula>
    </cfRule>
  </conditionalFormatting>
  <conditionalFormatting sqref="H101">
    <cfRule type="cellIs" dxfId="323" priority="20" operator="greaterThan">
      <formula>$H$100</formula>
    </cfRule>
  </conditionalFormatting>
  <conditionalFormatting sqref="I101">
    <cfRule type="cellIs" dxfId="322" priority="19" operator="greaterThan">
      <formula>$I$100</formula>
    </cfRule>
  </conditionalFormatting>
  <conditionalFormatting sqref="J101">
    <cfRule type="cellIs" dxfId="321" priority="18" operator="greaterThan">
      <formula>$J$100</formula>
    </cfRule>
  </conditionalFormatting>
  <conditionalFormatting sqref="K101">
    <cfRule type="cellIs" dxfId="320" priority="17" operator="greaterThan">
      <formula>$K$100</formula>
    </cfRule>
  </conditionalFormatting>
  <conditionalFormatting sqref="L101">
    <cfRule type="cellIs" dxfId="319" priority="16" operator="greaterThan">
      <formula>$L$100</formula>
    </cfRule>
  </conditionalFormatting>
  <conditionalFormatting sqref="C61:G61">
    <cfRule type="cellIs" dxfId="318" priority="3" operator="greaterThan">
      <formula>$C$60</formula>
    </cfRule>
  </conditionalFormatting>
  <conditionalFormatting sqref="C69:G69">
    <cfRule type="cellIs" dxfId="317"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64"/>
      <c r="I3" s="64"/>
      <c r="J3" s="64"/>
      <c r="K3" s="64"/>
    </row>
    <row r="4" spans="1:13" x14ac:dyDescent="0.35">
      <c r="A4" s="53" t="s">
        <v>38</v>
      </c>
      <c r="B4" s="53" t="s">
        <v>42</v>
      </c>
      <c r="C4" s="174" t="s">
        <v>43</v>
      </c>
      <c r="D4" s="175"/>
      <c r="E4" s="175"/>
      <c r="F4" s="175"/>
      <c r="G4" s="176"/>
      <c r="M4" s="1" t="s">
        <v>307</v>
      </c>
    </row>
    <row r="5" spans="1:13" x14ac:dyDescent="0.35">
      <c r="A5" s="129" t="s">
        <v>39</v>
      </c>
      <c r="B5" s="129" t="s">
        <v>152</v>
      </c>
      <c r="C5" s="177" t="s">
        <v>310</v>
      </c>
      <c r="D5" s="178"/>
      <c r="E5" s="178"/>
      <c r="F5" s="178"/>
      <c r="G5" s="178"/>
      <c r="M5" t="s">
        <v>308</v>
      </c>
    </row>
    <row r="6" spans="1:13" x14ac:dyDescent="0.35">
      <c r="A6" s="129" t="s">
        <v>40</v>
      </c>
      <c r="B6" s="129" t="s">
        <v>152</v>
      </c>
      <c r="C6" s="177" t="s">
        <v>311</v>
      </c>
      <c r="D6" s="178"/>
      <c r="E6" s="178"/>
      <c r="F6" s="178"/>
      <c r="G6" s="178"/>
      <c r="M6" t="s">
        <v>313</v>
      </c>
    </row>
    <row r="7" spans="1:13" x14ac:dyDescent="0.35">
      <c r="A7" s="129" t="s">
        <v>41</v>
      </c>
      <c r="B7" s="129" t="s">
        <v>152</v>
      </c>
      <c r="C7" s="177" t="s">
        <v>312</v>
      </c>
      <c r="D7" s="178"/>
      <c r="E7" s="178"/>
      <c r="F7" s="178"/>
      <c r="G7" s="178"/>
      <c r="M7" t="s">
        <v>314</v>
      </c>
    </row>
    <row r="8" spans="1:13" x14ac:dyDescent="0.35">
      <c r="A8" s="107" t="s">
        <v>156</v>
      </c>
      <c r="B8" s="107" t="s">
        <v>152</v>
      </c>
      <c r="C8" s="172" t="s">
        <v>309</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305" priority="95" operator="greaterThan">
      <formula>$D$60</formula>
    </cfRule>
  </conditionalFormatting>
  <conditionalFormatting sqref="C61">
    <cfRule type="cellIs" dxfId="304" priority="84" operator="greaterThan">
      <formula>$C$60</formula>
    </cfRule>
  </conditionalFormatting>
  <conditionalFormatting sqref="E61">
    <cfRule type="cellIs" dxfId="303" priority="82" operator="greaterThan">
      <formula>$E$60</formula>
    </cfRule>
  </conditionalFormatting>
  <conditionalFormatting sqref="F61">
    <cfRule type="cellIs" dxfId="302" priority="81" operator="greaterThan">
      <formula>$F$60</formula>
    </cfRule>
  </conditionalFormatting>
  <conditionalFormatting sqref="G61">
    <cfRule type="cellIs" dxfId="301" priority="80" operator="greaterThan">
      <formula>$G$60</formula>
    </cfRule>
  </conditionalFormatting>
  <conditionalFormatting sqref="H61">
    <cfRule type="cellIs" dxfId="300" priority="79" operator="greaterThan">
      <formula>$H$60</formula>
    </cfRule>
  </conditionalFormatting>
  <conditionalFormatting sqref="I61">
    <cfRule type="cellIs" dxfId="299" priority="78" operator="greaterThan">
      <formula>$I$60</formula>
    </cfRule>
  </conditionalFormatting>
  <conditionalFormatting sqref="J61">
    <cfRule type="cellIs" dxfId="298" priority="77" operator="greaterThan">
      <formula>$J$60</formula>
    </cfRule>
  </conditionalFormatting>
  <conditionalFormatting sqref="K61">
    <cfRule type="cellIs" dxfId="297" priority="76" operator="greaterThan">
      <formula>$K$60</formula>
    </cfRule>
  </conditionalFormatting>
  <conditionalFormatting sqref="L61">
    <cfRule type="cellIs" dxfId="296" priority="75" operator="greaterThan">
      <formula>$L$60</formula>
    </cfRule>
  </conditionalFormatting>
  <conditionalFormatting sqref="C69">
    <cfRule type="cellIs" dxfId="295" priority="67" operator="greaterThan">
      <formula>$C$68</formula>
    </cfRule>
  </conditionalFormatting>
  <conditionalFormatting sqref="D69">
    <cfRule type="cellIs" dxfId="294" priority="66" operator="greaterThan">
      <formula>$D$68</formula>
    </cfRule>
  </conditionalFormatting>
  <conditionalFormatting sqref="E69">
    <cfRule type="cellIs" dxfId="293" priority="65" operator="greaterThan">
      <formula>$E$68</formula>
    </cfRule>
  </conditionalFormatting>
  <conditionalFormatting sqref="F69">
    <cfRule type="cellIs" dxfId="292" priority="64" operator="greaterThan">
      <formula>$F$68</formula>
    </cfRule>
  </conditionalFormatting>
  <conditionalFormatting sqref="G69">
    <cfRule type="cellIs" dxfId="291" priority="63" operator="greaterThan">
      <formula>$G$68</formula>
    </cfRule>
  </conditionalFormatting>
  <conditionalFormatting sqref="H69">
    <cfRule type="cellIs" dxfId="290" priority="62" operator="greaterThan">
      <formula>$H$68</formula>
    </cfRule>
  </conditionalFormatting>
  <conditionalFormatting sqref="I69">
    <cfRule type="cellIs" dxfId="289" priority="61" operator="greaterThan">
      <formula>$I$68</formula>
    </cfRule>
  </conditionalFormatting>
  <conditionalFormatting sqref="J69">
    <cfRule type="cellIs" dxfId="288" priority="60" operator="greaterThan">
      <formula>$J$68</formula>
    </cfRule>
  </conditionalFormatting>
  <conditionalFormatting sqref="K69">
    <cfRule type="cellIs" dxfId="287" priority="59" operator="greaterThan">
      <formula>$K$68</formula>
    </cfRule>
  </conditionalFormatting>
  <conditionalFormatting sqref="L69">
    <cfRule type="cellIs" dxfId="286" priority="58" operator="greaterThan">
      <formula>$L$68</formula>
    </cfRule>
  </conditionalFormatting>
  <conditionalFormatting sqref="C77">
    <cfRule type="cellIs" dxfId="285" priority="57" operator="greaterThan">
      <formula>$C$76</formula>
    </cfRule>
  </conditionalFormatting>
  <conditionalFormatting sqref="D77">
    <cfRule type="cellIs" dxfId="284" priority="56" operator="greaterThan">
      <formula>$D$76</formula>
    </cfRule>
  </conditionalFormatting>
  <conditionalFormatting sqref="E77">
    <cfRule type="cellIs" dxfId="283" priority="55" operator="greaterThan">
      <formula>$E$76</formula>
    </cfRule>
  </conditionalFormatting>
  <conditionalFormatting sqref="F77">
    <cfRule type="cellIs" dxfId="282" priority="54" operator="greaterThan">
      <formula>$F$76</formula>
    </cfRule>
  </conditionalFormatting>
  <conditionalFormatting sqref="G77">
    <cfRule type="cellIs" dxfId="281" priority="53" operator="greaterThan">
      <formula>$G$76</formula>
    </cfRule>
  </conditionalFormatting>
  <conditionalFormatting sqref="H77">
    <cfRule type="cellIs" dxfId="280" priority="52" operator="greaterThan">
      <formula>$H$76</formula>
    </cfRule>
  </conditionalFormatting>
  <conditionalFormatting sqref="I77">
    <cfRule type="cellIs" dxfId="279" priority="51" operator="greaterThan">
      <formula>$I$76</formula>
    </cfRule>
  </conditionalFormatting>
  <conditionalFormatting sqref="J77">
    <cfRule type="cellIs" dxfId="278" priority="50" operator="greaterThan">
      <formula>$J$76</formula>
    </cfRule>
  </conditionalFormatting>
  <conditionalFormatting sqref="K77">
    <cfRule type="cellIs" dxfId="277" priority="49" operator="greaterThan">
      <formula>$K$76</formula>
    </cfRule>
  </conditionalFormatting>
  <conditionalFormatting sqref="L77">
    <cfRule type="cellIs" dxfId="276" priority="48" operator="greaterThan">
      <formula>$L$76</formula>
    </cfRule>
  </conditionalFormatting>
  <conditionalFormatting sqref="C85:L85">
    <cfRule type="cellIs" dxfId="275" priority="47" operator="greaterThan">
      <formula>$C$84</formula>
    </cfRule>
  </conditionalFormatting>
  <conditionalFormatting sqref="C93">
    <cfRule type="cellIs" dxfId="274" priority="37" operator="greaterThan">
      <formula>$C$92</formula>
    </cfRule>
  </conditionalFormatting>
  <conditionalFormatting sqref="D93">
    <cfRule type="cellIs" dxfId="273" priority="36" operator="greaterThan">
      <formula>$D$92</formula>
    </cfRule>
  </conditionalFormatting>
  <conditionalFormatting sqref="E93">
    <cfRule type="cellIs" dxfId="272" priority="35" operator="greaterThan">
      <formula>$E$92</formula>
    </cfRule>
  </conditionalFormatting>
  <conditionalFormatting sqref="F93">
    <cfRule type="cellIs" dxfId="271" priority="34" operator="greaterThan">
      <formula>$F$92</formula>
    </cfRule>
  </conditionalFormatting>
  <conditionalFormatting sqref="G93">
    <cfRule type="cellIs" dxfId="270" priority="33" operator="greaterThan">
      <formula>$G$92</formula>
    </cfRule>
  </conditionalFormatting>
  <conditionalFormatting sqref="H93">
    <cfRule type="cellIs" dxfId="269" priority="32" operator="greaterThan">
      <formula>$H$92</formula>
    </cfRule>
  </conditionalFormatting>
  <conditionalFormatting sqref="I93">
    <cfRule type="cellIs" dxfId="268" priority="31" operator="greaterThan">
      <formula>$I$92</formula>
    </cfRule>
  </conditionalFormatting>
  <conditionalFormatting sqref="J93">
    <cfRule type="cellIs" dxfId="267" priority="30" operator="greaterThan">
      <formula>$J$92</formula>
    </cfRule>
  </conditionalFormatting>
  <conditionalFormatting sqref="K93">
    <cfRule type="cellIs" dxfId="266" priority="29" operator="greaterThan">
      <formula>$K$92</formula>
    </cfRule>
  </conditionalFormatting>
  <conditionalFormatting sqref="L93">
    <cfRule type="cellIs" dxfId="265" priority="28" operator="greaterThan">
      <formula>$L$92</formula>
    </cfRule>
  </conditionalFormatting>
  <conditionalFormatting sqref="C101">
    <cfRule type="cellIs" dxfId="264" priority="27" operator="greaterThan">
      <formula>$C$100</formula>
    </cfRule>
  </conditionalFormatting>
  <conditionalFormatting sqref="D101">
    <cfRule type="cellIs" dxfId="263" priority="26" operator="greaterThan">
      <formula>$D$100</formula>
    </cfRule>
  </conditionalFormatting>
  <conditionalFormatting sqref="E101">
    <cfRule type="cellIs" dxfId="262" priority="25" operator="greaterThan">
      <formula>$E$100</formula>
    </cfRule>
  </conditionalFormatting>
  <conditionalFormatting sqref="F101">
    <cfRule type="cellIs" dxfId="261" priority="24" operator="greaterThan">
      <formula>$F$100</formula>
    </cfRule>
  </conditionalFormatting>
  <conditionalFormatting sqref="G101">
    <cfRule type="cellIs" dxfId="260" priority="23" operator="greaterThan">
      <formula>$G$100</formula>
    </cfRule>
  </conditionalFormatting>
  <conditionalFormatting sqref="H101">
    <cfRule type="cellIs" dxfId="259" priority="22" operator="greaterThan">
      <formula>$H$100</formula>
    </cfRule>
  </conditionalFormatting>
  <conditionalFormatting sqref="I101">
    <cfRule type="cellIs" dxfId="258" priority="21" operator="greaterThan">
      <formula>$I$100</formula>
    </cfRule>
  </conditionalFormatting>
  <conditionalFormatting sqref="J101">
    <cfRule type="cellIs" dxfId="257" priority="20" operator="greaterThan">
      <formula>$J$100</formula>
    </cfRule>
  </conditionalFormatting>
  <conditionalFormatting sqref="K101">
    <cfRule type="cellIs" dxfId="256" priority="19" operator="greaterThan">
      <formula>$K$100</formula>
    </cfRule>
  </conditionalFormatting>
  <conditionalFormatting sqref="L101">
    <cfRule type="cellIs" dxfId="255"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t="s">
        <v>152</v>
      </c>
      <c r="C5" s="177" t="s">
        <v>317</v>
      </c>
      <c r="D5" s="178"/>
      <c r="E5" s="178"/>
      <c r="F5" s="178"/>
      <c r="G5" s="178"/>
      <c r="M5" t="s">
        <v>308</v>
      </c>
    </row>
    <row r="6" spans="1:13" x14ac:dyDescent="0.35">
      <c r="A6" s="129" t="s">
        <v>40</v>
      </c>
      <c r="B6" s="129" t="s">
        <v>152</v>
      </c>
      <c r="C6" s="177" t="s">
        <v>317</v>
      </c>
      <c r="D6" s="178"/>
      <c r="E6" s="178"/>
      <c r="F6" s="178"/>
      <c r="G6" s="178"/>
      <c r="M6" t="s">
        <v>313</v>
      </c>
    </row>
    <row r="7" spans="1:13" x14ac:dyDescent="0.35">
      <c r="A7" s="129" t="s">
        <v>41</v>
      </c>
      <c r="B7" s="129" t="s">
        <v>152</v>
      </c>
      <c r="C7" s="177" t="s">
        <v>317</v>
      </c>
      <c r="D7" s="178"/>
      <c r="E7" s="178"/>
      <c r="F7" s="178"/>
      <c r="G7" s="178"/>
      <c r="M7" t="s">
        <v>314</v>
      </c>
    </row>
    <row r="8" spans="1:13" x14ac:dyDescent="0.35">
      <c r="A8" s="113" t="s">
        <v>156</v>
      </c>
      <c r="B8" s="113" t="s">
        <v>152</v>
      </c>
      <c r="C8" s="172" t="s">
        <v>309</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243" priority="68" operator="greaterThan">
      <formula>$H$60</formula>
    </cfRule>
  </conditionalFormatting>
  <conditionalFormatting sqref="I61">
    <cfRule type="cellIs" dxfId="242" priority="67" operator="greaterThan">
      <formula>$I$60</formula>
    </cfRule>
  </conditionalFormatting>
  <conditionalFormatting sqref="J61">
    <cfRule type="cellIs" dxfId="241" priority="66" operator="greaterThan">
      <formula>$J$60</formula>
    </cfRule>
  </conditionalFormatting>
  <conditionalFormatting sqref="K61">
    <cfRule type="cellIs" dxfId="240" priority="65" operator="greaterThan">
      <formula>$K$60</formula>
    </cfRule>
  </conditionalFormatting>
  <conditionalFormatting sqref="L61">
    <cfRule type="cellIs" dxfId="239" priority="64" operator="greaterThan">
      <formula>$L$60</formula>
    </cfRule>
  </conditionalFormatting>
  <conditionalFormatting sqref="H69">
    <cfRule type="cellIs" dxfId="238" priority="51" operator="greaterThan">
      <formula>$H$68</formula>
    </cfRule>
  </conditionalFormatting>
  <conditionalFormatting sqref="I69">
    <cfRule type="cellIs" dxfId="237" priority="50" operator="greaterThan">
      <formula>$I$68</formula>
    </cfRule>
  </conditionalFormatting>
  <conditionalFormatting sqref="J69">
    <cfRule type="cellIs" dxfId="236" priority="49" operator="greaterThan">
      <formula>$J$68</formula>
    </cfRule>
  </conditionalFormatting>
  <conditionalFormatting sqref="K69">
    <cfRule type="cellIs" dxfId="235" priority="48" operator="greaterThan">
      <formula>$K$68</formula>
    </cfRule>
  </conditionalFormatting>
  <conditionalFormatting sqref="L69">
    <cfRule type="cellIs" dxfId="234" priority="47" operator="greaterThan">
      <formula>$L$68</formula>
    </cfRule>
  </conditionalFormatting>
  <conditionalFormatting sqref="C77:G77">
    <cfRule type="cellIs" dxfId="233" priority="46" operator="greaterThan">
      <formula>$C$76</formula>
    </cfRule>
  </conditionalFormatting>
  <conditionalFormatting sqref="H77">
    <cfRule type="cellIs" dxfId="232" priority="41" operator="greaterThan">
      <formula>$H$76</formula>
    </cfRule>
  </conditionalFormatting>
  <conditionalFormatting sqref="I77">
    <cfRule type="cellIs" dxfId="231" priority="40" operator="greaterThan">
      <formula>$I$76</formula>
    </cfRule>
  </conditionalFormatting>
  <conditionalFormatting sqref="J77">
    <cfRule type="cellIs" dxfId="230" priority="39" operator="greaterThan">
      <formula>$J$76</formula>
    </cfRule>
  </conditionalFormatting>
  <conditionalFormatting sqref="K77">
    <cfRule type="cellIs" dxfId="229" priority="38" operator="greaterThan">
      <formula>$K$76</formula>
    </cfRule>
  </conditionalFormatting>
  <conditionalFormatting sqref="L77">
    <cfRule type="cellIs" dxfId="228" priority="37" operator="greaterThan">
      <formula>$L$76</formula>
    </cfRule>
  </conditionalFormatting>
  <conditionalFormatting sqref="C85:L85">
    <cfRule type="cellIs" dxfId="227" priority="36" operator="greaterThan">
      <formula>$C$84</formula>
    </cfRule>
  </conditionalFormatting>
  <conditionalFormatting sqref="C93">
    <cfRule type="cellIs" dxfId="226" priority="35" operator="greaterThan">
      <formula>$C$92</formula>
    </cfRule>
  </conditionalFormatting>
  <conditionalFormatting sqref="D93">
    <cfRule type="cellIs" dxfId="225" priority="34" operator="greaterThan">
      <formula>$D$92</formula>
    </cfRule>
  </conditionalFormatting>
  <conditionalFormatting sqref="E93">
    <cfRule type="cellIs" dxfId="224" priority="33" operator="greaterThan">
      <formula>$E$92</formula>
    </cfRule>
  </conditionalFormatting>
  <conditionalFormatting sqref="F93">
    <cfRule type="cellIs" dxfId="223" priority="32" operator="greaterThan">
      <formula>$F$92</formula>
    </cfRule>
  </conditionalFormatting>
  <conditionalFormatting sqref="G93">
    <cfRule type="cellIs" dxfId="222" priority="31" operator="greaterThan">
      <formula>$G$92</formula>
    </cfRule>
  </conditionalFormatting>
  <conditionalFormatting sqref="H93">
    <cfRule type="cellIs" dxfId="221" priority="30" operator="greaterThan">
      <formula>$H$92</formula>
    </cfRule>
  </conditionalFormatting>
  <conditionalFormatting sqref="I93">
    <cfRule type="cellIs" dxfId="220" priority="29" operator="greaterThan">
      <formula>$I$92</formula>
    </cfRule>
  </conditionalFormatting>
  <conditionalFormatting sqref="J93">
    <cfRule type="cellIs" dxfId="219" priority="28" operator="greaterThan">
      <formula>$J$92</formula>
    </cfRule>
  </conditionalFormatting>
  <conditionalFormatting sqref="K93">
    <cfRule type="cellIs" dxfId="218" priority="27" operator="greaterThan">
      <formula>$K$92</formula>
    </cfRule>
  </conditionalFormatting>
  <conditionalFormatting sqref="L93">
    <cfRule type="cellIs" dxfId="217" priority="26" operator="greaterThan">
      <formula>$L$92</formula>
    </cfRule>
  </conditionalFormatting>
  <conditionalFormatting sqref="C101">
    <cfRule type="cellIs" dxfId="216" priority="25" operator="greaterThan">
      <formula>$C$100</formula>
    </cfRule>
  </conditionalFormatting>
  <conditionalFormatting sqref="D101">
    <cfRule type="cellIs" dxfId="215" priority="24" operator="greaterThan">
      <formula>$D$100</formula>
    </cfRule>
  </conditionalFormatting>
  <conditionalFormatting sqref="E101">
    <cfRule type="cellIs" dxfId="214" priority="23" operator="greaterThan">
      <formula>$E$100</formula>
    </cfRule>
  </conditionalFormatting>
  <conditionalFormatting sqref="F101">
    <cfRule type="cellIs" dxfId="213" priority="22" operator="greaterThan">
      <formula>$F$100</formula>
    </cfRule>
  </conditionalFormatting>
  <conditionalFormatting sqref="G101">
    <cfRule type="cellIs" dxfId="212" priority="21" operator="greaterThan">
      <formula>$G$100</formula>
    </cfRule>
  </conditionalFormatting>
  <conditionalFormatting sqref="H101">
    <cfRule type="cellIs" dxfId="211" priority="20" operator="greaterThan">
      <formula>$H$100</formula>
    </cfRule>
  </conditionalFormatting>
  <conditionalFormatting sqref="I101">
    <cfRule type="cellIs" dxfId="210" priority="19" operator="greaterThan">
      <formula>$I$100</formula>
    </cfRule>
  </conditionalFormatting>
  <conditionalFormatting sqref="J101">
    <cfRule type="cellIs" dxfId="209" priority="18" operator="greaterThan">
      <formula>$J$100</formula>
    </cfRule>
  </conditionalFormatting>
  <conditionalFormatting sqref="K101">
    <cfRule type="cellIs" dxfId="208" priority="17" operator="greaterThan">
      <formula>$K$100</formula>
    </cfRule>
  </conditionalFormatting>
  <conditionalFormatting sqref="L101">
    <cfRule type="cellIs" dxfId="207" priority="16" operator="greaterThan">
      <formula>$L$100</formula>
    </cfRule>
  </conditionalFormatting>
  <conditionalFormatting sqref="C61:G61">
    <cfRule type="cellIs" dxfId="206" priority="3" operator="greaterThan">
      <formula>$C$60</formula>
    </cfRule>
  </conditionalFormatting>
  <conditionalFormatting sqref="C69:G69">
    <cfRule type="cellIs" dxfId="20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Today</vt:lpstr>
      <vt:lpstr>Today-LawOfRiver</vt:lpstr>
      <vt:lpstr>Today-Plots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2021-08-25T05:30:47Z</dcterms:modified>
</cp:coreProperties>
</file>