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8F168570-CF96-4C1D-BF0D-652812F8C575}" xr6:coauthVersionLast="36" xr6:coauthVersionMax="36" xr10:uidLastSave="{00000000-0000-0000-0000-000000000000}"/>
  <bookViews>
    <workbookView xWindow="0" yWindow="0" windowWidth="19200" windowHeight="6645" firstSheet="1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52" l="1"/>
  <c r="F29" i="52" s="1"/>
  <c r="H87" i="52"/>
  <c r="I87" i="52"/>
  <c r="J87" i="52"/>
  <c r="K87" i="52"/>
  <c r="L87" i="52"/>
  <c r="H53" i="52"/>
  <c r="I53" i="52"/>
  <c r="J53" i="52"/>
  <c r="K53" i="52"/>
  <c r="L53" i="52"/>
  <c r="B53" i="52"/>
  <c r="H53" i="47"/>
  <c r="I53" i="47"/>
  <c r="J53" i="47"/>
  <c r="K53" i="47"/>
  <c r="L53" i="47"/>
  <c r="C53" i="47"/>
  <c r="C52" i="47" s="1"/>
  <c r="C51" i="47" s="1"/>
  <c r="B53" i="47"/>
  <c r="H71" i="52"/>
  <c r="I71" i="52"/>
  <c r="J71" i="52"/>
  <c r="K71" i="52"/>
  <c r="L71" i="52"/>
  <c r="H49" i="52"/>
  <c r="I49" i="52"/>
  <c r="J49" i="52"/>
  <c r="K49" i="52"/>
  <c r="L49" i="52"/>
  <c r="H50" i="52"/>
  <c r="I50" i="52"/>
  <c r="J50" i="52"/>
  <c r="K50" i="52"/>
  <c r="L50" i="52"/>
  <c r="H51" i="52"/>
  <c r="I51" i="52"/>
  <c r="J51" i="52"/>
  <c r="K51" i="52"/>
  <c r="L51" i="52"/>
  <c r="H52" i="52"/>
  <c r="I52" i="52"/>
  <c r="J52" i="52"/>
  <c r="K52" i="52"/>
  <c r="L52" i="52"/>
  <c r="H55" i="52"/>
  <c r="I55" i="52"/>
  <c r="J55" i="52"/>
  <c r="K55" i="52"/>
  <c r="L55" i="52"/>
  <c r="D27" i="52"/>
  <c r="D29" i="52" s="1"/>
  <c r="H51" i="47"/>
  <c r="I51" i="47"/>
  <c r="J51" i="47"/>
  <c r="K51" i="47"/>
  <c r="L51" i="47"/>
  <c r="L29" i="52"/>
  <c r="K29" i="52"/>
  <c r="J29" i="52"/>
  <c r="I29" i="52"/>
  <c r="H29" i="52"/>
  <c r="B10" i="52"/>
  <c r="H50" i="47"/>
  <c r="I50" i="47"/>
  <c r="J50" i="47"/>
  <c r="K50" i="47"/>
  <c r="L50" i="47"/>
  <c r="H52" i="47"/>
  <c r="I52" i="47"/>
  <c r="J52" i="47"/>
  <c r="K52" i="47"/>
  <c r="L52" i="47"/>
  <c r="H55" i="47"/>
  <c r="I55" i="47"/>
  <c r="J55" i="47"/>
  <c r="K55" i="47"/>
  <c r="L55" i="47"/>
  <c r="C50" i="47"/>
  <c r="C49" i="47"/>
  <c r="C55" i="47" s="1"/>
  <c r="B37" i="47"/>
  <c r="H49" i="47" l="1"/>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2" i="52" s="1"/>
  <c r="A47" i="52"/>
  <c r="B9" i="52"/>
  <c r="B8" i="52"/>
  <c r="B6" i="52"/>
  <c r="B7" i="52"/>
  <c r="B5" i="52"/>
  <c r="H27" i="52"/>
  <c r="H142" i="52" s="1"/>
  <c r="I27" i="52"/>
  <c r="J27" i="52"/>
  <c r="J139" i="52" s="1"/>
  <c r="K27" i="52"/>
  <c r="L27" i="52"/>
  <c r="L136" i="52" s="1"/>
  <c r="D141" i="52"/>
  <c r="E27" i="52"/>
  <c r="F141" i="52"/>
  <c r="G27" i="52"/>
  <c r="I134" i="52"/>
  <c r="C27" i="52"/>
  <c r="D17" i="52"/>
  <c r="I141" i="52"/>
  <c r="A127" i="52"/>
  <c r="A126" i="52"/>
  <c r="A125" i="52"/>
  <c r="A124" i="52"/>
  <c r="A123" i="52"/>
  <c r="A120" i="52"/>
  <c r="A119" i="52"/>
  <c r="I119" i="52" s="1"/>
  <c r="A118" i="52"/>
  <c r="A117" i="52"/>
  <c r="A116" i="52"/>
  <c r="A111" i="52"/>
  <c r="A110" i="52"/>
  <c r="I109" i="52"/>
  <c r="A109" i="52"/>
  <c r="A108" i="52"/>
  <c r="M100" i="52"/>
  <c r="M99" i="52"/>
  <c r="M92" i="52"/>
  <c r="M91" i="52"/>
  <c r="M84" i="52"/>
  <c r="M83" i="52"/>
  <c r="A82" i="52"/>
  <c r="A83" i="52" s="1"/>
  <c r="M76" i="52"/>
  <c r="M75" i="52"/>
  <c r="A74" i="52"/>
  <c r="A75" i="52" s="1"/>
  <c r="M68" i="52"/>
  <c r="M67" i="52"/>
  <c r="A66" i="52"/>
  <c r="A67" i="52" s="1"/>
  <c r="A68" i="52" s="1"/>
  <c r="M60" i="52"/>
  <c r="M59" i="52"/>
  <c r="A58" i="52"/>
  <c r="A59" i="52" s="1"/>
  <c r="N59" i="52" s="1"/>
  <c r="A54" i="52"/>
  <c r="A53" i="52"/>
  <c r="A52" i="52"/>
  <c r="B51" i="52"/>
  <c r="A51" i="52"/>
  <c r="A50" i="52"/>
  <c r="A45" i="52"/>
  <c r="A44" i="52"/>
  <c r="A43" i="52"/>
  <c r="A42" i="52"/>
  <c r="I41" i="52"/>
  <c r="K40" i="52"/>
  <c r="I39" i="52"/>
  <c r="A35" i="52"/>
  <c r="A34" i="52"/>
  <c r="A33" i="52"/>
  <c r="A32" i="52"/>
  <c r="I30" i="52"/>
  <c r="K28" i="52"/>
  <c r="K132" i="52" s="1"/>
  <c r="I28" i="52"/>
  <c r="I132" i="52" s="1"/>
  <c r="C23" i="52"/>
  <c r="B33" i="52" s="1"/>
  <c r="B23" i="52"/>
  <c r="A1" i="52"/>
  <c r="C53" i="52" l="1"/>
  <c r="C87" i="52"/>
  <c r="C49" i="52"/>
  <c r="C29" i="52"/>
  <c r="G141" i="52"/>
  <c r="G29" i="52"/>
  <c r="E141" i="52"/>
  <c r="E29" i="52"/>
  <c r="G30" i="52"/>
  <c r="G109" i="52"/>
  <c r="J119" i="52"/>
  <c r="H131" i="52"/>
  <c r="N109" i="52"/>
  <c r="G120" i="52"/>
  <c r="L31" i="52"/>
  <c r="L40" i="52"/>
  <c r="L109" i="52"/>
  <c r="L129" i="52"/>
  <c r="L48" i="52"/>
  <c r="L33" i="52"/>
  <c r="L124" i="52"/>
  <c r="F28" i="52"/>
  <c r="L41" i="52"/>
  <c r="L28" i="52"/>
  <c r="L132" i="52" s="1"/>
  <c r="L39" i="52"/>
  <c r="C119" i="52"/>
  <c r="B37" i="52"/>
  <c r="A98" i="52"/>
  <c r="A99" i="52" s="1"/>
  <c r="A37" i="52"/>
  <c r="H37" i="52" s="1"/>
  <c r="F30" i="52"/>
  <c r="L35" i="52"/>
  <c r="F109" i="52"/>
  <c r="L30" i="52"/>
  <c r="K33" i="52"/>
  <c r="K111" i="52"/>
  <c r="K138" i="52"/>
  <c r="H40" i="52"/>
  <c r="J44" i="52"/>
  <c r="J114" i="52"/>
  <c r="K119" i="52"/>
  <c r="G28" i="52"/>
  <c r="H31" i="52"/>
  <c r="A46" i="52"/>
  <c r="F46" i="52" s="1"/>
  <c r="K134" i="52"/>
  <c r="K114" i="52"/>
  <c r="K31" i="52"/>
  <c r="K35" i="52"/>
  <c r="K48" i="52"/>
  <c r="K124" i="52"/>
  <c r="I137" i="52"/>
  <c r="K117" i="52"/>
  <c r="C39" i="52"/>
  <c r="I31" i="52"/>
  <c r="I34" i="52"/>
  <c r="J39" i="52"/>
  <c r="J41" i="52"/>
  <c r="J45" i="52"/>
  <c r="J131" i="52"/>
  <c r="J137" i="52"/>
  <c r="I142" i="52"/>
  <c r="J31" i="52"/>
  <c r="J116" i="52"/>
  <c r="I126" i="52"/>
  <c r="L131" i="52"/>
  <c r="L137" i="52"/>
  <c r="J142" i="52"/>
  <c r="I42" i="52"/>
  <c r="J127" i="52"/>
  <c r="J133" i="52"/>
  <c r="J138" i="52"/>
  <c r="L142" i="52"/>
  <c r="J28" i="52"/>
  <c r="J132" i="52" s="1"/>
  <c r="J141" i="52"/>
  <c r="I40" i="52"/>
  <c r="I48" i="52"/>
  <c r="I108" i="52"/>
  <c r="J110" i="52"/>
  <c r="I117" i="52"/>
  <c r="J123" i="52"/>
  <c r="A128" i="52"/>
  <c r="J128" i="52" s="1"/>
  <c r="J134" i="52"/>
  <c r="L138" i="52"/>
  <c r="I129" i="52"/>
  <c r="I139" i="52"/>
  <c r="J136" i="52"/>
  <c r="J40" i="52"/>
  <c r="J48" i="52"/>
  <c r="J30" i="52"/>
  <c r="J33" i="52"/>
  <c r="I44" i="52"/>
  <c r="J118" i="52"/>
  <c r="I124" i="52"/>
  <c r="J129" i="52"/>
  <c r="I136" i="52"/>
  <c r="D30" i="52"/>
  <c r="C33" i="52"/>
  <c r="C141" i="52"/>
  <c r="D28" i="52"/>
  <c r="D108" i="52"/>
  <c r="C30" i="52"/>
  <c r="C40" i="52"/>
  <c r="C48" i="52" s="1"/>
  <c r="E28" i="52"/>
  <c r="E49" i="52" s="1"/>
  <c r="E109" i="52"/>
  <c r="E30" i="52"/>
  <c r="E111" i="52"/>
  <c r="C35" i="52"/>
  <c r="J47" i="52"/>
  <c r="L47" i="52"/>
  <c r="G112" i="52"/>
  <c r="E112" i="52"/>
  <c r="N112" i="52"/>
  <c r="M112" i="52"/>
  <c r="A36" i="52"/>
  <c r="G36" i="52" s="1"/>
  <c r="A113" i="52"/>
  <c r="L113" i="52" s="1"/>
  <c r="A121" i="52"/>
  <c r="E121" i="52" s="1"/>
  <c r="A55" i="52"/>
  <c r="A90" i="52"/>
  <c r="A91" i="52" s="1"/>
  <c r="A92" i="52" s="1"/>
  <c r="N92" i="52" s="1"/>
  <c r="E120" i="52"/>
  <c r="C127" i="52"/>
  <c r="E127" i="52"/>
  <c r="L127" i="52"/>
  <c r="H28" i="52"/>
  <c r="H132" i="52" s="1"/>
  <c r="H34" i="52"/>
  <c r="H120" i="52"/>
  <c r="H137" i="52"/>
  <c r="H35" i="52"/>
  <c r="H39" i="52"/>
  <c r="H30" i="52"/>
  <c r="H44" i="52"/>
  <c r="H118" i="52"/>
  <c r="H126" i="52"/>
  <c r="H133" i="52"/>
  <c r="H32" i="52"/>
  <c r="H41" i="52"/>
  <c r="H47" i="52"/>
  <c r="H48" i="52"/>
  <c r="H136" i="52"/>
  <c r="K30" i="52"/>
  <c r="K39" i="52"/>
  <c r="L108" i="52"/>
  <c r="H109" i="52"/>
  <c r="L114" i="52"/>
  <c r="H124" i="52"/>
  <c r="K126" i="52"/>
  <c r="K129" i="52"/>
  <c r="I133" i="52"/>
  <c r="L134" i="52"/>
  <c r="H139" i="52"/>
  <c r="H141" i="52"/>
  <c r="K142" i="52"/>
  <c r="K137" i="52"/>
  <c r="K133" i="52"/>
  <c r="K118" i="52"/>
  <c r="K41" i="52"/>
  <c r="K109" i="52"/>
  <c r="L116" i="52"/>
  <c r="L118" i="52"/>
  <c r="K125" i="52"/>
  <c r="D127" i="52"/>
  <c r="I131" i="52"/>
  <c r="L133" i="52"/>
  <c r="H138" i="52"/>
  <c r="K139" i="52"/>
  <c r="K141" i="52"/>
  <c r="I47" i="52"/>
  <c r="D109" i="52"/>
  <c r="H112" i="52"/>
  <c r="H114" i="52"/>
  <c r="L125" i="52"/>
  <c r="H134" i="52"/>
  <c r="K136" i="52"/>
  <c r="I138" i="52"/>
  <c r="L139" i="52"/>
  <c r="L141" i="52"/>
  <c r="K45" i="52"/>
  <c r="K47" i="52"/>
  <c r="H110" i="52"/>
  <c r="I114" i="52"/>
  <c r="H117" i="52"/>
  <c r="H119" i="52"/>
  <c r="H127" i="52"/>
  <c r="H129" i="52"/>
  <c r="K131" i="52"/>
  <c r="K127" i="52"/>
  <c r="C31" i="52"/>
  <c r="C28" i="52"/>
  <c r="C63" i="52" s="1"/>
  <c r="F127" i="52"/>
  <c r="F112" i="52"/>
  <c r="F120" i="52"/>
  <c r="A76" i="52"/>
  <c r="A69" i="52"/>
  <c r="A70" i="52"/>
  <c r="K43" i="52"/>
  <c r="B32" i="52"/>
  <c r="B31" i="52" s="1"/>
  <c r="C34" i="52"/>
  <c r="K34" i="52"/>
  <c r="L43" i="52"/>
  <c r="K32" i="52"/>
  <c r="L34" i="52"/>
  <c r="I35" i="52"/>
  <c r="L44" i="52"/>
  <c r="K44" i="52"/>
  <c r="A60" i="52"/>
  <c r="J108" i="52"/>
  <c r="L111" i="52"/>
  <c r="D111" i="52"/>
  <c r="I111" i="52"/>
  <c r="H111" i="52"/>
  <c r="G111" i="52"/>
  <c r="N111" i="52"/>
  <c r="F111" i="52"/>
  <c r="J32" i="52"/>
  <c r="I45" i="52"/>
  <c r="H45" i="52"/>
  <c r="L45" i="52"/>
  <c r="A84" i="52"/>
  <c r="L32" i="52"/>
  <c r="H33" i="52"/>
  <c r="J35" i="52"/>
  <c r="N67" i="52"/>
  <c r="N75" i="52" s="1"/>
  <c r="N83" i="52" s="1"/>
  <c r="C111" i="52"/>
  <c r="K116" i="52"/>
  <c r="H116" i="52"/>
  <c r="I32" i="52"/>
  <c r="J34" i="52"/>
  <c r="I33" i="52"/>
  <c r="H42" i="52"/>
  <c r="J42" i="52"/>
  <c r="H43" i="52"/>
  <c r="A100" i="52"/>
  <c r="J111" i="52"/>
  <c r="I116" i="52"/>
  <c r="K42" i="52"/>
  <c r="I43" i="52"/>
  <c r="I110" i="52"/>
  <c r="N110" i="52"/>
  <c r="F110" i="52"/>
  <c r="E110" i="52"/>
  <c r="L110" i="52"/>
  <c r="D110" i="52"/>
  <c r="K110" i="52"/>
  <c r="C110" i="52"/>
  <c r="C36" i="52"/>
  <c r="L36" i="52"/>
  <c r="L42" i="52"/>
  <c r="J43" i="52"/>
  <c r="K108" i="52"/>
  <c r="C108" i="52"/>
  <c r="H108" i="52"/>
  <c r="G108" i="52"/>
  <c r="N108" i="52"/>
  <c r="F108" i="52"/>
  <c r="E108" i="52"/>
  <c r="G110" i="52"/>
  <c r="I123" i="52"/>
  <c r="H123" i="52"/>
  <c r="L123" i="52"/>
  <c r="K123" i="52"/>
  <c r="I112" i="52"/>
  <c r="J117" i="52"/>
  <c r="L119" i="52"/>
  <c r="I120" i="52"/>
  <c r="J126" i="52"/>
  <c r="G127" i="52"/>
  <c r="J112" i="52"/>
  <c r="J120" i="52"/>
  <c r="J109" i="52"/>
  <c r="C112" i="52"/>
  <c r="K112" i="52"/>
  <c r="L117" i="52"/>
  <c r="I118" i="52"/>
  <c r="C120" i="52"/>
  <c r="K120" i="52"/>
  <c r="J124" i="52"/>
  <c r="L126" i="52"/>
  <c r="I127" i="52"/>
  <c r="C109" i="52"/>
  <c r="D112" i="52"/>
  <c r="L112" i="52"/>
  <c r="D120" i="52"/>
  <c r="L120" i="52"/>
  <c r="H125" i="52"/>
  <c r="I125" i="52"/>
  <c r="J125"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I127" i="47"/>
  <c r="H127" i="47"/>
  <c r="A127" i="47"/>
  <c r="K127" i="47" s="1"/>
  <c r="A126" i="47"/>
  <c r="K126" i="47" s="1"/>
  <c r="L125" i="47"/>
  <c r="A125" i="47"/>
  <c r="K125" i="47" s="1"/>
  <c r="A124" i="47"/>
  <c r="I124" i="47" s="1"/>
  <c r="A123" i="47"/>
  <c r="I123" i="47" s="1"/>
  <c r="K121" i="47"/>
  <c r="H121" i="47"/>
  <c r="F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A37" i="47"/>
  <c r="K37" i="47" s="1"/>
  <c r="L36" i="47"/>
  <c r="D36" i="47"/>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C118" i="52" l="1"/>
  <c r="C79" i="52"/>
  <c r="G49" i="52"/>
  <c r="G49" i="47"/>
  <c r="F49" i="47"/>
  <c r="F49" i="52"/>
  <c r="D49" i="52"/>
  <c r="E49" i="47"/>
  <c r="D49" i="47"/>
  <c r="H46" i="52"/>
  <c r="K37" i="52"/>
  <c r="C46" i="52"/>
  <c r="K46" i="52"/>
  <c r="D46" i="52"/>
  <c r="I46" i="52"/>
  <c r="J46" i="52"/>
  <c r="L46" i="52"/>
  <c r="C32" i="52"/>
  <c r="G46" i="52"/>
  <c r="E46" i="52"/>
  <c r="C41" i="52"/>
  <c r="C43" i="52" s="1"/>
  <c r="L37" i="52"/>
  <c r="J37" i="52"/>
  <c r="I37" i="52"/>
  <c r="C37" i="52"/>
  <c r="K35" i="47"/>
  <c r="L35" i="47"/>
  <c r="I126" i="47"/>
  <c r="E121" i="47"/>
  <c r="H128" i="52"/>
  <c r="G121" i="47"/>
  <c r="G36" i="47"/>
  <c r="L45" i="47"/>
  <c r="E111" i="47"/>
  <c r="C117" i="47"/>
  <c r="D118" i="47"/>
  <c r="C119" i="47"/>
  <c r="L121" i="47"/>
  <c r="L126" i="47"/>
  <c r="K128" i="47"/>
  <c r="H36" i="47"/>
  <c r="G111" i="47"/>
  <c r="D117" i="47"/>
  <c r="E118" i="47"/>
  <c r="E119" i="47"/>
  <c r="N113" i="52"/>
  <c r="D113" i="52"/>
  <c r="D114" i="52" s="1"/>
  <c r="D69" i="52" s="1"/>
  <c r="I36" i="47"/>
  <c r="I37" i="47"/>
  <c r="L46" i="47"/>
  <c r="H111" i="47"/>
  <c r="G117" i="47"/>
  <c r="F118" i="47"/>
  <c r="F119" i="47"/>
  <c r="D127" i="47"/>
  <c r="I121" i="52"/>
  <c r="F113" i="52"/>
  <c r="H37" i="47"/>
  <c r="K36" i="47"/>
  <c r="L37" i="47"/>
  <c r="H117" i="47"/>
  <c r="G118" i="47"/>
  <c r="I119" i="47"/>
  <c r="E127" i="47"/>
  <c r="I117" i="47"/>
  <c r="H118" i="47"/>
  <c r="K119" i="47"/>
  <c r="D116" i="47"/>
  <c r="K117" i="47"/>
  <c r="I118" i="47"/>
  <c r="C36" i="47"/>
  <c r="L116" i="47"/>
  <c r="L117" i="47"/>
  <c r="L118" i="47"/>
  <c r="F120" i="47"/>
  <c r="H126" i="47"/>
  <c r="I128" i="52"/>
  <c r="A94" i="52"/>
  <c r="G94" i="52" s="1"/>
  <c r="K128" i="52"/>
  <c r="A93" i="52"/>
  <c r="L93" i="52" s="1"/>
  <c r="D121" i="52"/>
  <c r="L128" i="52"/>
  <c r="N91" i="52"/>
  <c r="N99" i="52" s="1"/>
  <c r="J36" i="52"/>
  <c r="D36" i="52"/>
  <c r="I46" i="47"/>
  <c r="I47" i="47"/>
  <c r="J35" i="47"/>
  <c r="K46" i="47"/>
  <c r="L47" i="47"/>
  <c r="F111" i="47"/>
  <c r="N112" i="47"/>
  <c r="N113" i="47"/>
  <c r="F127" i="47"/>
  <c r="I128" i="47"/>
  <c r="K113" i="52"/>
  <c r="K33" i="47"/>
  <c r="K42" i="47"/>
  <c r="C46" i="47"/>
  <c r="K111" i="47"/>
  <c r="E113" i="47"/>
  <c r="L127" i="47"/>
  <c r="C33" i="47"/>
  <c r="H42" i="47"/>
  <c r="C113" i="47"/>
  <c r="L42" i="47"/>
  <c r="D46" i="47"/>
  <c r="L111" i="47"/>
  <c r="F113" i="47"/>
  <c r="G113" i="52"/>
  <c r="E113" i="52"/>
  <c r="E114" i="52" s="1"/>
  <c r="E69" i="52" s="1"/>
  <c r="I36" i="52"/>
  <c r="G46" i="47"/>
  <c r="N111" i="47"/>
  <c r="D108" i="47"/>
  <c r="C111" i="47"/>
  <c r="I113" i="47"/>
  <c r="H36" i="52"/>
  <c r="F36" i="52"/>
  <c r="H113" i="52"/>
  <c r="H46" i="47"/>
  <c r="H47" i="47"/>
  <c r="L108" i="47"/>
  <c r="D111" i="47"/>
  <c r="K113" i="47"/>
  <c r="F47" i="48"/>
  <c r="N109" i="47"/>
  <c r="J113" i="52"/>
  <c r="I113" i="52"/>
  <c r="C113" i="52"/>
  <c r="C114" i="52" s="1"/>
  <c r="C69" i="52" s="1"/>
  <c r="K121" i="52"/>
  <c r="G121" i="52"/>
  <c r="E36" i="52"/>
  <c r="K36" i="52"/>
  <c r="C121" i="52"/>
  <c r="H121" i="52"/>
  <c r="F121" i="52"/>
  <c r="J121" i="52"/>
  <c r="L121" i="52"/>
  <c r="M110" i="52"/>
  <c r="A85" i="52"/>
  <c r="A86" i="52"/>
  <c r="A101" i="52"/>
  <c r="A102" i="52"/>
  <c r="N100" i="52"/>
  <c r="A61" i="52"/>
  <c r="A62" i="52"/>
  <c r="N60" i="52"/>
  <c r="N68" i="52" s="1"/>
  <c r="N76" i="52" s="1"/>
  <c r="N84" i="52" s="1"/>
  <c r="C45" i="52"/>
  <c r="M111" i="52"/>
  <c r="H93" i="52"/>
  <c r="J93" i="52"/>
  <c r="G93" i="52"/>
  <c r="I93" i="52"/>
  <c r="M109" i="52"/>
  <c r="M108" i="52"/>
  <c r="A71" i="52"/>
  <c r="K70" i="52"/>
  <c r="L70" i="52"/>
  <c r="J70" i="52"/>
  <c r="I70" i="52"/>
  <c r="H70" i="52"/>
  <c r="F114" i="52"/>
  <c r="F69" i="52" s="1"/>
  <c r="K69" i="52"/>
  <c r="J69" i="52"/>
  <c r="H69" i="52"/>
  <c r="M69" i="52"/>
  <c r="L69" i="52"/>
  <c r="I69" i="52"/>
  <c r="G114" i="52"/>
  <c r="G69" i="52" s="1"/>
  <c r="A78" i="52"/>
  <c r="A77"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A60" i="47"/>
  <c r="N59" i="47"/>
  <c r="N67" i="47" s="1"/>
  <c r="N75" i="47" s="1"/>
  <c r="N83" i="47" s="1"/>
  <c r="A84" i="47"/>
  <c r="N84" i="47" s="1"/>
  <c r="A68" i="47"/>
  <c r="A76" i="47"/>
  <c r="H132" i="47"/>
  <c r="A92" i="47"/>
  <c r="N91" i="47"/>
  <c r="N99" i="47" s="1"/>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I94" i="52" l="1"/>
  <c r="E94" i="52"/>
  <c r="C94" i="52"/>
  <c r="C42" i="52"/>
  <c r="C44" i="52"/>
  <c r="C47" i="52"/>
  <c r="C55" i="52" s="1"/>
  <c r="E93" i="52"/>
  <c r="F93" i="52"/>
  <c r="M93" i="52"/>
  <c r="K94" i="52"/>
  <c r="C93" i="52"/>
  <c r="J94" i="52"/>
  <c r="K93" i="52"/>
  <c r="L94" i="52"/>
  <c r="D93" i="52"/>
  <c r="N93" i="52"/>
  <c r="N101" i="52" s="1"/>
  <c r="H94" i="52"/>
  <c r="M113" i="47"/>
  <c r="M113" i="52"/>
  <c r="B31" i="47"/>
  <c r="C35" i="47"/>
  <c r="C45" i="47" s="1"/>
  <c r="N94" i="52"/>
  <c r="N102" i="52" s="1"/>
  <c r="F94" i="52"/>
  <c r="A95" i="52"/>
  <c r="A96" i="52" s="1"/>
  <c r="D94" i="52"/>
  <c r="M111" i="47"/>
  <c r="F114" i="47"/>
  <c r="G114" i="47"/>
  <c r="D114" i="47"/>
  <c r="E114" i="47"/>
  <c r="N95" i="52"/>
  <c r="A72" i="52"/>
  <c r="I62" i="52"/>
  <c r="H62" i="52"/>
  <c r="A63" i="52"/>
  <c r="N62" i="52"/>
  <c r="N70" i="52" s="1"/>
  <c r="N78" i="52" s="1"/>
  <c r="L62" i="52"/>
  <c r="J62" i="52"/>
  <c r="K62" i="52"/>
  <c r="N61" i="52"/>
  <c r="N69" i="52" s="1"/>
  <c r="F61" i="52"/>
  <c r="M61" i="52"/>
  <c r="E61" i="52"/>
  <c r="K61" i="52"/>
  <c r="C61" i="52"/>
  <c r="H61" i="52"/>
  <c r="G61" i="52"/>
  <c r="D61" i="52"/>
  <c r="L61" i="52"/>
  <c r="I61" i="52"/>
  <c r="J61" i="52"/>
  <c r="N77" i="52"/>
  <c r="F77" i="52"/>
  <c r="M77" i="52"/>
  <c r="E77" i="52"/>
  <c r="K77" i="52"/>
  <c r="C77" i="52"/>
  <c r="L77" i="52"/>
  <c r="J77" i="52"/>
  <c r="I77" i="52"/>
  <c r="H77" i="52"/>
  <c r="G77" i="52"/>
  <c r="D77" i="52"/>
  <c r="J102" i="52"/>
  <c r="I102" i="52"/>
  <c r="H102" i="52"/>
  <c r="K102" i="52"/>
  <c r="A103" i="52"/>
  <c r="L102" i="52"/>
  <c r="J101" i="52"/>
  <c r="G101" i="52"/>
  <c r="F101" i="52"/>
  <c r="M101" i="52"/>
  <c r="E101" i="52"/>
  <c r="L101" i="52"/>
  <c r="D101" i="52"/>
  <c r="K101" i="52"/>
  <c r="I101" i="52"/>
  <c r="C101" i="52"/>
  <c r="H101" i="52"/>
  <c r="I86" i="52"/>
  <c r="A87" i="52"/>
  <c r="N86" i="52"/>
  <c r="K86" i="52"/>
  <c r="C86" i="52"/>
  <c r="J86" i="52"/>
  <c r="H86" i="52"/>
  <c r="L86" i="52"/>
  <c r="I78" i="52"/>
  <c r="H78" i="52"/>
  <c r="A79" i="52"/>
  <c r="L78" i="52"/>
  <c r="K78" i="52"/>
  <c r="J78" i="52"/>
  <c r="K85" i="52"/>
  <c r="C85" i="52"/>
  <c r="J85" i="52"/>
  <c r="H85" i="52"/>
  <c r="I85" i="52"/>
  <c r="G85" i="52"/>
  <c r="F85" i="52"/>
  <c r="E85" i="52"/>
  <c r="D85" i="52"/>
  <c r="N85" i="52"/>
  <c r="L85" i="52"/>
  <c r="M85"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102" i="52" l="1"/>
  <c r="C50" i="52"/>
  <c r="C52" i="52"/>
  <c r="C51" i="52" s="1"/>
  <c r="A104" i="52"/>
  <c r="N103" i="52"/>
  <c r="K72" i="52"/>
  <c r="J72" i="52"/>
  <c r="H72" i="52"/>
  <c r="L72" i="52"/>
  <c r="I72" i="52"/>
  <c r="A88" i="52"/>
  <c r="N96" i="52"/>
  <c r="E96" i="52"/>
  <c r="J96" i="52"/>
  <c r="I96" i="52"/>
  <c r="H96" i="52"/>
  <c r="G96" i="52"/>
  <c r="C96" i="52"/>
  <c r="L96" i="52"/>
  <c r="K96" i="52"/>
  <c r="F96" i="52"/>
  <c r="D96" i="52"/>
  <c r="A80" i="52"/>
  <c r="N63" i="52"/>
  <c r="N71" i="52" s="1"/>
  <c r="N79" i="52" s="1"/>
  <c r="N87" i="52" s="1"/>
  <c r="A64"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A103" i="47"/>
  <c r="L102" i="47"/>
  <c r="K102" i="47"/>
  <c r="C102" i="47"/>
  <c r="J102" i="47"/>
  <c r="I102" i="47"/>
  <c r="H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78" i="52" l="1"/>
  <c r="C80" i="52" s="1"/>
  <c r="C125" i="52" s="1"/>
  <c r="D34" i="52" s="1"/>
  <c r="C78" i="47"/>
  <c r="C70" i="52"/>
  <c r="C62" i="52"/>
  <c r="C116" i="52" s="1"/>
  <c r="N64" i="52"/>
  <c r="N72" i="52" s="1"/>
  <c r="K64" i="52"/>
  <c r="L64" i="52"/>
  <c r="J64" i="52"/>
  <c r="I64" i="52"/>
  <c r="H64" i="52"/>
  <c r="K88" i="52"/>
  <c r="C88" i="52"/>
  <c r="C126" i="52" s="1"/>
  <c r="D35" i="52" s="1"/>
  <c r="H88" i="52"/>
  <c r="L88" i="52"/>
  <c r="J88" i="52"/>
  <c r="I88" i="52"/>
  <c r="N80" i="52"/>
  <c r="N88" i="52" s="1"/>
  <c r="K80" i="52"/>
  <c r="L80" i="52"/>
  <c r="J80" i="52"/>
  <c r="H80" i="52"/>
  <c r="I80" i="52"/>
  <c r="L104" i="52"/>
  <c r="K104" i="52"/>
  <c r="C104" i="52"/>
  <c r="C128" i="52" s="1"/>
  <c r="D37" i="52" s="1"/>
  <c r="J104" i="52"/>
  <c r="I104" i="52"/>
  <c r="N104" i="52"/>
  <c r="H104"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A64" i="47"/>
  <c r="N63" i="47"/>
  <c r="N71" i="47" s="1"/>
  <c r="N79" i="47" s="1"/>
  <c r="N87" i="47" s="1"/>
  <c r="A88" i="47"/>
  <c r="A80" i="47"/>
  <c r="A96" i="47"/>
  <c r="N95" i="47"/>
  <c r="N103" i="47" s="1"/>
  <c r="A72" i="47"/>
  <c r="C71" i="52" l="1"/>
  <c r="C117" i="52" s="1"/>
  <c r="C142" i="52" s="1"/>
  <c r="C64" i="52"/>
  <c r="C123" i="52"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2" i="52" l="1"/>
  <c r="C124" i="52" s="1"/>
  <c r="D33" i="52" s="1"/>
  <c r="C70" i="47"/>
  <c r="C72" i="47" s="1"/>
  <c r="C124" i="47" s="1"/>
  <c r="D33" i="47" s="1"/>
  <c r="D32" i="52"/>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52" l="1"/>
  <c r="C129" i="47"/>
  <c r="C132" i="47" s="1"/>
  <c r="C132" i="51"/>
  <c r="D38" i="51"/>
  <c r="C134" i="51"/>
  <c r="C131" i="51"/>
  <c r="D37" i="51"/>
  <c r="C132" i="50"/>
  <c r="D38" i="50"/>
  <c r="C134" i="50"/>
  <c r="C131" i="50"/>
  <c r="D37" i="50"/>
  <c r="C130" i="49"/>
  <c r="D38" i="49" s="1"/>
  <c r="C129" i="49"/>
  <c r="D37" i="49" s="1"/>
  <c r="C129" i="48"/>
  <c r="D29" i="48"/>
  <c r="C130" i="48"/>
  <c r="P5" i="41"/>
  <c r="C131" i="52" l="1"/>
  <c r="D31" i="52"/>
  <c r="C132" i="52"/>
  <c r="D31" i="47"/>
  <c r="C131" i="47"/>
  <c r="C133" i="47" s="1"/>
  <c r="C139" i="47" s="1"/>
  <c r="C134" i="47"/>
  <c r="D40" i="47"/>
  <c r="D48" i="47" s="1"/>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7" i="31"/>
  <c r="C134" i="52" l="1"/>
  <c r="D40" i="52"/>
  <c r="D48" i="52" s="1"/>
  <c r="D79" i="52" s="1"/>
  <c r="D118" i="52" s="1"/>
  <c r="D39" i="52"/>
  <c r="C136" i="52"/>
  <c r="C133" i="52"/>
  <c r="D39" i="47"/>
  <c r="D41" i="47" s="1"/>
  <c r="C136" i="47"/>
  <c r="C137" i="47"/>
  <c r="C138"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1" i="52" l="1"/>
  <c r="C137" i="52"/>
  <c r="C139" i="52"/>
  <c r="C138" i="52"/>
  <c r="D45" i="47"/>
  <c r="D47" i="47"/>
  <c r="D42" i="47"/>
  <c r="D43" i="47"/>
  <c r="D44" i="47"/>
  <c r="D51" i="51"/>
  <c r="D50" i="51" s="1"/>
  <c r="D51" i="50"/>
  <c r="D84" i="50" s="1"/>
  <c r="D86" i="50" s="1"/>
  <c r="D124" i="50" s="1"/>
  <c r="E33" i="50" s="1"/>
  <c r="D49" i="49"/>
  <c r="D68" i="49" s="1"/>
  <c r="D60" i="49"/>
  <c r="D76" i="49"/>
  <c r="D41" i="48"/>
  <c r="D42" i="48"/>
  <c r="D43" i="48"/>
  <c r="D51" i="48" s="1"/>
  <c r="A1" i="33"/>
  <c r="D42" i="52" l="1"/>
  <c r="D43" i="52"/>
  <c r="D44" i="52"/>
  <c r="D45" i="52"/>
  <c r="D47" i="52"/>
  <c r="D55" i="52" s="1"/>
  <c r="D53" i="52" s="1"/>
  <c r="D55"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86" i="52" l="1"/>
  <c r="D102" i="52"/>
  <c r="D104" i="52" s="1"/>
  <c r="D128" i="52" s="1"/>
  <c r="E37" i="52" s="1"/>
  <c r="D52" i="52"/>
  <c r="D50" i="52"/>
  <c r="D53" i="47"/>
  <c r="D86" i="47" s="1"/>
  <c r="D88" i="47" s="1"/>
  <c r="D126" i="47" s="1"/>
  <c r="E35" i="47" s="1"/>
  <c r="D50" i="47"/>
  <c r="D102" i="47"/>
  <c r="D104" i="47" s="1"/>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87" i="52" l="1"/>
  <c r="D119" i="52" s="1"/>
  <c r="D62" i="52"/>
  <c r="D51" i="52"/>
  <c r="D70" i="52" s="1"/>
  <c r="D71" i="52" s="1"/>
  <c r="D117" i="52" s="1"/>
  <c r="D142" i="52" s="1"/>
  <c r="D78" i="52"/>
  <c r="D80" i="52" s="1"/>
  <c r="D125" i="52" s="1"/>
  <c r="E34" i="52" s="1"/>
  <c r="D52" i="47"/>
  <c r="D51" i="47" s="1"/>
  <c r="D62" i="47"/>
  <c r="D64" i="47" s="1"/>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88" i="52" l="1"/>
  <c r="D126" i="52" s="1"/>
  <c r="E35" i="52" s="1"/>
  <c r="D63" i="52"/>
  <c r="D116" i="52" s="1"/>
  <c r="D70" i="47"/>
  <c r="D72" i="47" s="1"/>
  <c r="D124" i="47" s="1"/>
  <c r="E33" i="47" s="1"/>
  <c r="D72" i="52"/>
  <c r="D124" i="52" s="1"/>
  <c r="E33" i="52" s="1"/>
  <c r="D78" i="47"/>
  <c r="D80" i="47" s="1"/>
  <c r="D125" i="47" s="1"/>
  <c r="E34" i="47"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52" l="1"/>
  <c r="D123" i="52" s="1"/>
  <c r="E32"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29" i="52" l="1"/>
  <c r="D132" i="52" s="1"/>
  <c r="D134" i="52" s="1"/>
  <c r="D132" i="47"/>
  <c r="D134" i="47" s="1"/>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D138" i="47" s="1"/>
  <c r="D136" i="47"/>
  <c r="E40" i="52"/>
  <c r="E48" i="52" s="1"/>
  <c r="D131" i="52"/>
  <c r="E31" i="52"/>
  <c r="E40" i="47"/>
  <c r="E48" i="47" s="1"/>
  <c r="E41" i="47"/>
  <c r="E47" i="47"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9" i="47" l="1"/>
  <c r="D137" i="47"/>
  <c r="D136" i="52"/>
  <c r="D133" i="52"/>
  <c r="E39" i="52"/>
  <c r="E41" i="52" s="1"/>
  <c r="E45" i="52" s="1"/>
  <c r="E55" i="47"/>
  <c r="E53" i="47" s="1"/>
  <c r="E45" i="47"/>
  <c r="E79" i="52"/>
  <c r="E118" i="52" s="1"/>
  <c r="E42" i="47"/>
  <c r="E43" i="47"/>
  <c r="E44"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4" i="52" l="1"/>
  <c r="E43" i="52"/>
  <c r="E47" i="52"/>
  <c r="E55" i="52" s="1"/>
  <c r="E102" i="52" s="1"/>
  <c r="E104" i="52" s="1"/>
  <c r="E128" i="52" s="1"/>
  <c r="F37" i="52" s="1"/>
  <c r="E42" i="52"/>
  <c r="D137" i="52"/>
  <c r="D139" i="52"/>
  <c r="D138" i="52"/>
  <c r="E102" i="47"/>
  <c r="E104" i="47" s="1"/>
  <c r="E128" i="47" s="1"/>
  <c r="F37" i="47" s="1"/>
  <c r="E52" i="47"/>
  <c r="E51" i="47" s="1"/>
  <c r="E70" i="47" s="1"/>
  <c r="E72" i="47" s="1"/>
  <c r="E124" i="47" s="1"/>
  <c r="F33" i="47"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3" i="52" l="1"/>
  <c r="E86" i="52" s="1"/>
  <c r="E50" i="52"/>
  <c r="E62" i="52" s="1"/>
  <c r="E63" i="52" s="1"/>
  <c r="E116" i="52" s="1"/>
  <c r="E52" i="52"/>
  <c r="E51" i="52" s="1"/>
  <c r="E86" i="47"/>
  <c r="E88" i="47" s="1"/>
  <c r="E126" i="47" s="1"/>
  <c r="F35" i="47" s="1"/>
  <c r="E78" i="47"/>
  <c r="E80" i="47" s="1"/>
  <c r="E125" i="47" s="1"/>
  <c r="F34" i="47" s="1"/>
  <c r="E62" i="47"/>
  <c r="E64" i="47" s="1"/>
  <c r="E123" i="47" s="1"/>
  <c r="F32" i="47"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87" i="52" l="1"/>
  <c r="E119" i="52" s="1"/>
  <c r="E64" i="52"/>
  <c r="E123" i="52" s="1"/>
  <c r="E70" i="52"/>
  <c r="E71" i="52" s="1"/>
  <c r="E117" i="52" s="1"/>
  <c r="E142" i="52" s="1"/>
  <c r="E78" i="52"/>
  <c r="E80" i="52" s="1"/>
  <c r="E125" i="52" s="1"/>
  <c r="F34" i="52" s="1"/>
  <c r="E129" i="47"/>
  <c r="F31" i="47" s="1"/>
  <c r="F32" i="52"/>
  <c r="E127" i="51"/>
  <c r="F30" i="51"/>
  <c r="E76" i="48"/>
  <c r="E78" i="48" s="1"/>
  <c r="E123" i="48" s="1"/>
  <c r="F32" i="48" s="1"/>
  <c r="E49" i="48"/>
  <c r="E127" i="50"/>
  <c r="E127" i="49"/>
  <c r="F30" i="49"/>
  <c r="E88" i="52" l="1"/>
  <c r="E126" i="52" s="1"/>
  <c r="F35" i="52" s="1"/>
  <c r="E72" i="52"/>
  <c r="E124" i="52" s="1"/>
  <c r="E131" i="47"/>
  <c r="F39" i="47" s="1"/>
  <c r="E132" i="47"/>
  <c r="E134" i="47" s="1"/>
  <c r="E68" i="48"/>
  <c r="E70" i="48" s="1"/>
  <c r="E122" i="48" s="1"/>
  <c r="F31" i="48" s="1"/>
  <c r="E48" i="48"/>
  <c r="E60" i="48" s="1"/>
  <c r="F29" i="51"/>
  <c r="E129" i="51"/>
  <c r="E130" i="51"/>
  <c r="E129" i="50"/>
  <c r="F29" i="50"/>
  <c r="E130" i="50"/>
  <c r="E129" i="49"/>
  <c r="F29" i="49"/>
  <c r="E130" i="49"/>
  <c r="F33" i="52" l="1"/>
  <c r="E129" i="52"/>
  <c r="F31" i="52" s="1"/>
  <c r="E136" i="47"/>
  <c r="E133" i="47"/>
  <c r="E138" i="47" s="1"/>
  <c r="F40" i="47"/>
  <c r="F48" i="47" s="1"/>
  <c r="E61" i="48"/>
  <c r="E114" i="48" s="1"/>
  <c r="E132" i="51"/>
  <c r="F38" i="51"/>
  <c r="E131" i="51"/>
  <c r="F37" i="51"/>
  <c r="E134" i="51"/>
  <c r="E132" i="50"/>
  <c r="F38" i="50"/>
  <c r="E134" i="50"/>
  <c r="E131" i="50"/>
  <c r="F37" i="50"/>
  <c r="F38" i="49"/>
  <c r="E132" i="49"/>
  <c r="E134" i="49"/>
  <c r="F37" i="49"/>
  <c r="E131" i="49"/>
  <c r="E131" i="52" l="1"/>
  <c r="F39" i="52" s="1"/>
  <c r="E132" i="52"/>
  <c r="F41" i="47"/>
  <c r="E137" i="47"/>
  <c r="E139"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F45" i="47" l="1"/>
  <c r="F47" i="47"/>
  <c r="F55" i="47" s="1"/>
  <c r="E134" i="52"/>
  <c r="F40" i="52"/>
  <c r="E133" i="52"/>
  <c r="E136" i="52"/>
  <c r="F44" i="47"/>
  <c r="F42" i="47"/>
  <c r="F43" i="47"/>
  <c r="E127" i="48"/>
  <c r="F29" i="48" s="1"/>
  <c r="F41" i="51"/>
  <c r="F40" i="51"/>
  <c r="F42" i="51"/>
  <c r="F43" i="51"/>
  <c r="F40" i="50"/>
  <c r="F43" i="50"/>
  <c r="F51" i="50" s="1"/>
  <c r="F41" i="50"/>
  <c r="F40" i="49"/>
  <c r="F41" i="49"/>
  <c r="F43" i="49"/>
  <c r="F53" i="47" l="1"/>
  <c r="F102" i="47"/>
  <c r="F104" i="47" s="1"/>
  <c r="F128" i="47" s="1"/>
  <c r="G37" i="47" s="1"/>
  <c r="F50" i="47"/>
  <c r="F62" i="47" s="1"/>
  <c r="F64" i="47" s="1"/>
  <c r="F123" i="47" s="1"/>
  <c r="G32" i="47" s="1"/>
  <c r="F41" i="52"/>
  <c r="F48" i="52"/>
  <c r="E139" i="52"/>
  <c r="E138" i="52"/>
  <c r="E137" i="52"/>
  <c r="E129" i="48"/>
  <c r="E131" i="48" s="1"/>
  <c r="E130" i="48"/>
  <c r="E132" i="48" s="1"/>
  <c r="F51" i="51"/>
  <c r="F50" i="51" s="1"/>
  <c r="F50" i="50"/>
  <c r="F48" i="50" s="1"/>
  <c r="F60" i="50" s="1"/>
  <c r="F51" i="49"/>
  <c r="F84" i="50"/>
  <c r="F86" i="50" s="1"/>
  <c r="F124" i="50" s="1"/>
  <c r="G33" i="50" s="1"/>
  <c r="F52" i="47" l="1"/>
  <c r="F86" i="47"/>
  <c r="F88" i="47" s="1"/>
  <c r="F126" i="47" s="1"/>
  <c r="G35" i="47" s="1"/>
  <c r="F79" i="52"/>
  <c r="F118" i="52" s="1"/>
  <c r="F47" i="52"/>
  <c r="F55" i="52" s="1"/>
  <c r="F45" i="52"/>
  <c r="F44" i="52"/>
  <c r="F43" i="52"/>
  <c r="F42"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78" i="47" l="1"/>
  <c r="F80" i="47" s="1"/>
  <c r="F125" i="47" s="1"/>
  <c r="G34" i="47" s="1"/>
  <c r="F51" i="47"/>
  <c r="F70" i="47" s="1"/>
  <c r="F72" i="47" s="1"/>
  <c r="F124" i="47" s="1"/>
  <c r="F53" i="52"/>
  <c r="F102" i="52"/>
  <c r="F104" i="52" s="1"/>
  <c r="F128" i="52" s="1"/>
  <c r="G37" i="52" s="1"/>
  <c r="F50" i="52"/>
  <c r="F62" i="52" s="1"/>
  <c r="F63" i="52" s="1"/>
  <c r="F116"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2" i="52"/>
  <c r="F86" i="52"/>
  <c r="F41" i="48"/>
  <c r="F40" i="48"/>
  <c r="F42" i="48"/>
  <c r="F84" i="48"/>
  <c r="F86" i="48" s="1"/>
  <c r="F124" i="48" s="1"/>
  <c r="G33" i="48" s="1"/>
  <c r="F50" i="48"/>
  <c r="F49" i="48" s="1"/>
  <c r="F64" i="52"/>
  <c r="F123"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7" i="52"/>
  <c r="F119" i="52" s="1"/>
  <c r="F78" i="52"/>
  <c r="F80" i="52" s="1"/>
  <c r="F125" i="52" s="1"/>
  <c r="G34" i="52" s="1"/>
  <c r="F51" i="52"/>
  <c r="F70" i="52" s="1"/>
  <c r="F68" i="48"/>
  <c r="F70" i="48" s="1"/>
  <c r="F122" i="48" s="1"/>
  <c r="G31" i="48" s="1"/>
  <c r="F48" i="48"/>
  <c r="F60" i="48" s="1"/>
  <c r="F76" i="48"/>
  <c r="F78" i="48" s="1"/>
  <c r="F123" i="48" s="1"/>
  <c r="G32" i="48" s="1"/>
  <c r="G32" i="52"/>
  <c r="F129" i="51"/>
  <c r="G29" i="51"/>
  <c r="F130" i="51"/>
  <c r="F129" i="50"/>
  <c r="G29" i="50"/>
  <c r="F130" i="50"/>
  <c r="F127" i="49"/>
  <c r="F129" i="49" s="1"/>
  <c r="D50" i="16"/>
  <c r="D60" i="16" s="1"/>
  <c r="E59" i="16"/>
  <c r="E23" i="16"/>
  <c r="E35" i="16"/>
  <c r="E36" i="16" s="1"/>
  <c r="F22" i="16"/>
  <c r="E51" i="16"/>
  <c r="F134" i="47" l="1"/>
  <c r="G40" i="47"/>
  <c r="G48" i="47" s="1"/>
  <c r="G39" i="47"/>
  <c r="G41" i="47" s="1"/>
  <c r="F136" i="47"/>
  <c r="F133" i="47"/>
  <c r="F71" i="52"/>
  <c r="F117" i="52" s="1"/>
  <c r="F142" i="52" s="1"/>
  <c r="F88" i="52"/>
  <c r="F126" i="52" s="1"/>
  <c r="G35"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2" i="47" s="1"/>
  <c r="G64" i="47" s="1"/>
  <c r="G123" i="47" s="1"/>
  <c r="F137" i="47"/>
  <c r="F138" i="47"/>
  <c r="F139" i="47"/>
  <c r="F72" i="52"/>
  <c r="F124"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78" i="47" s="1"/>
  <c r="G80" i="47" s="1"/>
  <c r="G125" i="47" s="1"/>
  <c r="G102" i="47"/>
  <c r="G104" i="47" s="1"/>
  <c r="G128" i="47" s="1"/>
  <c r="G33" i="52"/>
  <c r="F129" i="52"/>
  <c r="G31"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0" i="47" s="1"/>
  <c r="G72" i="47" s="1"/>
  <c r="G124" i="47" s="1"/>
  <c r="G129" i="47" s="1"/>
  <c r="G131" i="47" s="1"/>
  <c r="G136" i="47" s="1"/>
  <c r="G86" i="47"/>
  <c r="G88" i="47" s="1"/>
  <c r="G126" i="47" s="1"/>
  <c r="F131" i="52"/>
  <c r="G39" i="52" s="1"/>
  <c r="F132"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4" i="52"/>
  <c r="G40" i="52"/>
  <c r="G41" i="52"/>
  <c r="F133" i="52"/>
  <c r="F136"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5" i="52" l="1"/>
  <c r="G47" i="52"/>
  <c r="G55" i="52" s="1"/>
  <c r="G43" i="52"/>
  <c r="G42" i="52"/>
  <c r="G44" i="52"/>
  <c r="G48" i="52"/>
  <c r="F139" i="52"/>
  <c r="F138" i="52"/>
  <c r="F137"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9" i="52" l="1"/>
  <c r="G118" i="52" s="1"/>
  <c r="G50" i="52"/>
  <c r="G62" i="52" s="1"/>
  <c r="G53" i="52"/>
  <c r="G102" i="52"/>
  <c r="G104" i="52" s="1"/>
  <c r="G128"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2" i="52" l="1"/>
  <c r="G86" i="52"/>
  <c r="G63" i="52"/>
  <c r="G116" i="52" s="1"/>
  <c r="G64" i="52"/>
  <c r="G123" i="52" s="1"/>
  <c r="G68" i="48"/>
  <c r="G70" i="48" s="1"/>
  <c r="G122" i="48" s="1"/>
  <c r="G48" i="48"/>
  <c r="G60" i="48" s="1"/>
  <c r="G76" i="48"/>
  <c r="G78" i="48" s="1"/>
  <c r="G123" i="48" s="1"/>
  <c r="G129" i="51"/>
  <c r="H29" i="51"/>
  <c r="G130" i="51"/>
  <c r="G127" i="50"/>
  <c r="G129" i="50" s="1"/>
  <c r="G129" i="49"/>
  <c r="H37" i="49" s="1"/>
  <c r="H29" i="49"/>
  <c r="G130" i="49"/>
  <c r="E49" i="16"/>
  <c r="E54" i="16" s="1"/>
  <c r="F50" i="16"/>
  <c r="F60" i="16" s="1"/>
  <c r="G87" i="52" l="1"/>
  <c r="G119" i="52" s="1"/>
  <c r="G78" i="52"/>
  <c r="G80" i="52" s="1"/>
  <c r="G125" i="52" s="1"/>
  <c r="G51" i="52"/>
  <c r="G70" i="52" s="1"/>
  <c r="G61" i="48"/>
  <c r="G114" i="48" s="1"/>
  <c r="H38" i="51"/>
  <c r="G132" i="51"/>
  <c r="G131" i="51"/>
  <c r="H37" i="51"/>
  <c r="G134" i="51"/>
  <c r="G130" i="50"/>
  <c r="G132" i="50" s="1"/>
  <c r="H29" i="50"/>
  <c r="G131" i="50"/>
  <c r="G134" i="50"/>
  <c r="H37" i="50"/>
  <c r="G132" i="49"/>
  <c r="H38" i="49"/>
  <c r="G131" i="49"/>
  <c r="G134" i="49"/>
  <c r="E57" i="16"/>
  <c r="F24" i="16" s="1"/>
  <c r="F25" i="16"/>
  <c r="G71" i="52" l="1"/>
  <c r="G117" i="52" s="1"/>
  <c r="G142" i="52" s="1"/>
  <c r="G88" i="52"/>
  <c r="G126"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2" i="52" l="1"/>
  <c r="G124" i="52" s="1"/>
  <c r="G129"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1" i="52" l="1"/>
  <c r="G132" i="52"/>
  <c r="G134" i="52" s="1"/>
  <c r="G137" i="48"/>
  <c r="G136" i="48"/>
  <c r="G135" i="48"/>
  <c r="H51" i="51"/>
  <c r="H50" i="51" s="1"/>
  <c r="H50" i="50"/>
  <c r="H48" i="50" s="1"/>
  <c r="H51" i="49"/>
  <c r="H84" i="49" s="1"/>
  <c r="H86" i="49" s="1"/>
  <c r="H124" i="49" s="1"/>
  <c r="I33" i="49" s="1"/>
  <c r="H84" i="50"/>
  <c r="H86" i="50" s="1"/>
  <c r="H124" i="50" s="1"/>
  <c r="I33" i="50" s="1"/>
  <c r="G50" i="16"/>
  <c r="F49" i="16"/>
  <c r="F54" i="16" s="1"/>
  <c r="G133" i="52" l="1"/>
  <c r="G136"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8" i="52" l="1"/>
  <c r="G137" i="52"/>
  <c r="G139"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<sst xmlns="http://schemas.openxmlformats.org/spreadsheetml/2006/main" count="1140" uniqueCount="384">
  <si>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</si>
  <si>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</si>
  <si>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</si>
  <si>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</si>
  <si>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</si>
  <si>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</si>
  <si>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</si>
  <si>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</si>
  <si>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</si>
  <si>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</si>
  <si>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</si>
  <si>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</si>
  <si>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</si>
  <si>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</si>
  <si>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</si>
  <si>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</si>
  <si>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</si>
  <si>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</si>
  <si>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</si>
  <si>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</si>
  <si>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</si>
  <si>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</si>
  <si>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</si>
  <si>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</si>
  <si>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</si>
  <si>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</si>
  <si>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</si>
  <si>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</si>
  <si>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</si>
  <si>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</si>
  <si>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</si>
  <si>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</si>
  <si>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</si>
  <si>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</si>
  <si>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</si>
  <si>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</si>
  <si>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</si>
  <si>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</si>
  <si>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</si>
  <si>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</si>
  <si>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</si>
  <si>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</si>
  <si>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</si>
  <si>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</si>
  <si>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</si>
  <si>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</si>
  <si>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</si>
  <si>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</si>
  <si>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</si>
  <si>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</si>
  <si>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</si>
  <si>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</si>
  <si>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</si>
  <si>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</si>
  <si>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</si>
  <si>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</si>
  <si>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</si>
  <si>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</si>
  <si>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</si>
  <si>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</si>
  <si>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</si>
  <si>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</si>
  <si>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</si>
  <si>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</si>
  <si>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</si>
  <si>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</si>
  <si>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</si>
  <si>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</si>
  <si>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</si>
  <si>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</si>
  <si>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</si>
  <si>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</si>
  <si>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</si>
  <si>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</si>
  <si>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</si>
  <si>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</si>
  <si>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</si>
  <si>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</si>
  <si>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</si>
  <si>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</si>
  <si>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</si>
  <si>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</si>
  <si>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</si>
  <si>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</si>
  <si>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</si>
  <si>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</si>
  <si>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</si>
  <si>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</si>
  <si>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</si>
  <si>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</si>
  <si>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</si>
  <si>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</si>
  <si>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</si>
  <si>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</si>
  <si>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</si>
  <si>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</si>
  <si>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</si>
  <si>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</si>
  <si>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</si>
  <si>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</si>
  <si>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</si>
  <si>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</si>
  <si>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</si>
  <si>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</si>
  <si>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</si>
  <si>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</si>
  <si>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</si>
  <si>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</si>
  <si>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</si>
  <si>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</si>
  <si>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</si>
  <si>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</si>
  <si>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</si>
  <si>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</si>
  <si>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</si>
  <si>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</si>
  <si>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</si>
  <si>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</si>
  <si>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</si>
  <si>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</si>
  <si>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</si>
  <si>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</si>
  <si>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</si>
  <si>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</si>
  <si>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</si>
  <si>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</si>
  <si>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</si>
  <si>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</si>
  <si>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</si>
  <si>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</si>
  <si>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</si>
  <si>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</si>
  <si>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</si>
  <si>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</si>
  <si>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</si>
  <si>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</si>
  <si>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</si>
  <si>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</si>
  <si>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</si>
  <si>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</si>
  <si>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</si>
  <si>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</si>
  <si>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</si>
  <si>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</si>
  <si>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</si>
  <si>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</si>
  <si>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</si>
  <si>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</si>
  <si>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</si>
  <si>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</si>
  <si>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</si>
  <si>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</si>
  <si>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</si>
  <si>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</si>
  <si>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</si>
  <si>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</si>
  <si>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</si>
  <si>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</si>
  <si>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</si>
  <si>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</si>
  <si>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</si>
  <si>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</si>
  <si>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</si>
  <si>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</si>
  <si>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</si>
  <si>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</si>
  <si>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</si>
  <si>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</si>
  <si>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</si>
  <si>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</si>
  <si>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</si>
  <si>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</si>
  <si>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</si>
  <si>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</si>
  <si>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</si>
  <si>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</si>
  <si>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</si>
  <si>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</si>
  <si>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</si>
  <si>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</si>
  <si>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</si>
  <si>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</si>
  <si>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</si>
  <si>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</si>
  <si>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</si>
  <si>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</si>
  <si>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</si>
  <si>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</si>
  <si>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</si>
  <si>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</si>
  <si>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</si>
  <si>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</si>
  <si>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</si>
  <si>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</si>
  <si>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</si>
  <si>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</si>
  <si>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</si>
  <si>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</si>
  <si>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</si>
  <si>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</si>
  <si>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</si>
  <si>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</si>
  <si>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</si>
  <si>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</si>
  <si>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</si>
  <si>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</si>
  <si>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</si>
  <si>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</si>
  <si>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</si>
  <si>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</si>
  <si>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</si>
  <si>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</si>
  <si>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</si>
  <si>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</si>
  <si>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</si>
  <si>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</si>
  <si>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</si>
  <si>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</si>
  <si>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</si>
  <si>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</si>
  <si>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</si>
  <si>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</si>
  <si>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</si>
  <si>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</si>
  <si>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</si>
  <si>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</si>
  <si>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</si>
  <si>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</si>
  <si>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</si>
  <si>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</si>
  <si>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</si>
  <si>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</si>
  <si>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</si>
  <si>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</si>
  <si>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</si>
  <si>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</si>
  <si>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</si>
  <si>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</si>
  <si>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</si>
  <si>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</si>
  <si>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</si>
  <si>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</si>
  <si>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</si>
  <si>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</si>
  <si>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</si>
  <si>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</si>
  <si>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</si>
  <si>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</si>
  <si>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</si>
  <si>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</si>
  <si>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</si>
  <si>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</si>
  <si>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</si>
  <si>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</si>
  <si>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</si>
  <si>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</si>
  <si>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</si>
  <si>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</si>
  <si>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</si>
  <si>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</si>
  <si>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</si>
  <si>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</si>
  <si>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</si>
  <si>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</si>
  <si>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</si>
  <si>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</si>
  <si>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</si>
  <si>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</si>
  <si>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</si>
  <si>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</si>
  <si>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</si>
  <si>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</si>
  <si>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</si>
  <si>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</si>
  <si>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</si>
  <si>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</si>
  <si>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</si>
  <si>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</si>
  <si>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</si>
  <si>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</si>
  <si>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</si>
  <si>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</si>
  <si>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</si>
  <si>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</si>
  <si>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</si>
  <si>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</si>
  <si>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</si>
  <si>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</si>
  <si>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</si>
  <si>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</si>
  <si>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</si>
  <si>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</si>
  <si>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</si>
  <si>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</si>
  <si>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</si>
  <si>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</si>
  <si>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</si>
  <si>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</si>
  <si>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</si>
  <si>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</si>
  <si>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</si>
  <si>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</si>
  <si>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</si>
  <si>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</si>
  <si>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</si>
  <si>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</si>
  <si>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</si>
  <si>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</si>
  <si>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</si>
  <si>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</si>
  <si>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</si>
  <si>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</si>
  <si>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</si>
  <si>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</si>
  <si>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</si>
  <si>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</si>
  <si>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</si>
  <si>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</si>
  <si>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</si>
  <si>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</si>
  <si>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</si>
  <si>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</si>
  <si>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</si>
  <si>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</si>
  <si>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</si>
  <si>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</si>
  <si>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</si>
  <si>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</si>
  <si>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</si>
  <si>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</si>
  <si>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</si>
  <si>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</si>
  <si>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</si>
  <si>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</si>
  <si>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</si>
  <si>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</si>
  <si>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</si>
  <si>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</si>
  <si>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</si>
  <si>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</si>
  <si>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</si>
  <si>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</si>
  <si>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</si>
  <si>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</si>
  <si>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</si>
  <si>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</si>
  <si>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</si>
  <si>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</si>
  <si>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</si>
  <si>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</si>
  <si>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</si>
  <si>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</si>
  <si>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</si>
  <si>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</si>
  <si>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</si>
  <si>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</si>
  <si>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</si>
  <si>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</si>
  <si>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</si>
  <si>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</si>
  <si>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</si>
  <si>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</si>
  <si>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</si>
  <si>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</si>
  <si>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</si>
  <si>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</si>
  <si>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</si>
  <si>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</si>
  <si>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4) Save up to make a 0.06 maf pulse flow every few years</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</si>
  <si>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</si>
  <si>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</si>
  <si>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</si>
  <si>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</si>
  <si>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</si>
  <si>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</si>
  <si>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</si>
  <si>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</si>
  <si>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</si>
  <si>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 xml:space="preserve">5) Provide managers more flexibility to meet temperature needs of endangered Grand Canyon fish while preserve access to stored water. </t>
  </si>
  <si>
    <t>See Powell Release Temperature sheet and Wheeler et al, 2021, Sidebar 1, p. 47</t>
  </si>
  <si>
    <t>6) Move existing Lower Basin and Mexico conservation account balances into flex accounts.</t>
  </si>
  <si>
    <t>7)</t>
  </si>
  <si>
    <t>Shift "my" basin, "my" reservoir, and "my contingency plan" mentality towards "our" reservoirs.</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</si>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</sst>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20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5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tabSelected="1" topLeftCell="A53" zoomScale="150" zoomScaleNormal="150" workbookViewId="0">
      <selection activeCell="A65" sqref="A65:L65"/>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x14ac:dyDescent="0.25">
      <c r="A1" s="1" t="s">
        <v>205</v>
      </c>
      <c r="B1" s="1"/>
      <c r="C1" s="2"/>
      <c r="D1"/>
    </row>
    <row r="2" spans="1:18" x14ac:dyDescent="0.25">
      <c r="A2" s="1"/>
      <c r="B2" s="1"/>
      <c r="C2" s="2"/>
      <c r="D2"/>
    </row>
    <row r="3" spans="1:18" x14ac:dyDescent="0.25">
      <c r="A3" s="1" t="s">
        <v>233</v>
      </c>
      <c r="B3" s="1"/>
      <c r="C3" s="2"/>
      <c r="D3"/>
      <c r="N3" s="1" t="s">
        <v>317</v>
      </c>
    </row>
    <row r="4" spans="1:18" s="79" customFormat="1" ht="66" customHeight="1" x14ac:dyDescent="0.25">
      <c r="A4" s="163" t="s">
        <v>372</v>
      </c>
      <c r="B4" s="163"/>
      <c r="C4" s="163"/>
      <c r="D4" s="163"/>
      <c r="E4" s="163"/>
      <c r="F4" s="163"/>
      <c r="G4" s="163"/>
      <c r="H4" s="163"/>
      <c r="I4" s="163"/>
      <c r="J4" s="163"/>
      <c r="K4" s="163"/>
      <c r="L4" s="163"/>
      <c r="N4" s="167" t="s">
        <v>318</v>
      </c>
      <c r="O4" s="167"/>
      <c r="P4" s="167"/>
      <c r="Q4" s="167"/>
      <c r="R4" s="167"/>
    </row>
    <row r="5" spans="1:18" s="32" customFormat="1" ht="15.95" customHeight="1" x14ac:dyDescent="0.25">
      <c r="A5" s="163" t="s">
        <v>373</v>
      </c>
      <c r="B5" s="163"/>
      <c r="C5" s="163"/>
      <c r="D5" s="163"/>
      <c r="E5" s="163"/>
      <c r="F5" s="163"/>
      <c r="G5" s="163"/>
      <c r="H5" s="163"/>
      <c r="I5" s="163"/>
      <c r="J5" s="163"/>
      <c r="K5" s="163"/>
      <c r="L5" s="163"/>
    </row>
    <row r="6" spans="1:18" s="32" customFormat="1" ht="32.450000000000003" customHeight="1" x14ac:dyDescent="0.25">
      <c r="A6" s="164" t="s">
        <v>230</v>
      </c>
      <c r="B6" s="164"/>
      <c r="C6" s="164"/>
      <c r="D6" s="164"/>
      <c r="E6" s="164"/>
      <c r="F6" s="164"/>
      <c r="G6" s="164"/>
      <c r="H6" s="164"/>
      <c r="I6" s="164"/>
      <c r="J6" s="164"/>
      <c r="K6" s="164"/>
      <c r="L6" s="164"/>
      <c r="N6" s="148" t="s">
        <v>319</v>
      </c>
    </row>
    <row r="7" spans="1:18" s="32" customFormat="1" ht="20.25" customHeight="1" x14ac:dyDescent="0.25">
      <c r="A7" s="164" t="s">
        <v>374</v>
      </c>
      <c r="B7" s="164"/>
      <c r="C7" s="164"/>
      <c r="D7" s="164"/>
      <c r="E7" s="164"/>
      <c r="F7" s="164"/>
      <c r="G7" s="164"/>
      <c r="H7" s="164"/>
      <c r="I7" s="164"/>
      <c r="J7" s="164"/>
      <c r="K7" s="164"/>
      <c r="L7" s="164"/>
    </row>
    <row r="8" spans="1:18" s="32" customFormat="1" ht="16.5" customHeight="1" x14ac:dyDescent="0.25">
      <c r="A8" s="164" t="s">
        <v>375</v>
      </c>
      <c r="B8" s="164"/>
      <c r="C8" s="164"/>
      <c r="D8" s="164"/>
      <c r="E8" s="164"/>
      <c r="F8" s="164"/>
      <c r="G8" s="164"/>
      <c r="H8" s="164"/>
      <c r="I8" s="164"/>
      <c r="J8" s="164"/>
      <c r="K8" s="164"/>
      <c r="L8" s="164"/>
      <c r="N8" s="69" t="s">
        <v>376</v>
      </c>
    </row>
    <row r="9" spans="1:18" s="32" customFormat="1" ht="15" customHeight="1" x14ac:dyDescent="0.25">
      <c r="A9" s="164" t="s">
        <v>377</v>
      </c>
      <c r="B9" s="164"/>
      <c r="C9" s="164"/>
      <c r="D9" s="164"/>
      <c r="E9" s="164"/>
      <c r="F9" s="164"/>
      <c r="G9" s="164"/>
      <c r="H9" s="164"/>
      <c r="I9" s="164"/>
      <c r="J9" s="164"/>
      <c r="K9" s="164"/>
      <c r="L9" s="164"/>
    </row>
    <row r="10" spans="1:18" s="32" customFormat="1" ht="32.1" customHeight="1" x14ac:dyDescent="0.25">
      <c r="A10" s="164" t="s">
        <v>378</v>
      </c>
      <c r="B10" s="164"/>
      <c r="C10" s="164"/>
      <c r="D10" s="164"/>
      <c r="E10" s="164"/>
      <c r="F10" s="164"/>
      <c r="G10" s="164"/>
      <c r="H10" s="164"/>
      <c r="I10" s="164"/>
      <c r="J10" s="164"/>
      <c r="K10" s="164"/>
      <c r="L10" s="164"/>
      <c r="N10" s="32" t="s">
        <v>379</v>
      </c>
    </row>
    <row r="11" spans="1:18" ht="15" customHeight="1" x14ac:dyDescent="0.25">
      <c r="A11" s="164" t="s">
        <v>380</v>
      </c>
      <c r="B11" s="164"/>
      <c r="C11" s="164"/>
      <c r="D11" s="164"/>
      <c r="E11" s="164"/>
      <c r="F11" s="164"/>
      <c r="G11" s="164"/>
      <c r="H11" s="164"/>
      <c r="I11" s="164"/>
      <c r="J11" s="164"/>
      <c r="K11" s="164"/>
      <c r="L11" s="164"/>
    </row>
    <row r="12" spans="1:18" ht="17.25" customHeight="1" x14ac:dyDescent="0.25">
      <c r="A12" s="159" t="s">
        <v>381</v>
      </c>
      <c r="B12" t="s">
        <v>382</v>
      </c>
      <c r="C12" s="159"/>
      <c r="D12" s="159"/>
      <c r="E12" s="159"/>
      <c r="F12" s="159"/>
      <c r="G12" s="159"/>
      <c r="H12" s="159"/>
      <c r="I12" s="159"/>
      <c r="J12" s="159"/>
      <c r="K12" s="159"/>
      <c r="L12" s="159"/>
    </row>
    <row r="13" spans="1:18" ht="20.25" customHeight="1" x14ac:dyDescent="0.25">
      <c r="A13" s="159"/>
      <c r="B13" s="159"/>
      <c r="C13" s="159"/>
      <c r="D13" s="159"/>
      <c r="E13" s="159"/>
      <c r="F13" s="159"/>
      <c r="G13" s="159"/>
      <c r="H13" s="159"/>
      <c r="I13" s="159"/>
      <c r="J13" s="159"/>
      <c r="K13" s="159"/>
      <c r="L13" s="159"/>
    </row>
    <row r="14" spans="1:18" ht="50.45" customHeight="1" x14ac:dyDescent="0.25">
      <c r="A14" s="164" t="s">
        <v>383</v>
      </c>
      <c r="B14" s="164"/>
      <c r="C14" s="164"/>
      <c r="D14" s="164"/>
      <c r="E14" s="164"/>
      <c r="F14" s="164"/>
      <c r="G14" s="164"/>
      <c r="H14" s="164"/>
      <c r="I14" s="164"/>
      <c r="J14" s="164"/>
      <c r="K14" s="164"/>
      <c r="L14" s="164"/>
    </row>
    <row r="15" spans="1:18" ht="48.6" customHeight="1" x14ac:dyDescent="0.25">
      <c r="A15" s="164" t="s">
        <v>200</v>
      </c>
      <c r="B15" s="164"/>
      <c r="C15" s="164"/>
      <c r="D15" s="164"/>
      <c r="E15" s="164"/>
      <c r="F15" s="164"/>
      <c r="G15" s="164"/>
      <c r="H15" s="164"/>
      <c r="I15" s="164"/>
      <c r="J15" s="164"/>
      <c r="K15" s="164"/>
      <c r="L15" s="164"/>
    </row>
    <row r="16" spans="1:18" ht="15.6" customHeight="1" x14ac:dyDescent="0.25">
      <c r="A16" s="164" t="s">
        <v>333</v>
      </c>
      <c r="B16" s="164"/>
      <c r="C16" s="164"/>
      <c r="D16" s="164"/>
      <c r="E16" s="164"/>
      <c r="F16" s="164"/>
      <c r="G16" s="164"/>
      <c r="H16" s="164"/>
      <c r="I16" s="164"/>
      <c r="J16" s="164"/>
      <c r="K16" s="164"/>
      <c r="L16" s="164"/>
    </row>
    <row r="17" spans="1:12" x14ac:dyDescent="0.25">
      <c r="B17" s="15"/>
      <c r="C17" s="15"/>
      <c r="D17" s="15"/>
      <c r="E17" s="15"/>
      <c r="F17" s="15"/>
      <c r="G17" s="15"/>
      <c r="H17" s="15"/>
      <c r="I17" s="15"/>
      <c r="J17" s="15"/>
      <c r="K17" s="15"/>
      <c r="L17" s="15"/>
    </row>
    <row r="18" spans="1:12" ht="16.5" customHeight="1" x14ac:dyDescent="0.25">
      <c r="A18" s="169" t="s">
        <v>201</v>
      </c>
      <c r="B18" s="170"/>
      <c r="C18" s="170"/>
      <c r="D18" s="170"/>
      <c r="E18" s="170"/>
      <c r="F18" s="170"/>
      <c r="G18" s="170"/>
      <c r="H18" s="170"/>
      <c r="I18" s="170"/>
      <c r="J18" s="170"/>
      <c r="K18" s="170"/>
      <c r="L18" s="171"/>
    </row>
    <row r="19" spans="1:12" ht="16.5" customHeight="1" x14ac:dyDescent="0.25">
      <c r="A19" s="28">
        <v>1</v>
      </c>
      <c r="B19" s="165" t="s">
        <v>141</v>
      </c>
      <c r="C19" s="165"/>
      <c r="D19" s="165"/>
      <c r="E19" s="165"/>
      <c r="F19" s="165"/>
      <c r="G19" s="165"/>
      <c r="H19" s="165"/>
      <c r="I19" s="165"/>
      <c r="J19" s="165"/>
      <c r="K19" s="165"/>
      <c r="L19" s="166"/>
    </row>
    <row r="20" spans="1:12" ht="16.5" customHeight="1" x14ac:dyDescent="0.25">
      <c r="A20" s="28">
        <v>2</v>
      </c>
      <c r="B20" s="165" t="s">
        <v>202</v>
      </c>
      <c r="C20" s="165"/>
      <c r="D20" s="165"/>
      <c r="E20" s="165"/>
      <c r="F20" s="165"/>
      <c r="G20" s="165"/>
      <c r="H20" s="165"/>
      <c r="I20" s="165"/>
      <c r="J20" s="165"/>
      <c r="K20" s="165"/>
      <c r="L20" s="166"/>
    </row>
    <row r="21" spans="1:12" ht="34.5" customHeight="1" x14ac:dyDescent="0.25">
      <c r="A21" s="28">
        <v>3</v>
      </c>
      <c r="B21" s="165" t="s">
        <v>356</v>
      </c>
      <c r="C21" s="165"/>
      <c r="D21" s="165"/>
      <c r="E21" s="165"/>
      <c r="F21" s="165"/>
      <c r="G21" s="165"/>
      <c r="H21" s="165"/>
      <c r="I21" s="165"/>
      <c r="J21" s="165"/>
      <c r="K21" s="165"/>
      <c r="L21" s="166"/>
    </row>
    <row r="22" spans="1:12" ht="32.450000000000003" customHeight="1" x14ac:dyDescent="0.25">
      <c r="A22" s="28">
        <v>4</v>
      </c>
      <c r="B22" s="165" t="s">
        <v>355</v>
      </c>
      <c r="C22" s="165"/>
      <c r="D22" s="165"/>
      <c r="E22" s="165"/>
      <c r="F22" s="165"/>
      <c r="G22" s="165"/>
      <c r="H22" s="165"/>
      <c r="I22" s="165"/>
      <c r="J22" s="165"/>
      <c r="K22" s="165"/>
      <c r="L22" s="166"/>
    </row>
    <row r="23" spans="1:12" ht="29.1" customHeight="1" x14ac:dyDescent="0.25">
      <c r="A23" s="28">
        <v>5</v>
      </c>
      <c r="B23" s="165" t="s">
        <v>357</v>
      </c>
      <c r="C23" s="165"/>
      <c r="D23" s="165"/>
      <c r="E23" s="165"/>
      <c r="F23" s="165"/>
      <c r="G23" s="165"/>
      <c r="H23" s="165"/>
      <c r="I23" s="165"/>
      <c r="J23" s="165"/>
      <c r="K23" s="165"/>
      <c r="L23" s="166"/>
    </row>
    <row r="24" spans="1:12" ht="30" customHeight="1" x14ac:dyDescent="0.25">
      <c r="A24" s="28">
        <v>6</v>
      </c>
      <c r="B24" s="165" t="s">
        <v>339</v>
      </c>
      <c r="C24" s="165"/>
      <c r="D24" s="165"/>
      <c r="E24" s="165"/>
      <c r="F24" s="165"/>
      <c r="G24" s="165"/>
      <c r="H24" s="165"/>
      <c r="I24" s="165"/>
      <c r="J24" s="165"/>
      <c r="K24" s="165"/>
      <c r="L24" s="166"/>
    </row>
    <row r="25" spans="1:12" ht="33.950000000000003" customHeight="1" x14ac:dyDescent="0.25">
      <c r="A25" s="28">
        <v>7</v>
      </c>
      <c r="B25" s="165" t="s">
        <v>358</v>
      </c>
      <c r="C25" s="165"/>
      <c r="D25" s="165"/>
      <c r="E25" s="165"/>
      <c r="F25" s="165"/>
      <c r="G25" s="165"/>
      <c r="H25" s="165"/>
      <c r="I25" s="165"/>
      <c r="J25" s="165"/>
      <c r="K25" s="165"/>
      <c r="L25" s="166"/>
    </row>
    <row r="26" spans="1:12" ht="31.5" customHeight="1" x14ac:dyDescent="0.25">
      <c r="A26" s="28">
        <v>8</v>
      </c>
      <c r="B26" s="165" t="s">
        <v>340</v>
      </c>
      <c r="C26" s="165"/>
      <c r="D26" s="165"/>
      <c r="E26" s="165"/>
      <c r="F26" s="165"/>
      <c r="G26" s="165"/>
      <c r="H26" s="165"/>
      <c r="I26" s="165"/>
      <c r="J26" s="165"/>
      <c r="K26" s="165"/>
      <c r="L26" s="166"/>
    </row>
    <row r="27" spans="1:12" ht="60.6" customHeight="1" x14ac:dyDescent="0.25">
      <c r="A27" s="28">
        <v>10</v>
      </c>
      <c r="B27" s="165" t="s">
        <v>341</v>
      </c>
      <c r="C27" s="165"/>
      <c r="D27" s="165"/>
      <c r="E27" s="165"/>
      <c r="F27" s="165"/>
      <c r="G27" s="165"/>
      <c r="H27" s="165"/>
      <c r="I27" s="165"/>
      <c r="J27" s="165"/>
      <c r="K27" s="165"/>
      <c r="L27" s="166"/>
    </row>
    <row r="28" spans="1:12" ht="16.5" customHeight="1" x14ac:dyDescent="0.25">
      <c r="A28" s="28">
        <v>11</v>
      </c>
      <c r="B28" s="165" t="s">
        <v>342</v>
      </c>
      <c r="C28" s="165"/>
      <c r="D28" s="165"/>
      <c r="E28" s="165"/>
      <c r="F28" s="165"/>
      <c r="G28" s="165"/>
      <c r="H28" s="165"/>
      <c r="I28" s="165"/>
      <c r="J28" s="165"/>
      <c r="K28" s="165"/>
      <c r="L28" s="166"/>
    </row>
    <row r="29" spans="1:12" ht="16.5" customHeight="1" x14ac:dyDescent="0.25">
      <c r="A29" s="28">
        <v>12</v>
      </c>
      <c r="B29" s="165" t="s">
        <v>343</v>
      </c>
      <c r="C29" s="165"/>
      <c r="D29" s="165"/>
      <c r="E29" s="165"/>
      <c r="F29" s="165"/>
      <c r="G29" s="165"/>
      <c r="H29" s="165"/>
      <c r="I29" s="165"/>
      <c r="J29" s="165"/>
      <c r="K29" s="165"/>
      <c r="L29" s="166"/>
    </row>
    <row r="30" spans="1:12" ht="32.1" customHeight="1" x14ac:dyDescent="0.25">
      <c r="A30" s="28">
        <v>13</v>
      </c>
      <c r="B30" s="165" t="s">
        <v>344</v>
      </c>
      <c r="C30" s="165"/>
      <c r="D30" s="165"/>
      <c r="E30" s="165"/>
      <c r="F30" s="165"/>
      <c r="G30" s="165"/>
      <c r="H30" s="165"/>
      <c r="I30" s="165"/>
      <c r="J30" s="165"/>
      <c r="K30" s="165"/>
      <c r="L30" s="166"/>
    </row>
    <row r="31" spans="1:12" ht="17.45" customHeight="1" x14ac:dyDescent="0.25">
      <c r="A31" s="28">
        <v>14</v>
      </c>
      <c r="B31" s="165" t="s">
        <v>345</v>
      </c>
      <c r="C31" s="165"/>
      <c r="D31" s="165"/>
      <c r="E31" s="165"/>
      <c r="F31" s="165"/>
      <c r="G31" s="165"/>
      <c r="H31" s="165"/>
      <c r="I31" s="165"/>
      <c r="J31" s="165"/>
      <c r="K31" s="165"/>
      <c r="L31" s="166"/>
    </row>
    <row r="32" spans="1:12" ht="30" customHeight="1" x14ac:dyDescent="0.25">
      <c r="A32" s="28">
        <v>15</v>
      </c>
      <c r="B32" s="165" t="s">
        <v>346</v>
      </c>
      <c r="C32" s="165"/>
      <c r="D32" s="165"/>
      <c r="E32" s="165"/>
      <c r="F32" s="165"/>
      <c r="G32" s="165"/>
      <c r="H32" s="165"/>
      <c r="I32" s="165"/>
      <c r="J32" s="165"/>
      <c r="K32" s="165"/>
      <c r="L32" s="166"/>
    </row>
    <row r="33" spans="1:12" ht="16.5" customHeight="1" x14ac:dyDescent="0.25">
      <c r="A33" s="28">
        <v>16</v>
      </c>
      <c r="B33" s="172" t="s">
        <v>203</v>
      </c>
      <c r="C33" s="172"/>
      <c r="D33" s="172"/>
      <c r="E33" s="172"/>
      <c r="F33" s="172"/>
      <c r="G33" s="172"/>
      <c r="H33" s="172"/>
      <c r="I33" s="172"/>
      <c r="J33" s="172"/>
      <c r="K33" s="172"/>
      <c r="L33" s="173"/>
    </row>
    <row r="34" spans="1:12" ht="32.1" customHeight="1" x14ac:dyDescent="0.25">
      <c r="A34" s="28">
        <v>17</v>
      </c>
      <c r="B34" s="165" t="s">
        <v>204</v>
      </c>
      <c r="C34" s="165"/>
      <c r="D34" s="165"/>
      <c r="E34" s="165"/>
      <c r="F34" s="165"/>
      <c r="G34" s="165"/>
      <c r="H34" s="165"/>
      <c r="I34" s="165"/>
      <c r="J34" s="165"/>
      <c r="K34" s="165"/>
      <c r="L34" s="166"/>
    </row>
    <row r="35" spans="1:12" ht="30.95" customHeight="1" x14ac:dyDescent="0.25">
      <c r="A35" s="28">
        <v>18</v>
      </c>
      <c r="B35" s="174" t="s">
        <v>207</v>
      </c>
      <c r="C35" s="174"/>
      <c r="D35" s="174"/>
      <c r="E35" s="174"/>
      <c r="F35" s="174"/>
      <c r="G35" s="174"/>
      <c r="H35" s="174"/>
      <c r="I35" s="174"/>
      <c r="J35" s="174"/>
      <c r="K35" s="174"/>
      <c r="L35" s="175"/>
    </row>
    <row r="36" spans="1:12" x14ac:dyDescent="0.25">
      <c r="B36" s="26"/>
      <c r="C36" s="26"/>
      <c r="D36" s="26"/>
      <c r="E36" s="26"/>
      <c r="F36" s="26"/>
      <c r="G36" s="26"/>
      <c r="H36" s="26"/>
      <c r="I36" s="26"/>
      <c r="J36" s="26"/>
      <c r="K36" s="26"/>
      <c r="L36" s="26"/>
    </row>
    <row r="37" spans="1:12" x14ac:dyDescent="0.25">
      <c r="A37" s="1" t="s">
        <v>92</v>
      </c>
    </row>
    <row r="38" spans="1:12" x14ac:dyDescent="0.25">
      <c r="B38" s="2" t="s">
        <v>93</v>
      </c>
      <c r="C38" t="s">
        <v>154</v>
      </c>
    </row>
    <row r="39" spans="1:12" x14ac:dyDescent="0.25">
      <c r="B39" s="2" t="s">
        <v>157</v>
      </c>
      <c r="C39" t="s">
        <v>199</v>
      </c>
    </row>
    <row r="40" spans="1:12" x14ac:dyDescent="0.25">
      <c r="B40" s="2" t="s">
        <v>93</v>
      </c>
      <c r="C40" t="s">
        <v>361</v>
      </c>
    </row>
    <row r="41" spans="1:12" x14ac:dyDescent="0.25">
      <c r="B41" s="2" t="s">
        <v>359</v>
      </c>
      <c r="C41" t="s">
        <v>362</v>
      </c>
    </row>
    <row r="42" spans="1:12" x14ac:dyDescent="0.25">
      <c r="B42" s="2" t="s">
        <v>360</v>
      </c>
      <c r="C42" t="s">
        <v>363</v>
      </c>
    </row>
    <row r="43" spans="1:12" x14ac:dyDescent="0.25">
      <c r="B43" s="2" t="s">
        <v>329</v>
      </c>
      <c r="C43" t="s">
        <v>332</v>
      </c>
    </row>
    <row r="44" spans="1:12" x14ac:dyDescent="0.25">
      <c r="B44" s="2" t="s">
        <v>330</v>
      </c>
      <c r="C44" t="s">
        <v>263</v>
      </c>
    </row>
    <row r="45" spans="1:12" x14ac:dyDescent="0.25">
      <c r="B45" s="2" t="s">
        <v>331</v>
      </c>
      <c r="C45" t="s">
        <v>262</v>
      </c>
    </row>
    <row r="46" spans="1:12" x14ac:dyDescent="0.25">
      <c r="B46" s="2" t="s">
        <v>218</v>
      </c>
      <c r="C46" t="s">
        <v>220</v>
      </c>
    </row>
    <row r="47" spans="1:12" x14ac:dyDescent="0.25">
      <c r="B47" s="2" t="s">
        <v>219</v>
      </c>
      <c r="C47" t="s">
        <v>142</v>
      </c>
    </row>
    <row r="48" spans="1:12" x14ac:dyDescent="0.25">
      <c r="B48" s="2" t="s">
        <v>155</v>
      </c>
      <c r="C48" t="s">
        <v>221</v>
      </c>
    </row>
    <row r="49" spans="1:3" x14ac:dyDescent="0.25">
      <c r="B49" s="2" t="s">
        <v>222</v>
      </c>
      <c r="C49" t="s">
        <v>223</v>
      </c>
    </row>
    <row r="50" spans="1:3" x14ac:dyDescent="0.25">
      <c r="B50" s="2" t="s">
        <v>251</v>
      </c>
      <c r="C50" t="s">
        <v>252</v>
      </c>
    </row>
    <row r="51" spans="1:3" x14ac:dyDescent="0.25">
      <c r="B51" s="2" t="s">
        <v>94</v>
      </c>
      <c r="C51" t="s">
        <v>95</v>
      </c>
    </row>
    <row r="52" spans="1:3" x14ac:dyDescent="0.25">
      <c r="B52" s="2" t="s">
        <v>96</v>
      </c>
      <c r="C52" t="s">
        <v>97</v>
      </c>
    </row>
    <row r="53" spans="1:3" x14ac:dyDescent="0.25">
      <c r="B53" s="2" t="s">
        <v>143</v>
      </c>
      <c r="C53" t="s">
        <v>144</v>
      </c>
    </row>
    <row r="55" spans="1:3" x14ac:dyDescent="0.25">
      <c r="A55" s="1" t="s">
        <v>209</v>
      </c>
    </row>
    <row r="56" spans="1:3" x14ac:dyDescent="0.25">
      <c r="A56" t="s">
        <v>210</v>
      </c>
    </row>
    <row r="57" spans="1:3" x14ac:dyDescent="0.25">
      <c r="A57" t="s">
        <v>211</v>
      </c>
    </row>
    <row r="58" spans="1:3" x14ac:dyDescent="0.25">
      <c r="A58" s="69" t="s">
        <v>212</v>
      </c>
    </row>
    <row r="59" spans="1:3" x14ac:dyDescent="0.25">
      <c r="A59" s="69" t="s">
        <v>214</v>
      </c>
    </row>
    <row r="60" spans="1:3" x14ac:dyDescent="0.25">
      <c r="A60" s="69"/>
    </row>
    <row r="61" spans="1:3" x14ac:dyDescent="0.25">
      <c r="A61" s="1" t="s">
        <v>213</v>
      </c>
    </row>
    <row r="62" spans="1:3" x14ac:dyDescent="0.25">
      <c r="A62" t="s">
        <v>232</v>
      </c>
    </row>
    <row r="64" spans="1:3" ht="15.95" customHeight="1" x14ac:dyDescent="0.25">
      <c r="A64" s="1" t="s">
        <v>49</v>
      </c>
    </row>
    <row r="65" spans="1:12" ht="29.25" customHeight="1" x14ac:dyDescent="0.25">
      <c r="A65" s="168" t="s">
        <v>231</v>
      </c>
      <c r="B65" s="168"/>
      <c r="C65" s="168"/>
      <c r="D65" s="168"/>
      <c r="E65" s="168"/>
      <c r="F65" s="168"/>
      <c r="G65" s="168"/>
      <c r="H65" s="168"/>
      <c r="I65" s="168"/>
      <c r="J65" s="168"/>
      <c r="K65" s="168"/>
      <c r="L65" s="168"/>
    </row>
  </sheetData>
  <mergeCells count="31">
    <mergeCell ref="B31:L31"/>
    <mergeCell ref="N4:R4"/>
    <mergeCell ref="A10:L10"/>
    <mergeCell ref="A9:L9"/>
    <mergeCell ref="A65:L65"/>
    <mergeCell ref="A18:L18"/>
    <mergeCell ref="B23:L23"/>
    <mergeCell ref="B19:L19"/>
    <mergeCell ref="B21:L21"/>
    <mergeCell ref="B27:L27"/>
    <mergeCell ref="B28:L28"/>
    <mergeCell ref="B32:L32"/>
    <mergeCell ref="B33:L33"/>
    <mergeCell ref="B35:L35"/>
    <mergeCell ref="B34:L34"/>
    <mergeCell ref="A4:L4"/>
    <mergeCell ref="B20:L20"/>
    <mergeCell ref="B30:L30"/>
    <mergeCell ref="B22:L22"/>
    <mergeCell ref="B24:L24"/>
    <mergeCell ref="B25:L25"/>
    <mergeCell ref="B26:L26"/>
    <mergeCell ref="B29:L29"/>
    <mergeCell ref="A5:L5"/>
    <mergeCell ref="A11:L11"/>
    <mergeCell ref="A16:L16"/>
    <mergeCell ref="A15:L15"/>
    <mergeCell ref="A14:L14"/>
    <mergeCell ref="A6:L6"/>
    <mergeCell ref="A7:L7"/>
    <mergeCell ref="A8:L8"/>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14"/>
      <c r="I3" s="114"/>
      <c r="J3" s="114"/>
      <c r="K3" s="114"/>
    </row>
    <row r="4" spans="1:13" x14ac:dyDescent="0.25">
      <c r="A4" s="53" t="s">
        <v>38</v>
      </c>
      <c r="B4" s="53" t="s">
        <v>42</v>
      </c>
      <c r="C4" s="178" t="s">
        <v>43</v>
      </c>
      <c r="D4" s="179"/>
      <c r="E4" s="179"/>
      <c r="F4" s="179"/>
      <c r="G4" s="180"/>
      <c r="M4" s="1" t="s">
        <v>305</v>
      </c>
    </row>
    <row r="5" spans="1:13" x14ac:dyDescent="0.25">
      <c r="A5" s="129" t="s">
        <v>39</v>
      </c>
      <c r="B5" s="129"/>
      <c r="C5" s="181" t="s">
        <v>215</v>
      </c>
      <c r="D5" s="182"/>
      <c r="E5" s="182"/>
      <c r="F5" s="182"/>
      <c r="G5" s="182"/>
      <c r="M5" t="s">
        <v>306</v>
      </c>
    </row>
    <row r="6" spans="1:13" x14ac:dyDescent="0.25">
      <c r="A6" s="129" t="s">
        <v>40</v>
      </c>
      <c r="B6" s="129"/>
      <c r="C6" s="181" t="s">
        <v>216</v>
      </c>
      <c r="D6" s="182"/>
      <c r="E6" s="182"/>
      <c r="F6" s="182"/>
      <c r="G6" s="182"/>
      <c r="M6" t="s">
        <v>311</v>
      </c>
    </row>
    <row r="7" spans="1:13" x14ac:dyDescent="0.25">
      <c r="A7" s="129" t="s">
        <v>41</v>
      </c>
      <c r="B7" s="129"/>
      <c r="C7" s="181" t="s">
        <v>151</v>
      </c>
      <c r="D7" s="182"/>
      <c r="E7" s="182"/>
      <c r="F7" s="182"/>
      <c r="G7" s="182"/>
      <c r="M7" t="s">
        <v>312</v>
      </c>
    </row>
    <row r="8" spans="1:13" x14ac:dyDescent="0.25">
      <c r="A8" s="113" t="s">
        <v>156</v>
      </c>
      <c r="B8" s="113"/>
      <c r="C8" s="176" t="s">
        <v>316</v>
      </c>
      <c r="D8" s="176"/>
      <c r="E8" s="176"/>
      <c r="F8" s="176"/>
      <c r="G8" s="176"/>
    </row>
    <row r="9" spans="1:13" x14ac:dyDescent="0.25">
      <c r="A9" s="129"/>
      <c r="B9" s="129"/>
      <c r="C9" s="184"/>
      <c r="D9" s="184"/>
      <c r="E9" s="184"/>
      <c r="F9" s="184"/>
      <c r="G9" s="184"/>
    </row>
    <row r="10" spans="1:13" x14ac:dyDescent="0.25">
      <c r="A10" s="129"/>
      <c r="B10" s="129"/>
      <c r="C10" s="184"/>
      <c r="D10" s="184"/>
      <c r="E10" s="184"/>
      <c r="F10" s="184"/>
      <c r="G10" s="184"/>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t="s">
        <v>153</v>
      </c>
      <c r="E17" s="183"/>
      <c r="F17" s="183"/>
      <c r="G17" s="183"/>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289</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25">
      <c r="A47" s="1" t="s">
        <v>290</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2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2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2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2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25">
      <c r="A52" t="str">
        <f t="shared" si="11"/>
        <v/>
      </c>
      <c r="B52" s="135"/>
      <c r="C52" s="108"/>
      <c r="D52" s="108"/>
      <c r="E52" s="108"/>
      <c r="F52" s="108"/>
      <c r="G52" s="108"/>
      <c r="H52" s="108"/>
      <c r="I52" s="108"/>
      <c r="J52" s="108"/>
      <c r="K52" s="108"/>
      <c r="L52" s="108"/>
      <c r="M52" s="29"/>
      <c r="N52" s="29"/>
    </row>
    <row r="53" spans="1:14" x14ac:dyDescent="0.25">
      <c r="A53" t="str">
        <f t="shared" si="11"/>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2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2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2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2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2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2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2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2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32"/>
      <c r="D93" s="132"/>
      <c r="E93" s="132"/>
      <c r="F93" s="132"/>
      <c r="G93" s="132"/>
      <c r="H93" s="132"/>
      <c r="I93" s="132"/>
      <c r="J93" s="132"/>
      <c r="K93" s="132"/>
      <c r="L93" s="132"/>
      <c r="N93" t="str">
        <f t="shared" si="36"/>
        <v/>
      </c>
    </row>
    <row r="94" spans="1:14" x14ac:dyDescent="0.2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2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32"/>
      <c r="D101" s="132"/>
      <c r="E101" s="132"/>
      <c r="F101" s="132"/>
      <c r="G101" s="132"/>
      <c r="H101" s="132"/>
      <c r="I101" s="132"/>
      <c r="J101" s="132"/>
      <c r="K101" s="132"/>
      <c r="L101" s="132"/>
      <c r="N101" t="str">
        <f t="shared" si="40"/>
        <v/>
      </c>
    </row>
    <row r="102" spans="1:14" x14ac:dyDescent="0.2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2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2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2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2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2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2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2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2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2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2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2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25">
      <c r="A120" s="1" t="s">
        <v>138</v>
      </c>
      <c r="B120" s="1"/>
      <c r="D120" s="2"/>
      <c r="E120" s="2"/>
      <c r="F120" s="2"/>
      <c r="G120" s="2"/>
      <c r="H120" s="2"/>
      <c r="I120" s="2"/>
      <c r="J120" s="2"/>
      <c r="K120" s="2"/>
      <c r="L120" s="2"/>
    </row>
    <row r="121" spans="1:12" x14ac:dyDescent="0.2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2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2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2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2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2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2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2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25">
      <c r="A133" s="1" t="s">
        <v>279</v>
      </c>
      <c r="B133" s="1"/>
    </row>
    <row r="134" spans="1:14" x14ac:dyDescent="0.2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2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45" customHeight="1" x14ac:dyDescent="0.2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2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7" t="s">
        <v>39</v>
      </c>
      <c r="P1" s="190" t="s">
        <v>40</v>
      </c>
      <c r="Q1" s="190"/>
      <c r="R1" s="190"/>
      <c r="S1" s="190"/>
      <c r="T1" s="190"/>
      <c r="U1" s="190"/>
      <c r="V1" s="190"/>
      <c r="W1" s="190"/>
      <c r="X1" s="190"/>
      <c r="Y1" s="190"/>
      <c r="AA1" s="190" t="s">
        <v>208</v>
      </c>
      <c r="AB1" s="190"/>
      <c r="AC1" s="190"/>
      <c r="AD1" s="190"/>
      <c r="AE1" s="190"/>
      <c r="AF1" s="190"/>
      <c r="AG1" s="190"/>
      <c r="AH1" s="190"/>
      <c r="AI1" s="190"/>
      <c r="AJ1" s="19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14"/>
      <c r="I3" s="114"/>
      <c r="J3" s="114"/>
      <c r="K3" s="114"/>
    </row>
    <row r="4" spans="1:13" x14ac:dyDescent="0.25">
      <c r="A4" s="53" t="s">
        <v>38</v>
      </c>
      <c r="B4" s="53" t="s">
        <v>42</v>
      </c>
      <c r="C4" s="178" t="s">
        <v>43</v>
      </c>
      <c r="D4" s="179"/>
      <c r="E4" s="179"/>
      <c r="F4" s="179"/>
      <c r="G4" s="180"/>
      <c r="M4" s="1" t="s">
        <v>305</v>
      </c>
    </row>
    <row r="5" spans="1:13" x14ac:dyDescent="0.25">
      <c r="A5" s="129" t="s">
        <v>39</v>
      </c>
      <c r="B5" s="129"/>
      <c r="C5" s="181" t="s">
        <v>215</v>
      </c>
      <c r="D5" s="182"/>
      <c r="E5" s="182"/>
      <c r="F5" s="182"/>
      <c r="G5" s="182"/>
      <c r="M5" t="s">
        <v>306</v>
      </c>
    </row>
    <row r="6" spans="1:13" x14ac:dyDescent="0.25">
      <c r="A6" s="129" t="s">
        <v>40</v>
      </c>
      <c r="B6" s="129"/>
      <c r="C6" s="181" t="s">
        <v>216</v>
      </c>
      <c r="D6" s="182"/>
      <c r="E6" s="182"/>
      <c r="F6" s="182"/>
      <c r="G6" s="182"/>
      <c r="M6" t="s">
        <v>311</v>
      </c>
    </row>
    <row r="7" spans="1:13" x14ac:dyDescent="0.25">
      <c r="A7" s="129" t="s">
        <v>41</v>
      </c>
      <c r="B7" s="129"/>
      <c r="C7" s="181" t="s">
        <v>151</v>
      </c>
      <c r="D7" s="182"/>
      <c r="E7" s="182"/>
      <c r="F7" s="182"/>
      <c r="G7" s="182"/>
      <c r="M7" t="s">
        <v>312</v>
      </c>
    </row>
    <row r="8" spans="1:13" x14ac:dyDescent="0.25">
      <c r="A8" s="113" t="s">
        <v>156</v>
      </c>
      <c r="B8" s="113"/>
      <c r="C8" s="176" t="s">
        <v>316</v>
      </c>
      <c r="D8" s="176"/>
      <c r="E8" s="176"/>
      <c r="F8" s="176"/>
      <c r="G8" s="176"/>
    </row>
    <row r="9" spans="1:13" x14ac:dyDescent="0.25">
      <c r="A9" s="133" t="s">
        <v>147</v>
      </c>
      <c r="B9" s="129"/>
      <c r="C9" s="182" t="s">
        <v>217</v>
      </c>
      <c r="D9" s="182"/>
      <c r="E9" s="182"/>
      <c r="F9" s="182"/>
      <c r="G9" s="182"/>
    </row>
    <row r="10" spans="1:13" x14ac:dyDescent="0.25">
      <c r="A10" s="129"/>
      <c r="B10" s="129"/>
      <c r="C10" s="184"/>
      <c r="D10" s="184"/>
      <c r="E10" s="184"/>
      <c r="F10" s="184"/>
      <c r="G10" s="184"/>
    </row>
    <row r="11" spans="1:13" x14ac:dyDescent="0.25">
      <c r="A11" s="16"/>
      <c r="B11" s="2"/>
      <c r="C11"/>
    </row>
    <row r="12" spans="1:13" x14ac:dyDescent="0.25">
      <c r="A12" s="19" t="s">
        <v>45</v>
      </c>
      <c r="B12" s="183" t="s">
        <v>197</v>
      </c>
      <c r="C12" s="183"/>
      <c r="D12" s="183"/>
      <c r="E12" s="183"/>
      <c r="F12" s="183"/>
    </row>
    <row r="13" spans="1:13" x14ac:dyDescent="0.25">
      <c r="B13" s="185" t="s">
        <v>313</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t="s">
        <v>153</v>
      </c>
      <c r="E17" s="183"/>
      <c r="F17" s="183"/>
      <c r="G17" s="183"/>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289</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2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25">
      <c r="A47" s="1" t="s">
        <v>290</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2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2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2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2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2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25">
      <c r="A53" t="str">
        <f t="shared" si="12"/>
        <v/>
      </c>
      <c r="B53" s="135"/>
      <c r="C53" s="109"/>
      <c r="D53" s="109"/>
      <c r="E53" s="109"/>
      <c r="F53" s="109"/>
      <c r="G53" s="109"/>
      <c r="H53" s="109"/>
      <c r="I53" s="109"/>
      <c r="J53" s="109"/>
      <c r="K53" s="109"/>
      <c r="L53" s="109"/>
      <c r="M53" s="29"/>
      <c r="N53" s="29"/>
    </row>
    <row r="54" spans="1:14" x14ac:dyDescent="0.25">
      <c r="C54" s="146"/>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2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2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2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2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2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2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2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25">
      <c r="C87"/>
    </row>
    <row r="88" spans="1:14" x14ac:dyDescent="0.25">
      <c r="A88" s="139" t="str">
        <f>IF(A$9="","[Unused]",A9)</f>
        <v>Colorado River Delta</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2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2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2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2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32"/>
      <c r="D101" s="132"/>
      <c r="E101" s="132"/>
      <c r="F101" s="132"/>
      <c r="G101" s="132"/>
      <c r="H101" s="132"/>
      <c r="I101" s="132"/>
      <c r="J101" s="132"/>
      <c r="K101" s="132"/>
      <c r="L101" s="132"/>
      <c r="N101" t="str">
        <f t="shared" si="39"/>
        <v/>
      </c>
    </row>
    <row r="102" spans="1:14" x14ac:dyDescent="0.2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2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2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2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2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2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2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2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2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2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2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2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25">
      <c r="A120" s="1" t="s">
        <v>138</v>
      </c>
      <c r="B120" s="1"/>
      <c r="D120" s="2"/>
      <c r="E120" s="2"/>
      <c r="F120" s="2"/>
      <c r="G120" s="2"/>
      <c r="H120" s="2"/>
      <c r="I120" s="2"/>
      <c r="J120" s="2"/>
      <c r="K120" s="2"/>
      <c r="L120" s="2"/>
    </row>
    <row r="121" spans="1:12" x14ac:dyDescent="0.2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2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2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2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2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2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2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2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25">
      <c r="A133" s="1" t="s">
        <v>279</v>
      </c>
      <c r="B133" s="1"/>
    </row>
    <row r="134" spans="1:14" x14ac:dyDescent="0.25">
      <c r="A134" s="32" t="s">
        <v>280</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2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45" customHeight="1" x14ac:dyDescent="0.2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2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5" x14ac:dyDescent="0.25"/>
  <cols>
    <col min="1" max="1" width="7.5703125" customWidth="1"/>
    <col min="2" max="3" width="9.140625" customWidth="1"/>
    <col min="4" max="4" width="8.5703125" style="2" customWidth="1"/>
    <col min="5" max="5" width="9" style="2" customWidth="1"/>
    <col min="6" max="6" width="8.7109375" style="2" customWidth="1"/>
    <col min="7" max="7" width="8.85546875" style="2" customWidth="1"/>
    <col min="8" max="8" width="8.7109375" style="2" customWidth="1"/>
    <col min="9" max="9" width="8.5703125" style="2" customWidth="1"/>
    <col min="10" max="10" width="8.85546875" style="2" customWidth="1"/>
    <col min="11" max="11" width="8.7109375" style="2" customWidth="1"/>
    <col min="12" max="12" width="11.140625" customWidth="1"/>
    <col min="13" max="13" width="11.5703125" style="2" customWidth="1"/>
    <col min="14" max="14" width="11.140625" style="2" customWidth="1"/>
    <col min="15" max="15" width="12.140625" customWidth="1"/>
    <col min="16" max="16" width="8.85546875" customWidth="1"/>
  </cols>
  <sheetData>
    <row r="1" spans="1:16" x14ac:dyDescent="0.25">
      <c r="A1" s="1" t="s">
        <v>234</v>
      </c>
    </row>
    <row r="3" spans="1:16" s="1" customFormat="1" x14ac:dyDescent="0.25">
      <c r="D3" s="191" t="s">
        <v>235</v>
      </c>
      <c r="E3" s="191"/>
      <c r="F3" s="191" t="s">
        <v>236</v>
      </c>
      <c r="G3" s="191"/>
      <c r="H3" s="191"/>
      <c r="I3" s="191" t="s">
        <v>237</v>
      </c>
      <c r="J3" s="191"/>
      <c r="K3" s="191"/>
      <c r="M3" s="191" t="s">
        <v>41</v>
      </c>
      <c r="N3" s="191"/>
      <c r="O3" s="191"/>
    </row>
    <row r="4" spans="1:16" s="71" customFormat="1" ht="42.6" customHeight="1" x14ac:dyDescent="0.25">
      <c r="A4" s="70" t="s">
        <v>127</v>
      </c>
      <c r="B4" s="70" t="s">
        <v>128</v>
      </c>
      <c r="C4" s="70" t="s">
        <v>246</v>
      </c>
      <c r="D4" s="70" t="s">
        <v>238</v>
      </c>
      <c r="E4" s="70" t="s">
        <v>239</v>
      </c>
      <c r="F4" s="70" t="s">
        <v>238</v>
      </c>
      <c r="G4" s="70" t="s">
        <v>239</v>
      </c>
      <c r="H4" s="70" t="s">
        <v>240</v>
      </c>
      <c r="I4" s="70" t="s">
        <v>238</v>
      </c>
      <c r="J4" s="70" t="s">
        <v>239</v>
      </c>
      <c r="K4" s="70" t="s">
        <v>240</v>
      </c>
      <c r="L4" s="70" t="s">
        <v>244</v>
      </c>
      <c r="M4" s="70" t="s">
        <v>242</v>
      </c>
      <c r="N4" s="70" t="s">
        <v>243</v>
      </c>
      <c r="O4" s="70" t="s">
        <v>241</v>
      </c>
      <c r="P4" s="70" t="s">
        <v>131</v>
      </c>
    </row>
    <row r="5" spans="1:16" x14ac:dyDescent="0.2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2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2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2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2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2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2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2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2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25">
      <c r="B14" s="77"/>
    </row>
    <row r="15" spans="1:16" x14ac:dyDescent="0.25">
      <c r="B15" s="75"/>
      <c r="C15" s="76"/>
    </row>
    <row r="16" spans="1:16" x14ac:dyDescent="0.25">
      <c r="A16" t="s">
        <v>245</v>
      </c>
    </row>
    <row r="17" spans="1:16" x14ac:dyDescent="0.25">
      <c r="A17" s="72">
        <v>1091</v>
      </c>
    </row>
    <row r="18" spans="1:16" x14ac:dyDescent="0.2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2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2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2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2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2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2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2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25">
      <c r="A26" s="38">
        <v>955</v>
      </c>
    </row>
    <row r="29" spans="1:16" x14ac:dyDescent="0.25">
      <c r="A29" s="39"/>
      <c r="I29" s="9"/>
      <c r="L29" s="30"/>
      <c r="O29" s="2"/>
      <c r="P29" s="73"/>
    </row>
    <row r="30" spans="1:16" x14ac:dyDescent="0.25">
      <c r="A30" s="39"/>
      <c r="I30" s="9"/>
      <c r="L30" s="30"/>
      <c r="O30" s="2"/>
      <c r="P30" s="73"/>
    </row>
    <row r="31" spans="1:16" x14ac:dyDescent="0.25">
      <c r="A31" s="39"/>
      <c r="I31" s="9"/>
      <c r="L31" s="30"/>
      <c r="O31" s="2"/>
      <c r="P31" s="73"/>
    </row>
    <row r="32" spans="1:16" x14ac:dyDescent="0.25">
      <c r="A32" s="39"/>
      <c r="I32" s="9"/>
      <c r="L32" s="30"/>
      <c r="O32" s="2"/>
      <c r="P32" s="73"/>
    </row>
    <row r="33" spans="1:16" x14ac:dyDescent="0.25">
      <c r="A33" s="39"/>
      <c r="I33" s="9"/>
      <c r="L33" s="30"/>
      <c r="O33" s="2"/>
      <c r="P33" s="73"/>
    </row>
    <row r="34" spans="1:16" x14ac:dyDescent="0.25">
      <c r="A34" s="39"/>
      <c r="I34" s="9"/>
      <c r="L34" s="30"/>
      <c r="O34" s="2"/>
      <c r="P34" s="73"/>
    </row>
    <row r="35" spans="1:16" x14ac:dyDescent="0.25">
      <c r="A35" s="39"/>
      <c r="I35" s="9"/>
      <c r="L35" s="30"/>
      <c r="O35" s="2"/>
      <c r="P35" s="73"/>
    </row>
    <row r="36" spans="1:16" x14ac:dyDescent="0.2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2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2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2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2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2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2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2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2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2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25">
      <c r="A18" s="1" t="s">
        <v>91</v>
      </c>
    </row>
    <row r="19" spans="1:21" x14ac:dyDescent="0.2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2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2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5" x14ac:dyDescent="0.25"/>
  <cols>
    <col min="1" max="1" width="10.85546875" style="85" customWidth="1"/>
    <col min="2" max="2" width="12.7109375" style="85" customWidth="1"/>
    <col min="3" max="3" width="9.42578125" style="85" customWidth="1"/>
    <col min="4" max="4" width="46.28515625" style="85" customWidth="1"/>
    <col min="5" max="5" width="14.42578125" style="123" customWidth="1"/>
    <col min="6" max="6" width="10.5703125" style="2" customWidth="1"/>
  </cols>
  <sheetData>
    <row r="1" spans="1:6" x14ac:dyDescent="0.25">
      <c r="A1" s="84" t="s">
        <v>268</v>
      </c>
    </row>
    <row r="2" spans="1:6" x14ac:dyDescent="0.25">
      <c r="A2" s="85" t="s">
        <v>269</v>
      </c>
    </row>
    <row r="4" spans="1:6" s="78" customFormat="1" ht="45" x14ac:dyDescent="0.25">
      <c r="A4" s="56" t="s">
        <v>270</v>
      </c>
      <c r="B4" s="56" t="s">
        <v>275</v>
      </c>
      <c r="C4" s="56" t="s">
        <v>276</v>
      </c>
      <c r="D4" s="57" t="s">
        <v>271</v>
      </c>
      <c r="E4" s="56" t="s">
        <v>296</v>
      </c>
      <c r="F4" s="118" t="s">
        <v>297</v>
      </c>
    </row>
    <row r="5" spans="1:6" s="78" customFormat="1" ht="60" x14ac:dyDescent="0.25">
      <c r="A5" s="90">
        <f>'Powell-Elevation-Area'!A5</f>
        <v>3370</v>
      </c>
      <c r="B5" s="106" t="s">
        <v>284</v>
      </c>
      <c r="C5" s="91" t="s">
        <v>278</v>
      </c>
      <c r="D5" s="92" t="str">
        <f>D7</f>
        <v>Highest uncertainty for native fish. Also represent a substantial risk to the tailwater trout fishery, as sustained temperatures of 19oC or higher are unsuitable for trout.</v>
      </c>
      <c r="E5" s="124" t="s">
        <v>299</v>
      </c>
      <c r="F5" s="119" t="s">
        <v>298</v>
      </c>
    </row>
    <row r="6" spans="1:6" s="78" customFormat="1" ht="60" x14ac:dyDescent="0.25">
      <c r="A6" s="87">
        <v>3425</v>
      </c>
      <c r="B6" s="88" t="str">
        <f>B7</f>
        <v>&gt; 18</v>
      </c>
      <c r="C6" s="88" t="s">
        <v>278</v>
      </c>
      <c r="D6" s="89" t="str">
        <f>D7</f>
        <v>Highest uncertainty for native fish. Also represent a substantial risk to the tailwater trout fishery, as sustained temperatures of 19oC or higher are unsuitable for trout.</v>
      </c>
      <c r="E6" s="124" t="str">
        <f>E5</f>
        <v>Highly uncertain</v>
      </c>
      <c r="F6" s="119" t="s">
        <v>298</v>
      </c>
    </row>
    <row r="7" spans="1:6" s="78" customFormat="1" ht="60" x14ac:dyDescent="0.25">
      <c r="A7" s="93">
        <v>3490</v>
      </c>
      <c r="B7" s="94" t="s">
        <v>284</v>
      </c>
      <c r="C7" s="94" t="s">
        <v>277</v>
      </c>
      <c r="D7" s="95" t="s">
        <v>274</v>
      </c>
      <c r="E7" s="125" t="str">
        <f>E6</f>
        <v>Highly uncertain</v>
      </c>
      <c r="F7" s="119" t="s">
        <v>298</v>
      </c>
    </row>
    <row r="8" spans="1:6" ht="90" x14ac:dyDescent="0.25">
      <c r="A8" s="96">
        <v>3525</v>
      </c>
      <c r="B8" s="97" t="s">
        <v>283</v>
      </c>
      <c r="C8" s="97" t="s">
        <v>277</v>
      </c>
      <c r="D8" s="98" t="s">
        <v>273</v>
      </c>
      <c r="E8" s="126" t="s">
        <v>300</v>
      </c>
      <c r="F8" s="120" t="s">
        <v>303</v>
      </c>
    </row>
    <row r="9" spans="1:6" ht="45" x14ac:dyDescent="0.25">
      <c r="A9" s="99">
        <v>3600</v>
      </c>
      <c r="B9" s="100" t="s">
        <v>282</v>
      </c>
      <c r="C9" s="100" t="s">
        <v>277</v>
      </c>
      <c r="D9" s="101" t="s">
        <v>292</v>
      </c>
      <c r="E9" s="127" t="s">
        <v>293</v>
      </c>
      <c r="F9" s="121" t="str">
        <f>F8</f>
        <v>Help grow + incubate</v>
      </c>
    </row>
    <row r="10" spans="1:6" ht="120" x14ac:dyDescent="0.25">
      <c r="A10" s="102">
        <v>3675</v>
      </c>
      <c r="B10" s="103" t="s">
        <v>281</v>
      </c>
      <c r="C10" s="103" t="s">
        <v>277</v>
      </c>
      <c r="D10" s="104" t="s">
        <v>272</v>
      </c>
      <c r="E10" s="128" t="s">
        <v>302</v>
      </c>
      <c r="F10" s="122" t="s">
        <v>304</v>
      </c>
    </row>
    <row r="11" spans="1:6" ht="120" x14ac:dyDescent="0.25">
      <c r="A11" s="102">
        <v>3700</v>
      </c>
      <c r="B11" s="103" t="str">
        <f>B10</f>
        <v>&lt; 12</v>
      </c>
      <c r="C11" s="103" t="s">
        <v>277</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304</v>
      </c>
    </row>
    <row r="13" spans="1:6" ht="16.5" x14ac:dyDescent="0.25">
      <c r="D13" s="86"/>
    </row>
    <row r="14" spans="1:6" ht="16.5" x14ac:dyDescent="0.25">
      <c r="D14" s="86"/>
    </row>
    <row r="15" spans="1:6" ht="16.5" x14ac:dyDescent="0.2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119</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6">
        <v>60736</v>
      </c>
      <c r="C9" s="6">
        <f t="shared" si="0"/>
        <v>2095736</v>
      </c>
      <c r="D9" s="6">
        <v>30563.999999899999</v>
      </c>
      <c r="E9" s="2">
        <v>5</v>
      </c>
      <c r="H9" s="8">
        <f t="shared" si="1"/>
        <v>897</v>
      </c>
    </row>
    <row r="10" spans="1:13" x14ac:dyDescent="0.25">
      <c r="A10" s="5">
        <v>897.5</v>
      </c>
      <c r="B10" s="36">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107</v>
      </c>
      <c r="B1" s="1"/>
    </row>
    <row r="2" spans="1:11" x14ac:dyDescent="0.25">
      <c r="A2" s="1"/>
      <c r="B2" s="1"/>
    </row>
    <row r="3" spans="1:11" ht="16.5" customHeight="1" x14ac:dyDescent="0.25">
      <c r="A3" s="26" t="s">
        <v>50</v>
      </c>
      <c r="B3" s="26"/>
      <c r="C3" s="26"/>
      <c r="D3" s="26"/>
      <c r="E3" s="26"/>
      <c r="F3" s="26"/>
      <c r="G3" s="26"/>
      <c r="H3" s="26"/>
      <c r="I3" s="26"/>
      <c r="J3" s="26"/>
      <c r="K3" s="26"/>
    </row>
    <row r="4" spans="1:11" x14ac:dyDescent="0.25">
      <c r="A4" s="17" t="s">
        <v>38</v>
      </c>
      <c r="B4" s="13" t="s">
        <v>42</v>
      </c>
      <c r="C4" s="1" t="s">
        <v>43</v>
      </c>
    </row>
    <row r="5" spans="1:11" x14ac:dyDescent="0.25">
      <c r="A5" s="27" t="s">
        <v>51</v>
      </c>
      <c r="B5" s="46"/>
      <c r="C5" s="192"/>
      <c r="D5" s="192"/>
      <c r="E5" s="192"/>
      <c r="F5" s="192"/>
      <c r="G5" s="192"/>
      <c r="H5" s="192"/>
    </row>
    <row r="6" spans="1:11" x14ac:dyDescent="0.25">
      <c r="A6" s="16" t="s">
        <v>39</v>
      </c>
      <c r="B6" s="46"/>
      <c r="C6" s="192"/>
      <c r="D6" s="192"/>
      <c r="E6" s="192"/>
      <c r="F6" s="192"/>
      <c r="G6" s="192"/>
      <c r="H6" s="192"/>
    </row>
    <row r="7" spans="1:11" x14ac:dyDescent="0.25">
      <c r="A7" s="16" t="s">
        <v>40</v>
      </c>
      <c r="B7" s="46"/>
      <c r="C7" s="192"/>
      <c r="D7" s="192"/>
      <c r="E7" s="192"/>
      <c r="F7" s="192"/>
      <c r="G7" s="192"/>
      <c r="H7" s="192"/>
    </row>
    <row r="8" spans="1:11" x14ac:dyDescent="0.25">
      <c r="A8" s="16" t="s">
        <v>41</v>
      </c>
      <c r="B8" s="46"/>
      <c r="C8" s="192"/>
      <c r="D8" s="192"/>
      <c r="E8" s="192"/>
      <c r="F8" s="192"/>
      <c r="G8" s="192"/>
      <c r="H8" s="192"/>
    </row>
    <row r="9" spans="1:11" x14ac:dyDescent="0.25">
      <c r="A9" s="16"/>
      <c r="B9" s="2"/>
      <c r="C9"/>
    </row>
    <row r="10" spans="1:11" x14ac:dyDescent="0.25">
      <c r="A10" s="19" t="s">
        <v>45</v>
      </c>
      <c r="B10" s="2"/>
      <c r="C10"/>
    </row>
    <row r="11" spans="1:11" x14ac:dyDescent="0.25">
      <c r="A11" s="20" t="s">
        <v>52</v>
      </c>
    </row>
    <row r="12" spans="1:11" x14ac:dyDescent="0.25">
      <c r="A12" s="22" t="s">
        <v>47</v>
      </c>
      <c r="B12" s="19"/>
    </row>
    <row r="13" spans="1:11" x14ac:dyDescent="0.25">
      <c r="A13" s="21" t="s">
        <v>46</v>
      </c>
    </row>
    <row r="15" spans="1:11" x14ac:dyDescent="0.25">
      <c r="A15" s="1" t="s">
        <v>53</v>
      </c>
      <c r="D15" s="20"/>
    </row>
    <row r="17" spans="1:13" x14ac:dyDescent="0.25">
      <c r="A17" s="1" t="s">
        <v>32</v>
      </c>
      <c r="B17" s="1" t="s">
        <v>109</v>
      </c>
      <c r="C17" s="13" t="s">
        <v>110</v>
      </c>
    </row>
    <row r="18" spans="1:13" x14ac:dyDescent="0.25">
      <c r="A18" t="s">
        <v>108</v>
      </c>
      <c r="B18" s="12">
        <v>5.73</v>
      </c>
      <c r="C18" s="12">
        <v>6</v>
      </c>
      <c r="D18" s="23" t="s">
        <v>139</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114</v>
      </c>
      <c r="C28"/>
    </row>
    <row r="29" spans="1:13" hidden="1" x14ac:dyDescent="0.2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2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103</v>
      </c>
      <c r="C39"/>
    </row>
    <row r="40" spans="1:13" x14ac:dyDescent="0.25">
      <c r="A40" s="32" t="s">
        <v>101</v>
      </c>
      <c r="B40" s="1"/>
      <c r="C40" s="25"/>
      <c r="D40" s="25"/>
      <c r="E40" s="25"/>
      <c r="F40" s="25"/>
      <c r="G40" s="25"/>
      <c r="H40" s="25"/>
      <c r="I40" s="25"/>
      <c r="J40" s="25"/>
      <c r="K40" s="25"/>
      <c r="L40" s="25"/>
    </row>
    <row r="41" spans="1:13" x14ac:dyDescent="0.25">
      <c r="A41" s="32" t="s">
        <v>102</v>
      </c>
      <c r="B41" s="1"/>
      <c r="C41" s="31"/>
      <c r="D41" s="31"/>
      <c r="E41" s="31"/>
      <c r="F41" s="31"/>
      <c r="G41" s="31"/>
      <c r="H41" s="31"/>
      <c r="I41" s="31"/>
      <c r="J41" s="31"/>
      <c r="K41" s="31"/>
      <c r="L41" s="31"/>
      <c r="M41" s="33">
        <f>SUM(C41:L41)</f>
        <v>0</v>
      </c>
    </row>
    <row r="42" spans="1:13" hidden="1" x14ac:dyDescent="0.25">
      <c r="A42" s="32" t="s">
        <v>104</v>
      </c>
      <c r="B42" s="1"/>
      <c r="C42" s="25"/>
      <c r="D42" s="25"/>
      <c r="E42" s="25"/>
      <c r="F42" s="25"/>
      <c r="G42" s="25"/>
      <c r="H42" s="25"/>
      <c r="I42" s="25"/>
      <c r="J42" s="25"/>
      <c r="K42" s="25"/>
      <c r="L42" s="25"/>
      <c r="M42" s="34"/>
    </row>
    <row r="43" spans="1:13" hidden="1" x14ac:dyDescent="0.25">
      <c r="A43" s="32" t="s">
        <v>105</v>
      </c>
      <c r="B43" s="1"/>
      <c r="C43" s="31"/>
      <c r="D43" s="31"/>
      <c r="E43" s="31"/>
      <c r="F43" s="31"/>
      <c r="G43" s="31"/>
      <c r="H43" s="31"/>
      <c r="I43" s="31"/>
      <c r="J43" s="31"/>
      <c r="K43" s="31"/>
      <c r="L43" s="31"/>
      <c r="M43" s="33">
        <f>SUM(C43:L43)</f>
        <v>0</v>
      </c>
    </row>
    <row r="44" spans="1:13" x14ac:dyDescent="0.25">
      <c r="A44" s="1" t="s">
        <v>121</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133</v>
      </c>
      <c r="B48" s="1"/>
      <c r="C48" s="29"/>
      <c r="D48" s="2"/>
      <c r="E48" s="2"/>
      <c r="F48" s="2"/>
      <c r="G48" s="2"/>
      <c r="H48" s="2"/>
      <c r="I48" s="2"/>
      <c r="J48" s="2"/>
      <c r="K48" s="2"/>
      <c r="L48" s="2"/>
    </row>
    <row r="49" spans="1:18" x14ac:dyDescent="0.2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2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2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2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2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2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25">
      <c r="N58" s="39">
        <v>1090</v>
      </c>
      <c r="O58" s="40">
        <v>10.857008</v>
      </c>
      <c r="P58" s="41">
        <f t="shared" si="17"/>
        <v>0.3</v>
      </c>
      <c r="Q58" s="38"/>
      <c r="R58" s="41">
        <v>0.3</v>
      </c>
    </row>
    <row r="59" spans="1:18" x14ac:dyDescent="0.2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9"/>
  <sheetViews>
    <sheetView topLeftCell="B1" zoomScale="150" zoomScaleNormal="150" workbookViewId="0">
      <selection activeCell="C5" sqref="C5"/>
    </sheetView>
  </sheetViews>
  <sheetFormatPr defaultRowHeight="15" x14ac:dyDescent="0.25"/>
  <cols>
    <col min="1" max="1" width="8.7109375" style="59"/>
    <col min="2" max="2" width="12.5703125" style="59" customWidth="1"/>
    <col min="3" max="3" width="29.85546875" style="58" customWidth="1"/>
    <col min="4" max="4" width="12.42578125" style="61" customWidth="1"/>
    <col min="5" max="5" width="15.140625" style="61" customWidth="1"/>
    <col min="6" max="6" width="10.5703125" style="59" customWidth="1"/>
    <col min="8" max="8" width="32.42578125" style="79" customWidth="1"/>
    <col min="9" max="9" width="12.42578125" style="79" customWidth="1"/>
    <col min="10" max="10" width="10.28515625" style="154" customWidth="1"/>
  </cols>
  <sheetData>
    <row r="1" spans="1:10" s="55" customFormat="1" ht="30.6" customHeight="1" x14ac:dyDescent="0.25">
      <c r="A1" s="56" t="s">
        <v>177</v>
      </c>
      <c r="B1" s="56" t="s">
        <v>158</v>
      </c>
      <c r="C1" s="57" t="s">
        <v>159</v>
      </c>
      <c r="D1" s="56" t="s">
        <v>161</v>
      </c>
      <c r="E1" s="56" t="s">
        <v>160</v>
      </c>
      <c r="F1" s="56" t="s">
        <v>162</v>
      </c>
      <c r="H1" s="151" t="s">
        <v>228</v>
      </c>
      <c r="I1" s="151" t="s">
        <v>160</v>
      </c>
      <c r="J1" s="152" t="s">
        <v>162</v>
      </c>
    </row>
    <row r="2" spans="1:10" x14ac:dyDescent="0.25">
      <c r="A2" s="80"/>
      <c r="B2" s="82"/>
      <c r="C2" s="81"/>
      <c r="D2" s="80"/>
      <c r="E2" s="80"/>
      <c r="F2" s="82"/>
      <c r="H2" s="58"/>
      <c r="I2" s="58"/>
      <c r="J2" s="59"/>
    </row>
    <row r="3" spans="1:10" ht="75" x14ac:dyDescent="0.25">
      <c r="A3" s="80" t="s">
        <v>369</v>
      </c>
      <c r="B3" s="82">
        <v>44459</v>
      </c>
      <c r="C3" s="81" t="s">
        <v>370</v>
      </c>
      <c r="D3" s="80" t="s">
        <v>152</v>
      </c>
      <c r="E3" s="80" t="s">
        <v>152</v>
      </c>
      <c r="F3" s="82"/>
      <c r="H3" s="58" t="s">
        <v>338</v>
      </c>
      <c r="I3" s="58" t="s">
        <v>152</v>
      </c>
      <c r="J3" s="60">
        <v>44432</v>
      </c>
    </row>
    <row r="4" spans="1:10" ht="98.45" customHeight="1" x14ac:dyDescent="0.25">
      <c r="A4" s="80">
        <v>3.6</v>
      </c>
      <c r="B4" s="82">
        <v>44459</v>
      </c>
      <c r="C4" s="81" t="s">
        <v>371</v>
      </c>
      <c r="D4" s="80" t="s">
        <v>152</v>
      </c>
      <c r="E4" s="80" t="s">
        <v>152</v>
      </c>
      <c r="F4" s="82"/>
      <c r="H4" s="58" t="s">
        <v>229</v>
      </c>
      <c r="I4" s="58" t="s">
        <v>152</v>
      </c>
      <c r="J4" s="59"/>
    </row>
    <row r="5" spans="1:10" ht="71.099999999999994" customHeight="1" x14ac:dyDescent="0.25">
      <c r="A5" s="80">
        <v>3.5</v>
      </c>
      <c r="B5" s="82">
        <v>44432</v>
      </c>
      <c r="C5" s="81" t="s">
        <v>354</v>
      </c>
      <c r="D5" s="80" t="s">
        <v>152</v>
      </c>
      <c r="E5" s="80" t="s">
        <v>152</v>
      </c>
      <c r="F5" s="82">
        <v>44424</v>
      </c>
      <c r="H5" s="58" t="s">
        <v>261</v>
      </c>
      <c r="I5" s="58" t="s">
        <v>254</v>
      </c>
      <c r="J5" s="60">
        <v>44385</v>
      </c>
    </row>
    <row r="6" spans="1:10" ht="120" x14ac:dyDescent="0.25">
      <c r="A6" s="80">
        <v>3.5</v>
      </c>
      <c r="B6" s="82">
        <v>44432</v>
      </c>
      <c r="C6" s="81" t="s">
        <v>364</v>
      </c>
      <c r="D6" s="80" t="s">
        <v>152</v>
      </c>
      <c r="E6" s="80" t="s">
        <v>347</v>
      </c>
      <c r="F6" s="82">
        <v>44424</v>
      </c>
      <c r="H6" s="58" t="s">
        <v>257</v>
      </c>
      <c r="I6" s="153" t="s">
        <v>324</v>
      </c>
      <c r="J6" s="60">
        <v>44391</v>
      </c>
    </row>
    <row r="7" spans="1:10" ht="105" x14ac:dyDescent="0.25">
      <c r="A7" s="80">
        <v>3.5</v>
      </c>
      <c r="B7" s="82">
        <v>44432</v>
      </c>
      <c r="C7" s="81" t="s">
        <v>348</v>
      </c>
      <c r="D7" s="80" t="s">
        <v>152</v>
      </c>
      <c r="E7" s="80"/>
      <c r="F7" s="82"/>
      <c r="H7" s="58" t="s">
        <v>258</v>
      </c>
      <c r="I7" s="153" t="s">
        <v>324</v>
      </c>
      <c r="J7" s="60">
        <v>44391</v>
      </c>
    </row>
    <row r="8" spans="1:10" ht="45" x14ac:dyDescent="0.25">
      <c r="A8" s="80" t="s">
        <v>327</v>
      </c>
      <c r="B8" s="82">
        <v>44423</v>
      </c>
      <c r="C8" s="81" t="s">
        <v>328</v>
      </c>
      <c r="D8" s="80" t="s">
        <v>152</v>
      </c>
      <c r="E8" s="80" t="s">
        <v>152</v>
      </c>
      <c r="F8" s="82"/>
      <c r="H8" s="58" t="s">
        <v>337</v>
      </c>
      <c r="I8" s="153" t="s">
        <v>324</v>
      </c>
      <c r="J8" s="60">
        <v>44391</v>
      </c>
    </row>
    <row r="9" spans="1:10" ht="75" x14ac:dyDescent="0.25">
      <c r="A9" s="80" t="s">
        <v>323</v>
      </c>
      <c r="B9" s="82">
        <v>44405</v>
      </c>
      <c r="C9" s="58" t="s">
        <v>325</v>
      </c>
      <c r="D9" s="80" t="s">
        <v>152</v>
      </c>
      <c r="E9" s="80" t="s">
        <v>324</v>
      </c>
      <c r="F9" s="82">
        <v>44405</v>
      </c>
      <c r="H9" s="58" t="s">
        <v>259</v>
      </c>
      <c r="I9" s="153" t="s">
        <v>324</v>
      </c>
      <c r="J9" s="60">
        <v>44391</v>
      </c>
    </row>
    <row r="10" spans="1:10" ht="45" x14ac:dyDescent="0.25">
      <c r="A10" s="80" t="s">
        <v>321</v>
      </c>
      <c r="B10" s="82">
        <v>44405</v>
      </c>
      <c r="C10" s="81" t="s">
        <v>322</v>
      </c>
      <c r="D10" s="80" t="s">
        <v>152</v>
      </c>
      <c r="E10" s="80" t="s">
        <v>152</v>
      </c>
      <c r="F10" s="82">
        <v>44405</v>
      </c>
      <c r="H10" s="58" t="s">
        <v>260</v>
      </c>
      <c r="I10" s="153" t="s">
        <v>324</v>
      </c>
      <c r="J10" s="60">
        <v>44391</v>
      </c>
    </row>
    <row r="11" spans="1:10" ht="75" x14ac:dyDescent="0.25">
      <c r="A11" s="80" t="s">
        <v>291</v>
      </c>
      <c r="B11" s="82">
        <v>44405</v>
      </c>
      <c r="C11" s="81" t="s">
        <v>320</v>
      </c>
      <c r="D11" s="80" t="s">
        <v>152</v>
      </c>
      <c r="E11" s="80" t="s">
        <v>324</v>
      </c>
      <c r="F11" s="82">
        <v>44391</v>
      </c>
      <c r="H11" s="58"/>
      <c r="I11" s="58"/>
      <c r="J11" s="59"/>
    </row>
    <row r="12" spans="1:10" ht="45" x14ac:dyDescent="0.25">
      <c r="A12" s="80" t="s">
        <v>286</v>
      </c>
      <c r="B12" s="80" t="s">
        <v>287</v>
      </c>
      <c r="C12" s="58" t="s">
        <v>288</v>
      </c>
      <c r="D12" s="80" t="s">
        <v>152</v>
      </c>
      <c r="E12" s="80" t="s">
        <v>324</v>
      </c>
      <c r="F12" s="82">
        <v>44391</v>
      </c>
      <c r="H12" s="58"/>
      <c r="I12" s="58"/>
      <c r="J12" s="59"/>
    </row>
    <row r="13" spans="1:10" ht="30" x14ac:dyDescent="0.25">
      <c r="A13" s="80" t="s">
        <v>286</v>
      </c>
      <c r="B13" s="80" t="s">
        <v>287</v>
      </c>
      <c r="C13" s="58" t="s">
        <v>256</v>
      </c>
      <c r="D13" s="80" t="s">
        <v>152</v>
      </c>
      <c r="E13" s="80" t="s">
        <v>324</v>
      </c>
      <c r="F13" s="82">
        <v>44391</v>
      </c>
      <c r="H13" s="58"/>
      <c r="I13" s="58"/>
      <c r="J13" s="59"/>
    </row>
    <row r="14" spans="1:10" ht="105" x14ac:dyDescent="0.25">
      <c r="A14" s="80" t="s">
        <v>264</v>
      </c>
      <c r="B14" s="82">
        <v>44403</v>
      </c>
      <c r="C14" s="81" t="s">
        <v>265</v>
      </c>
      <c r="D14" s="80" t="s">
        <v>152</v>
      </c>
      <c r="E14" s="80" t="s">
        <v>324</v>
      </c>
      <c r="F14" s="82">
        <v>44391</v>
      </c>
      <c r="H14" s="58"/>
      <c r="I14" s="58"/>
      <c r="J14" s="59"/>
    </row>
    <row r="15" spans="1:10" ht="60" x14ac:dyDescent="0.25">
      <c r="A15" s="59" t="s">
        <v>249</v>
      </c>
      <c r="B15" s="60">
        <v>44389</v>
      </c>
      <c r="C15" s="58" t="s">
        <v>250</v>
      </c>
      <c r="D15" s="61" t="s">
        <v>152</v>
      </c>
      <c r="E15" s="61" t="s">
        <v>152</v>
      </c>
      <c r="F15" s="60">
        <v>44389</v>
      </c>
    </row>
    <row r="16" spans="1:10" ht="45" x14ac:dyDescent="0.25">
      <c r="A16" s="59" t="s">
        <v>247</v>
      </c>
      <c r="B16" s="60">
        <v>44389</v>
      </c>
      <c r="C16" s="58" t="s">
        <v>248</v>
      </c>
      <c r="D16" s="61" t="s">
        <v>152</v>
      </c>
      <c r="E16" s="61" t="s">
        <v>254</v>
      </c>
      <c r="F16" s="60">
        <v>44385</v>
      </c>
    </row>
    <row r="17" spans="1:6" ht="60" x14ac:dyDescent="0.25">
      <c r="A17" s="59" t="s">
        <v>224</v>
      </c>
      <c r="B17" s="60">
        <v>44385</v>
      </c>
      <c r="C17" s="58" t="s">
        <v>225</v>
      </c>
      <c r="D17" s="61" t="s">
        <v>152</v>
      </c>
      <c r="E17" s="61" t="s">
        <v>152</v>
      </c>
      <c r="F17" s="60">
        <f>B17</f>
        <v>44385</v>
      </c>
    </row>
    <row r="18" spans="1:6" ht="30" x14ac:dyDescent="0.25">
      <c r="A18" s="59" t="s">
        <v>206</v>
      </c>
      <c r="B18" s="60">
        <v>44384</v>
      </c>
      <c r="C18" s="58" t="s">
        <v>226</v>
      </c>
      <c r="D18" s="61" t="s">
        <v>152</v>
      </c>
      <c r="E18" s="61" t="s">
        <v>152</v>
      </c>
      <c r="F18" s="60">
        <v>44384</v>
      </c>
    </row>
    <row r="19" spans="1:6" ht="60" x14ac:dyDescent="0.25">
      <c r="A19" s="59" t="s">
        <v>198</v>
      </c>
      <c r="B19" s="60">
        <v>44384</v>
      </c>
      <c r="C19" s="58" t="s">
        <v>227</v>
      </c>
      <c r="D19" s="61" t="s">
        <v>152</v>
      </c>
      <c r="E19" s="61" t="s">
        <v>152</v>
      </c>
      <c r="F19" s="60">
        <v>44384</v>
      </c>
    </row>
    <row r="20" spans="1:6" ht="45" x14ac:dyDescent="0.25">
      <c r="A20" s="59" t="s">
        <v>189</v>
      </c>
      <c r="B20" s="60">
        <v>44378</v>
      </c>
      <c r="C20" s="58" t="s">
        <v>190</v>
      </c>
      <c r="D20" s="61" t="s">
        <v>152</v>
      </c>
      <c r="E20" s="61" t="s">
        <v>152</v>
      </c>
      <c r="F20" s="60">
        <v>44378</v>
      </c>
    </row>
    <row r="21" spans="1:6" x14ac:dyDescent="0.25">
      <c r="A21" s="59" t="s">
        <v>187</v>
      </c>
      <c r="B21" s="60">
        <v>44377</v>
      </c>
      <c r="C21" s="58" t="s">
        <v>191</v>
      </c>
      <c r="D21" s="61" t="s">
        <v>152</v>
      </c>
      <c r="E21" s="61" t="s">
        <v>152</v>
      </c>
      <c r="F21" s="60">
        <v>44377</v>
      </c>
    </row>
    <row r="22" spans="1:6" ht="90" x14ac:dyDescent="0.25">
      <c r="A22" s="59" t="s">
        <v>185</v>
      </c>
      <c r="B22" s="60">
        <v>44377</v>
      </c>
      <c r="C22" s="58" t="s">
        <v>186</v>
      </c>
      <c r="D22" s="61" t="s">
        <v>152</v>
      </c>
      <c r="E22" s="61" t="s">
        <v>255</v>
      </c>
      <c r="F22" s="60">
        <v>44372</v>
      </c>
    </row>
    <row r="23" spans="1:6" ht="60" x14ac:dyDescent="0.25">
      <c r="A23" s="59">
        <v>3.3</v>
      </c>
      <c r="B23" s="60">
        <v>44377</v>
      </c>
      <c r="C23" s="58" t="s">
        <v>179</v>
      </c>
      <c r="D23" s="61" t="s">
        <v>152</v>
      </c>
      <c r="E23" s="61" t="s">
        <v>255</v>
      </c>
      <c r="F23" s="60">
        <v>44372</v>
      </c>
    </row>
    <row r="24" spans="1:6" ht="30" x14ac:dyDescent="0.25">
      <c r="A24" s="59" t="s">
        <v>178</v>
      </c>
      <c r="B24" s="60">
        <v>44377</v>
      </c>
      <c r="C24" s="58" t="s">
        <v>163</v>
      </c>
      <c r="D24" s="61" t="s">
        <v>152</v>
      </c>
      <c r="E24" s="61" t="s">
        <v>152</v>
      </c>
      <c r="F24" s="60">
        <v>44377</v>
      </c>
    </row>
    <row r="25" spans="1:6" ht="135" x14ac:dyDescent="0.25">
      <c r="A25" s="59">
        <v>3.2</v>
      </c>
      <c r="B25" s="60">
        <v>44367</v>
      </c>
      <c r="C25" s="58" t="s">
        <v>170</v>
      </c>
      <c r="D25" s="61" t="s">
        <v>152</v>
      </c>
      <c r="E25" s="61" t="s">
        <v>152</v>
      </c>
      <c r="F25" s="60">
        <v>44367</v>
      </c>
    </row>
    <row r="26" spans="1:6" ht="30" x14ac:dyDescent="0.25">
      <c r="A26" s="59">
        <v>3.1</v>
      </c>
      <c r="B26" s="60">
        <v>44331</v>
      </c>
      <c r="C26" s="58" t="s">
        <v>169</v>
      </c>
      <c r="D26" s="61" t="s">
        <v>152</v>
      </c>
      <c r="E26" s="61" t="s">
        <v>152</v>
      </c>
      <c r="F26" s="60">
        <v>44331</v>
      </c>
    </row>
    <row r="27" spans="1:6" ht="75" x14ac:dyDescent="0.25">
      <c r="A27" s="59">
        <v>3</v>
      </c>
      <c r="B27" s="60">
        <v>44319</v>
      </c>
      <c r="C27" s="58" t="s">
        <v>168</v>
      </c>
      <c r="D27" s="61" t="s">
        <v>152</v>
      </c>
      <c r="E27" s="61" t="s">
        <v>164</v>
      </c>
      <c r="F27" s="60">
        <v>44315</v>
      </c>
    </row>
    <row r="28" spans="1:6" ht="30" x14ac:dyDescent="0.25">
      <c r="A28" s="59">
        <v>2</v>
      </c>
      <c r="B28" s="60">
        <v>44307</v>
      </c>
      <c r="C28" s="58" t="s">
        <v>165</v>
      </c>
      <c r="D28" s="61" t="s">
        <v>152</v>
      </c>
      <c r="E28" s="61" t="s">
        <v>254</v>
      </c>
      <c r="F28" s="60">
        <v>44294</v>
      </c>
    </row>
    <row r="29" spans="1:6" ht="30" x14ac:dyDescent="0.25">
      <c r="A29" s="63">
        <v>1</v>
      </c>
      <c r="B29" s="60">
        <v>44291</v>
      </c>
      <c r="C29" s="58" t="s">
        <v>167</v>
      </c>
      <c r="D29" s="61" t="s">
        <v>152</v>
      </c>
      <c r="E29" s="61" t="s">
        <v>166</v>
      </c>
      <c r="F29"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13" zoomScale="150" zoomScaleNormal="150" workbookViewId="0">
      <selection activeCell="D17" sqref="D17:G1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14"/>
      <c r="I3" s="114"/>
      <c r="J3" s="114"/>
      <c r="K3" s="114"/>
    </row>
    <row r="4" spans="1:13" x14ac:dyDescent="0.25">
      <c r="A4" s="53" t="s">
        <v>38</v>
      </c>
      <c r="B4" s="53" t="s">
        <v>42</v>
      </c>
      <c r="C4" s="178" t="s">
        <v>43</v>
      </c>
      <c r="D4" s="179"/>
      <c r="E4" s="179"/>
      <c r="F4" s="179"/>
      <c r="G4" s="180"/>
      <c r="M4" s="1" t="s">
        <v>305</v>
      </c>
    </row>
    <row r="5" spans="1:13" x14ac:dyDescent="0.25">
      <c r="A5" s="129" t="s">
        <v>39</v>
      </c>
      <c r="B5" s="129"/>
      <c r="C5" s="181"/>
      <c r="D5" s="182"/>
      <c r="E5" s="182"/>
      <c r="F5" s="182"/>
      <c r="G5" s="182"/>
      <c r="M5" t="s">
        <v>306</v>
      </c>
    </row>
    <row r="6" spans="1:13" x14ac:dyDescent="0.25">
      <c r="A6" s="129" t="s">
        <v>40</v>
      </c>
      <c r="B6" s="129"/>
      <c r="C6" s="181"/>
      <c r="D6" s="182"/>
      <c r="E6" s="182"/>
      <c r="F6" s="182"/>
      <c r="G6" s="182"/>
      <c r="M6" t="s">
        <v>311</v>
      </c>
    </row>
    <row r="7" spans="1:13" x14ac:dyDescent="0.25">
      <c r="A7" s="129" t="s">
        <v>41</v>
      </c>
      <c r="B7" s="129"/>
      <c r="C7" s="181"/>
      <c r="D7" s="182"/>
      <c r="E7" s="182"/>
      <c r="F7" s="182"/>
      <c r="G7" s="182"/>
      <c r="M7" t="s">
        <v>312</v>
      </c>
    </row>
    <row r="8" spans="1:13" x14ac:dyDescent="0.25">
      <c r="A8" s="161" t="s">
        <v>147</v>
      </c>
      <c r="B8" s="160"/>
      <c r="C8" s="182"/>
      <c r="D8" s="182"/>
      <c r="E8" s="182"/>
      <c r="F8" s="182"/>
      <c r="G8" s="182"/>
      <c r="M8" t="s">
        <v>368</v>
      </c>
    </row>
    <row r="9" spans="1:13" x14ac:dyDescent="0.25">
      <c r="A9" s="129"/>
      <c r="B9" s="129"/>
      <c r="C9" s="184"/>
      <c r="D9" s="184"/>
      <c r="E9" s="184"/>
      <c r="F9" s="184"/>
      <c r="G9" s="184"/>
    </row>
    <row r="10" spans="1:13" x14ac:dyDescent="0.25">
      <c r="A10" s="162" t="s">
        <v>156</v>
      </c>
      <c r="B10" s="162"/>
      <c r="C10" s="176"/>
      <c r="D10" s="176"/>
      <c r="E10" s="176"/>
      <c r="F10" s="176"/>
      <c r="G10" s="176"/>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c r="E17" s="183"/>
      <c r="F17" s="183"/>
      <c r="G17" s="183"/>
    </row>
    <row r="19" spans="1:14" x14ac:dyDescent="0.25">
      <c r="A19" s="1" t="s">
        <v>32</v>
      </c>
      <c r="B19" s="1" t="s">
        <v>109</v>
      </c>
      <c r="C19" s="13" t="s">
        <v>110</v>
      </c>
    </row>
    <row r="20" spans="1:14" x14ac:dyDescent="0.25">
      <c r="A20" t="s">
        <v>108</v>
      </c>
      <c r="B20" s="155">
        <v>5.73</v>
      </c>
      <c r="C20" s="155">
        <v>6</v>
      </c>
      <c r="D20" s="23" t="s">
        <v>111</v>
      </c>
    </row>
    <row r="21" spans="1:14" x14ac:dyDescent="0.25">
      <c r="A21" t="s">
        <v>140</v>
      </c>
      <c r="B21" s="155">
        <v>11</v>
      </c>
      <c r="C21" s="155">
        <v>10.1</v>
      </c>
      <c r="D21" s="11" t="s">
        <v>34</v>
      </c>
    </row>
    <row r="22" spans="1:14" x14ac:dyDescent="0.25">
      <c r="A22" t="s">
        <v>188</v>
      </c>
      <c r="B22" s="156">
        <v>3525</v>
      </c>
      <c r="C22" s="156">
        <v>1020</v>
      </c>
      <c r="D22" s="11" t="s">
        <v>335</v>
      </c>
    </row>
    <row r="23" spans="1:14" x14ac:dyDescent="0.25">
      <c r="A23" t="s">
        <v>174</v>
      </c>
      <c r="B23" s="155">
        <f>VLOOKUP(B22,'Powell-Elevation-Area'!$A$5:$B$689,2)/1000000</f>
        <v>5.9265762500000001</v>
      </c>
      <c r="C23" s="155">
        <f>VLOOKUP(C22,'Mead-Elevation-Area'!$A$5:$B$689,2)/1000000</f>
        <v>5.664593</v>
      </c>
      <c r="D23" s="11"/>
      <c r="E23" s="45"/>
    </row>
    <row r="24" spans="1:14" x14ac:dyDescent="0.25">
      <c r="A24" t="s">
        <v>334</v>
      </c>
      <c r="B24" s="155">
        <v>78.099999999999994</v>
      </c>
      <c r="C24"/>
      <c r="D24" s="157" t="s">
        <v>349</v>
      </c>
      <c r="E24" s="45"/>
    </row>
    <row r="25" spans="1:14" x14ac:dyDescent="0.25">
      <c r="B25" s="45"/>
    </row>
    <row r="26" spans="1:14" s="1" customFormat="1" x14ac:dyDescent="0.2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25">
      <c r="A27" s="1" t="s">
        <v>44</v>
      </c>
      <c r="B27" s="1"/>
      <c r="C27" s="137"/>
      <c r="D27" s="137"/>
      <c r="E27" s="137"/>
      <c r="F27" s="137"/>
      <c r="G27" s="137"/>
      <c r="H27" s="137"/>
      <c r="I27" s="137"/>
      <c r="J27" s="137"/>
      <c r="K27" s="137"/>
      <c r="L27" s="137"/>
    </row>
    <row r="28" spans="1:14" x14ac:dyDescent="0.2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25">
      <c r="A29" s="1" t="s">
        <v>336</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25">
      <c r="A30" s="1" t="s">
        <v>289</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2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2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2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2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2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25">
      <c r="A37" t="str">
        <f t="shared" si="4"/>
        <v xml:space="preserve">    Shared, Reserve Balance</v>
      </c>
      <c r="B37" s="111">
        <f>SUM(B23:C23)</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25">
      <c r="A38" s="1" t="s">
        <v>195</v>
      </c>
      <c r="C38"/>
    </row>
    <row r="39" spans="1:14" x14ac:dyDescent="0.2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2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2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2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2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2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25">
      <c r="A45" t="str">
        <f t="shared" si="14"/>
        <v xml:space="preserve">    Colorado River Delta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2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25">
      <c r="A47" t="str">
        <f t="shared" si="14"/>
        <v xml:space="preserve">    Shared, Reserve Share</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25">
      <c r="A48" s="1" t="s">
        <v>253</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352</v>
      </c>
    </row>
    <row r="49" spans="1:14" x14ac:dyDescent="0.25">
      <c r="A49" s="1" t="s">
        <v>290</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25">
      <c r="A50" t="str">
        <f t="shared" ref="A50:A55" si="22">IF(A5="","","    To "&amp;A5)</f>
        <v xml:space="preserve">    To Upper Basin</v>
      </c>
      <c r="B50" s="134" t="s">
        <v>146</v>
      </c>
      <c r="C50" s="108" t="str">
        <f>IF(OR(C$27="",$A50=""),"",MAX(C27-(82.3-$B$24)-C55*$B$23/SUM($B$23:$C$23),0))</f>
        <v/>
      </c>
      <c r="D50" s="108" t="str">
        <f>IF(OR(D$27="",$A50=""),"",MAX(0,D27-$B$51-D48/2-D55*$B$23/SUM($B$23:$C$23)))</f>
        <v/>
      </c>
      <c r="E50" s="108" t="str">
        <f t="shared" ref="E50:L50" si="23">IF(OR(E$27="",$A50=""),"",MAX(0,E27-$B$51-E48/2-E55*$B$23/SUM($B$23:$C$23)))</f>
        <v/>
      </c>
      <c r="F50" s="108" t="str">
        <f t="shared" si="23"/>
        <v/>
      </c>
      <c r="G50" s="108" t="str">
        <f t="shared" si="23"/>
        <v/>
      </c>
      <c r="H50" s="108" t="str">
        <f t="shared" si="23"/>
        <v/>
      </c>
      <c r="I50" s="108" t="str">
        <f t="shared" si="23"/>
        <v/>
      </c>
      <c r="J50" s="108" t="str">
        <f t="shared" si="23"/>
        <v/>
      </c>
      <c r="K50" s="108" t="str">
        <f t="shared" si="23"/>
        <v/>
      </c>
      <c r="L50" s="108" t="str">
        <f t="shared" si="23"/>
        <v/>
      </c>
      <c r="M50" s="29"/>
      <c r="N50" s="157" t="s">
        <v>365</v>
      </c>
    </row>
    <row r="51" spans="1:14" x14ac:dyDescent="0.25">
      <c r="A51" t="str">
        <f t="shared" si="22"/>
        <v xml:space="preserve">    To Lower Basin</v>
      </c>
      <c r="B51" s="135">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24">IF(OR(F$27="",$A51=""),"",F28+F29-F30-F55*IF($B51&lt;F27-F52/2,$C$23/SUM($B$23:$C$23),1)-F52/2+MIN($B51,F27-F52/2))</f>
        <v/>
      </c>
      <c r="G51" s="108" t="str">
        <f t="shared" si="24"/>
        <v/>
      </c>
      <c r="H51" s="108" t="str">
        <f t="shared" si="24"/>
        <v/>
      </c>
      <c r="I51" s="108" t="str">
        <f t="shared" si="24"/>
        <v/>
      </c>
      <c r="J51" s="108" t="str">
        <f t="shared" si="24"/>
        <v/>
      </c>
      <c r="K51" s="108" t="str">
        <f t="shared" si="24"/>
        <v/>
      </c>
      <c r="L51" s="108" t="str">
        <f t="shared" si="24"/>
        <v/>
      </c>
      <c r="M51" s="29"/>
      <c r="N51" s="29"/>
    </row>
    <row r="52" spans="1:14" x14ac:dyDescent="0.25">
      <c r="A52" t="str">
        <f t="shared" si="22"/>
        <v xml:space="preserve">    To Mexico</v>
      </c>
      <c r="B52" s="135" t="s">
        <v>351</v>
      </c>
      <c r="C52" s="108" t="str">
        <f>IF(OR(C$27="",$A52=""),"",IF(C$49&gt;SUM(C53:C55,C48),C48,C$49-SUM(C53:C55)))</f>
        <v/>
      </c>
      <c r="D52" s="108" t="str">
        <f>IF(OR(D$27="",$A52=""),"",IF(D$49&gt;SUM(D53:D55,D48),D48,D$49-SUM(D53:D55)))</f>
        <v/>
      </c>
      <c r="E52" s="108" t="str">
        <f t="shared" ref="E52:L52" si="25">IF(OR(E$27="",$A52=""),"",IF(E$49&gt;SUM(E53:E55,E48),E48,E$49-SUM(E53:E54)))</f>
        <v/>
      </c>
      <c r="F52" s="108" t="str">
        <f t="shared" si="25"/>
        <v/>
      </c>
      <c r="G52" s="108" t="str">
        <f t="shared" si="25"/>
        <v/>
      </c>
      <c r="H52" s="108" t="str">
        <f t="shared" si="25"/>
        <v/>
      </c>
      <c r="I52" s="108" t="str">
        <f t="shared" si="25"/>
        <v/>
      </c>
      <c r="J52" s="108" t="str">
        <f t="shared" si="25"/>
        <v/>
      </c>
      <c r="K52" s="108" t="str">
        <f t="shared" si="25"/>
        <v/>
      </c>
      <c r="L52" s="108" t="str">
        <f t="shared" si="25"/>
        <v/>
      </c>
      <c r="M52" s="29"/>
      <c r="N52" s="157" t="s">
        <v>353</v>
      </c>
    </row>
    <row r="53" spans="1:14" x14ac:dyDescent="0.25">
      <c r="A53" t="str">
        <f t="shared" si="22"/>
        <v xml:space="preserve">    To Colorado River Delta</v>
      </c>
      <c r="B53" s="144">
        <f>0.21/9*(2/3)</f>
        <v>1.5555555555555553E-2</v>
      </c>
      <c r="C53" s="145" t="str">
        <f>IF(OR(C$27="",$A53=""),"",MIN($B53,C$49-SUM(C54:C55)))</f>
        <v/>
      </c>
      <c r="D53" s="145" t="str">
        <f t="shared" ref="D53:L53" si="26">IF(OR(D$27="",$A53=""),"",MIN($B53,D$49-SUM(D54:D55)))</f>
        <v/>
      </c>
      <c r="E53" s="145" t="str">
        <f t="shared" si="26"/>
        <v/>
      </c>
      <c r="F53" s="145" t="str">
        <f t="shared" si="26"/>
        <v/>
      </c>
      <c r="G53" s="145" t="str">
        <f t="shared" si="26"/>
        <v/>
      </c>
      <c r="H53" s="145" t="str">
        <f t="shared" si="26"/>
        <v/>
      </c>
      <c r="I53" s="145" t="str">
        <f t="shared" si="26"/>
        <v/>
      </c>
      <c r="J53" s="145" t="str">
        <f t="shared" si="26"/>
        <v/>
      </c>
      <c r="K53" s="145" t="str">
        <f t="shared" si="26"/>
        <v/>
      </c>
      <c r="L53" s="145" t="str">
        <f t="shared" si="26"/>
        <v/>
      </c>
      <c r="M53" s="29"/>
      <c r="N53" s="157" t="s">
        <v>350</v>
      </c>
    </row>
    <row r="54" spans="1:14" x14ac:dyDescent="0.25">
      <c r="A54" t="str">
        <f t="shared" si="22"/>
        <v/>
      </c>
      <c r="B54" s="135"/>
      <c r="C54" s="108"/>
      <c r="D54" s="108"/>
      <c r="E54" s="108"/>
      <c r="F54" s="108"/>
      <c r="G54" s="108"/>
      <c r="H54" s="108"/>
      <c r="I54" s="108"/>
      <c r="J54" s="108"/>
      <c r="K54" s="108"/>
      <c r="L54" s="108"/>
      <c r="M54" s="29"/>
      <c r="N54" s="29"/>
    </row>
    <row r="55" spans="1:14" x14ac:dyDescent="0.25">
      <c r="A55" t="str">
        <f t="shared" si="22"/>
        <v xml:space="preserve">    To Shared, Reserve</v>
      </c>
      <c r="B55" s="135" t="s">
        <v>366</v>
      </c>
      <c r="C55" s="108" t="str">
        <f>IF(OR(C$27="",$A55=""),"",IF(C$49&gt;C47,C47,C49))</f>
        <v/>
      </c>
      <c r="D55" s="108" t="str">
        <f>IF(OR(D$27="",$A55=""),"",IF(D$49&gt;D47,D47,D49))</f>
        <v/>
      </c>
      <c r="E55" s="108" t="str">
        <f t="shared" ref="E55:L55" si="27">IF(OR(E$27="",$A55=""),"",IF(E$49&gt;E47,E47,E49))</f>
        <v/>
      </c>
      <c r="F55" s="108" t="str">
        <f t="shared" si="27"/>
        <v/>
      </c>
      <c r="G55" s="108" t="str">
        <f t="shared" si="27"/>
        <v/>
      </c>
      <c r="H55" s="108" t="str">
        <f t="shared" si="27"/>
        <v/>
      </c>
      <c r="I55" s="108" t="str">
        <f t="shared" si="27"/>
        <v/>
      </c>
      <c r="J55" s="108" t="str">
        <f t="shared" si="27"/>
        <v/>
      </c>
      <c r="K55" s="108" t="str">
        <f t="shared" si="27"/>
        <v/>
      </c>
      <c r="L55" s="108" t="str">
        <f t="shared" si="27"/>
        <v/>
      </c>
      <c r="M55" s="29"/>
      <c r="N55" s="29"/>
    </row>
    <row r="56" spans="1:14" x14ac:dyDescent="0.25">
      <c r="B56" s="194"/>
      <c r="C56" s="29"/>
      <c r="D56" s="29"/>
      <c r="E56" s="29"/>
      <c r="F56" s="194"/>
      <c r="G56" s="45"/>
    </row>
    <row r="57" spans="1:14" x14ac:dyDescent="0.25">
      <c r="A57" s="138" t="s">
        <v>180</v>
      </c>
      <c r="B57" s="138"/>
      <c r="C57" s="138"/>
      <c r="D57" s="138"/>
      <c r="E57" s="138"/>
      <c r="F57" s="138"/>
      <c r="G57" s="138"/>
      <c r="H57" s="138"/>
      <c r="I57" s="138"/>
      <c r="J57" s="138"/>
      <c r="K57" s="138"/>
      <c r="L57" s="138"/>
      <c r="M57" s="138"/>
      <c r="N57" s="138"/>
    </row>
    <row r="58" spans="1:14" x14ac:dyDescent="0.25">
      <c r="A58" s="197" t="str">
        <f>IF(A$5="[Unused]","",A5)</f>
        <v>Upper Basin</v>
      </c>
      <c r="B58" s="139"/>
      <c r="C58" s="139"/>
      <c r="D58" s="139"/>
      <c r="E58" s="139"/>
      <c r="F58" s="139"/>
      <c r="G58" s="139"/>
      <c r="H58" s="139"/>
      <c r="I58" s="139"/>
      <c r="J58" s="139"/>
      <c r="K58" s="139"/>
      <c r="L58" s="139"/>
      <c r="M58" s="140" t="s">
        <v>106</v>
      </c>
      <c r="N58" s="139" t="s">
        <v>171</v>
      </c>
    </row>
    <row r="59" spans="1:14" x14ac:dyDescent="0.2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2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25">
      <c r="A61" s="32" t="str">
        <f>IF(A60="","","   Volume of all players (should be zero)")</f>
        <v xml:space="preserve">   Volume of all players (should be zero)</v>
      </c>
      <c r="C61" s="67" t="str">
        <f t="shared" ref="C61:M61" si="28">IF(OR(C$27="",$A61=""),"",C$114)</f>
        <v/>
      </c>
      <c r="D61" s="67" t="str">
        <f t="shared" si="28"/>
        <v/>
      </c>
      <c r="E61" s="67" t="str">
        <f t="shared" si="28"/>
        <v/>
      </c>
      <c r="F61" s="67" t="str">
        <f t="shared" si="28"/>
        <v/>
      </c>
      <c r="G61" s="67" t="str">
        <f t="shared" si="28"/>
        <v/>
      </c>
      <c r="H61" s="67" t="str">
        <f t="shared" si="28"/>
        <v/>
      </c>
      <c r="I61" s="67" t="str">
        <f t="shared" si="28"/>
        <v/>
      </c>
      <c r="J61" s="67" t="str">
        <f t="shared" si="28"/>
        <v/>
      </c>
      <c r="K61" s="67" t="str">
        <f t="shared" si="28"/>
        <v/>
      </c>
      <c r="L61" s="67" t="str">
        <f t="shared" si="28"/>
        <v/>
      </c>
      <c r="M61" t="str">
        <f t="shared" si="28"/>
        <v/>
      </c>
      <c r="N61"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29">IF(OR(D$27="",$A62=""),"",D32+D50-D42-D59)</f>
        <v/>
      </c>
      <c r="E62" s="14" t="str">
        <f t="shared" si="29"/>
        <v/>
      </c>
      <c r="F62" s="14" t="str">
        <f t="shared" si="29"/>
        <v/>
      </c>
      <c r="G62" s="14" t="str">
        <f t="shared" si="29"/>
        <v/>
      </c>
      <c r="H62" s="14" t="str">
        <f t="shared" si="29"/>
        <v/>
      </c>
      <c r="I62" s="14" t="str">
        <f t="shared" si="29"/>
        <v/>
      </c>
      <c r="J62" s="14" t="str">
        <f t="shared" si="29"/>
        <v/>
      </c>
      <c r="K62" s="14" t="str">
        <f t="shared" si="29"/>
        <v/>
      </c>
      <c r="L62" s="14" t="str">
        <f t="shared" si="29"/>
        <v/>
      </c>
      <c r="N62" t="str">
        <f>IF(A62="","","Available water = Account Balance + Available Inflow - Evaporation + Sales - Purchases")</f>
        <v>Available water = Account Balance + Available Inflow - Evaporation + Sales - Purchases</v>
      </c>
    </row>
    <row r="63" spans="1:14" x14ac:dyDescent="0.2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25">
      <c r="A64" s="32" t="str">
        <f>IF(A63="","","   End of Year Balance [maf]")</f>
        <v xml:space="preserve">   End of Year Balance [maf]</v>
      </c>
      <c r="C64" s="66" t="str">
        <f>IF(OR(C$27="",$A64=""),"",C62-C63)</f>
        <v/>
      </c>
      <c r="D64" s="66" t="str">
        <f t="shared" ref="D64:L64" si="30">IF(OR(D$27="",$A64=""),"",D62-D63)</f>
        <v/>
      </c>
      <c r="E64" s="66" t="str">
        <f t="shared" si="30"/>
        <v/>
      </c>
      <c r="F64" s="66" t="str">
        <f t="shared" si="30"/>
        <v/>
      </c>
      <c r="G64" s="66" t="str">
        <f t="shared" si="30"/>
        <v/>
      </c>
      <c r="H64" s="66" t="str">
        <f t="shared" si="30"/>
        <v/>
      </c>
      <c r="I64" s="66" t="str">
        <f t="shared" si="30"/>
        <v/>
      </c>
      <c r="J64" s="66" t="str">
        <f t="shared" si="30"/>
        <v/>
      </c>
      <c r="K64" s="66" t="str">
        <f t="shared" si="30"/>
        <v/>
      </c>
      <c r="L64" s="66" t="str">
        <f t="shared" si="30"/>
        <v/>
      </c>
      <c r="N64" t="str">
        <f>IF(A64="","","Available water - Account Withdraw")</f>
        <v>Available water - Account Withdraw</v>
      </c>
    </row>
    <row r="65" spans="1:14" x14ac:dyDescent="0.25">
      <c r="C65"/>
    </row>
    <row r="66" spans="1:14" x14ac:dyDescent="0.25">
      <c r="A66" s="197" t="str">
        <f>IF(A$6="","[Unused]",A6)</f>
        <v>Lower Basin</v>
      </c>
      <c r="B66" s="139"/>
      <c r="C66" s="139"/>
      <c r="D66" s="139"/>
      <c r="E66" s="139"/>
      <c r="F66" s="139"/>
      <c r="G66" s="139"/>
      <c r="H66" s="139"/>
      <c r="I66" s="139"/>
      <c r="J66" s="139"/>
      <c r="K66" s="139"/>
      <c r="L66" s="139"/>
      <c r="M66" s="140" t="s">
        <v>106</v>
      </c>
      <c r="N66" s="139" t="s">
        <v>171</v>
      </c>
    </row>
    <row r="67" spans="1:14" x14ac:dyDescent="0.2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2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1">IF(A68="","",N60)</f>
        <v>Add if multiple transactions, e.g.: $350*0.5 + $450*0.25</v>
      </c>
    </row>
    <row r="69" spans="1:14" x14ac:dyDescent="0.25">
      <c r="A69" s="32" t="str">
        <f>IF(A68="","","   Volume all players (should be zero)")</f>
        <v xml:space="preserve">   Volume all players (should be zero)</v>
      </c>
      <c r="C69" s="67" t="str">
        <f t="shared" ref="C69:M69" si="32">IF(OR(C$27="",$A69=""),"",C$114)</f>
        <v/>
      </c>
      <c r="D69" s="67" t="str">
        <f t="shared" si="32"/>
        <v/>
      </c>
      <c r="E69" s="67" t="str">
        <f t="shared" si="32"/>
        <v/>
      </c>
      <c r="F69" s="67" t="str">
        <f t="shared" si="32"/>
        <v/>
      </c>
      <c r="G69" s="67" t="str">
        <f t="shared" si="32"/>
        <v/>
      </c>
      <c r="H69" s="67" t="str">
        <f t="shared" si="32"/>
        <v/>
      </c>
      <c r="I69" s="67" t="str">
        <f t="shared" si="32"/>
        <v/>
      </c>
      <c r="J69" s="67" t="str">
        <f t="shared" si="32"/>
        <v/>
      </c>
      <c r="K69" s="67" t="str">
        <f t="shared" si="32"/>
        <v/>
      </c>
      <c r="L69" s="67" t="str">
        <f t="shared" si="32"/>
        <v/>
      </c>
      <c r="M69" t="str">
        <f t="shared" si="32"/>
        <v/>
      </c>
      <c r="N69" t="str">
        <f t="shared" si="31"/>
        <v>If non-zero, players need to change amount(s)</v>
      </c>
    </row>
    <row r="70" spans="1:14" x14ac:dyDescent="0.25">
      <c r="A70" s="1" t="str">
        <f>IF(A68="","","   Available Water [maf]")</f>
        <v xml:space="preserve">   Available Water [maf]</v>
      </c>
      <c r="C70" s="14" t="str">
        <f t="shared" ref="C70:L70" si="33">IF(OR(C$27="",$A70=""),"",C33+C51-C43-C67)</f>
        <v/>
      </c>
      <c r="D70" s="14" t="str">
        <f t="shared" si="33"/>
        <v/>
      </c>
      <c r="E70" s="14" t="str">
        <f t="shared" si="33"/>
        <v/>
      </c>
      <c r="F70" s="14" t="str">
        <f t="shared" si="33"/>
        <v/>
      </c>
      <c r="G70" s="14" t="str">
        <f t="shared" si="33"/>
        <v/>
      </c>
      <c r="H70" s="14" t="str">
        <f t="shared" si="33"/>
        <v/>
      </c>
      <c r="I70" s="14" t="str">
        <f t="shared" si="33"/>
        <v/>
      </c>
      <c r="J70" s="14" t="str">
        <f t="shared" si="33"/>
        <v/>
      </c>
      <c r="K70" s="14" t="str">
        <f t="shared" si="33"/>
        <v/>
      </c>
      <c r="L70" s="14" t="str">
        <f t="shared" si="33"/>
        <v/>
      </c>
      <c r="N70" t="str">
        <f t="shared" si="31"/>
        <v>Available water = Account Balance + Available Inflow - Evaporation + Sales - Purchases</v>
      </c>
    </row>
    <row r="71" spans="1:14" x14ac:dyDescent="0.25">
      <c r="A71" s="1" t="str">
        <f>IF(A70="","","   Account Withdraw [maf]")</f>
        <v xml:space="preserve">   Account Withdraw [maf]</v>
      </c>
      <c r="C71" s="132"/>
      <c r="D71" s="132"/>
      <c r="E71" s="132"/>
      <c r="F71" s="132"/>
      <c r="G71" s="132"/>
      <c r="H71" s="132"/>
      <c r="I71" s="132"/>
      <c r="J71" s="132"/>
      <c r="K71" s="132"/>
      <c r="L71" s="132"/>
      <c r="N71" t="str">
        <f t="shared" si="31"/>
        <v>Must be less than Available water</v>
      </c>
    </row>
    <row r="72" spans="1:14" x14ac:dyDescent="0.25">
      <c r="A72" s="32" t="str">
        <f>IF(A71="","","   End of Year Balance [maf]")</f>
        <v xml:space="preserve">   End of Year Balance [maf]</v>
      </c>
      <c r="C72" s="66" t="str">
        <f>IF(OR(C$27="",$A72=""),"",C70-C71)</f>
        <v/>
      </c>
      <c r="D72" s="66" t="str">
        <f t="shared" ref="D72:L72" si="34">IF(OR(D$27="",$A72=""),"",D70-D71)</f>
        <v/>
      </c>
      <c r="E72" s="66" t="str">
        <f t="shared" si="34"/>
        <v/>
      </c>
      <c r="F72" s="66" t="str">
        <f t="shared" si="34"/>
        <v/>
      </c>
      <c r="G72" s="66" t="str">
        <f t="shared" si="34"/>
        <v/>
      </c>
      <c r="H72" s="66" t="str">
        <f t="shared" si="34"/>
        <v/>
      </c>
      <c r="I72" s="66" t="str">
        <f t="shared" si="34"/>
        <v/>
      </c>
      <c r="J72" s="66" t="str">
        <f t="shared" si="34"/>
        <v/>
      </c>
      <c r="K72" s="66" t="str">
        <f t="shared" si="34"/>
        <v/>
      </c>
      <c r="L72" s="66" t="str">
        <f t="shared" si="34"/>
        <v/>
      </c>
      <c r="N72" t="str">
        <f t="shared" si="31"/>
        <v>Available water - Account Withdraw</v>
      </c>
    </row>
    <row r="73" spans="1:14" x14ac:dyDescent="0.25">
      <c r="C73"/>
    </row>
    <row r="74" spans="1:14" x14ac:dyDescent="0.25">
      <c r="A74" s="197" t="str">
        <f>IF(A$7="","[Unused]",A7)</f>
        <v>Mexico</v>
      </c>
      <c r="B74" s="139"/>
      <c r="C74" s="139"/>
      <c r="D74" s="139"/>
      <c r="E74" s="139"/>
      <c r="F74" s="139"/>
      <c r="G74" s="139"/>
      <c r="H74" s="139"/>
      <c r="I74" s="139"/>
      <c r="J74" s="139"/>
      <c r="K74" s="139"/>
      <c r="L74" s="139"/>
      <c r="M74" s="140" t="s">
        <v>106</v>
      </c>
      <c r="N74" s="139" t="s">
        <v>171</v>
      </c>
    </row>
    <row r="75" spans="1:14" x14ac:dyDescent="0.2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2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5">IF(A76="","",N68)</f>
        <v>Add if multiple transactions, e.g.: $350*0.5 + $450*0.25</v>
      </c>
    </row>
    <row r="77" spans="1:14" x14ac:dyDescent="0.25">
      <c r="A77" s="32" t="str">
        <f>IF(A76="","","   Volume all players (should be zero)")</f>
        <v xml:space="preserve">   Volume all players (should be zero)</v>
      </c>
      <c r="C77" s="67" t="str">
        <f t="shared" ref="C77:M77" si="36">IF(OR(C$27="",$A77=""),"",C$114)</f>
        <v/>
      </c>
      <c r="D77" s="67" t="str">
        <f t="shared" si="36"/>
        <v/>
      </c>
      <c r="E77" s="67" t="str">
        <f t="shared" si="36"/>
        <v/>
      </c>
      <c r="F77" s="67" t="str">
        <f t="shared" si="36"/>
        <v/>
      </c>
      <c r="G77" s="67" t="str">
        <f t="shared" si="36"/>
        <v/>
      </c>
      <c r="H77" s="67" t="str">
        <f t="shared" si="36"/>
        <v/>
      </c>
      <c r="I77" s="67" t="str">
        <f t="shared" si="36"/>
        <v/>
      </c>
      <c r="J77" s="67" t="str">
        <f t="shared" si="36"/>
        <v/>
      </c>
      <c r="K77" s="67" t="str">
        <f t="shared" si="36"/>
        <v/>
      </c>
      <c r="L77" s="67" t="str">
        <f t="shared" si="36"/>
        <v/>
      </c>
      <c r="M77" t="str">
        <f t="shared" si="36"/>
        <v/>
      </c>
      <c r="N77" t="str">
        <f t="shared" si="35"/>
        <v>If non-zero, players need to change amount(s)</v>
      </c>
    </row>
    <row r="78" spans="1:14" x14ac:dyDescent="0.25">
      <c r="A78" s="1" t="str">
        <f>IF(A76="","","   Available Water [maf]")</f>
        <v xml:space="preserve">   Available Water [maf]</v>
      </c>
      <c r="C78" s="14" t="str">
        <f t="shared" ref="C78:L78" si="37">IF(OR(C$27="",$A78=""),"",C34+C52-C44-C75)</f>
        <v/>
      </c>
      <c r="D78" s="14" t="str">
        <f t="shared" si="37"/>
        <v/>
      </c>
      <c r="E78" s="14" t="str">
        <f t="shared" si="37"/>
        <v/>
      </c>
      <c r="F78" s="14" t="str">
        <f>IF(OR(F$27="",$A78=""),"",F34+F52-F44-F75)</f>
        <v/>
      </c>
      <c r="G78" s="14" t="str">
        <f t="shared" si="37"/>
        <v/>
      </c>
      <c r="H78" s="14" t="str">
        <f t="shared" si="37"/>
        <v/>
      </c>
      <c r="I78" s="14" t="str">
        <f t="shared" si="37"/>
        <v/>
      </c>
      <c r="J78" s="14" t="str">
        <f t="shared" si="37"/>
        <v/>
      </c>
      <c r="K78" s="14" t="str">
        <f t="shared" si="37"/>
        <v/>
      </c>
      <c r="L78" s="14" t="str">
        <f t="shared" si="37"/>
        <v/>
      </c>
      <c r="N78" t="str">
        <f t="shared" si="35"/>
        <v>Available water = Account Balance + Available Inflow - Evaporation + Sales - Purchases</v>
      </c>
    </row>
    <row r="79" spans="1:14" x14ac:dyDescent="0.25">
      <c r="A79" s="1" t="str">
        <f>IF(A78="","","   Account Withdraw [maf]")</f>
        <v xml:space="preserve">   Account Withdraw [maf]</v>
      </c>
      <c r="C79" s="132"/>
      <c r="D79" s="132"/>
      <c r="E79" s="132"/>
      <c r="F79" s="132"/>
      <c r="G79" s="132"/>
      <c r="H79" s="132"/>
      <c r="I79" s="132"/>
      <c r="J79" s="132"/>
      <c r="K79" s="132"/>
      <c r="L79" s="132"/>
      <c r="N79" t="str">
        <f t="shared" si="35"/>
        <v>Must be less than Available water</v>
      </c>
    </row>
    <row r="80" spans="1:14" x14ac:dyDescent="0.25">
      <c r="A80" s="32" t="str">
        <f>IF(A79="","","   End of Year Balance [maf]")</f>
        <v xml:space="preserve">   End of Year Balance [maf]</v>
      </c>
      <c r="C80" s="66" t="str">
        <f>IF(OR(C$27="",$A80=""),"",C78-C79)</f>
        <v/>
      </c>
      <c r="D80" s="66" t="str">
        <f t="shared" ref="D80:L80" si="38">IF(OR(D$27="",$A80=""),"",D78-D79)</f>
        <v/>
      </c>
      <c r="E80" s="66" t="str">
        <f t="shared" si="38"/>
        <v/>
      </c>
      <c r="F80" s="66" t="str">
        <f t="shared" si="38"/>
        <v/>
      </c>
      <c r="G80" s="66" t="str">
        <f t="shared" si="38"/>
        <v/>
      </c>
      <c r="H80" s="66" t="str">
        <f t="shared" si="38"/>
        <v/>
      </c>
      <c r="I80" s="66" t="str">
        <f t="shared" si="38"/>
        <v/>
      </c>
      <c r="J80" s="66" t="str">
        <f t="shared" si="38"/>
        <v/>
      </c>
      <c r="K80" s="66" t="str">
        <f t="shared" si="38"/>
        <v/>
      </c>
      <c r="L80" s="66" t="str">
        <f t="shared" si="38"/>
        <v/>
      </c>
      <c r="N80" t="str">
        <f t="shared" si="35"/>
        <v>Available water - Account Withdraw</v>
      </c>
    </row>
    <row r="81" spans="1:14" x14ac:dyDescent="0.25">
      <c r="C81"/>
    </row>
    <row r="82" spans="1:14" x14ac:dyDescent="0.25">
      <c r="A82" s="197" t="str">
        <f>IF(A$8="","[Unused]",A8)</f>
        <v>Colorado River Delta</v>
      </c>
      <c r="B82" s="139"/>
      <c r="C82" s="139"/>
      <c r="D82" s="139"/>
      <c r="E82" s="139"/>
      <c r="F82" s="139"/>
      <c r="G82" s="139"/>
      <c r="H82" s="139"/>
      <c r="I82" s="139"/>
      <c r="J82" s="139"/>
      <c r="K82" s="139"/>
      <c r="L82" s="139"/>
      <c r="M82" s="140" t="s">
        <v>106</v>
      </c>
      <c r="N82" s="139" t="s">
        <v>171</v>
      </c>
    </row>
    <row r="83" spans="1:14" x14ac:dyDescent="0.25">
      <c r="A83" s="32" t="str">
        <f>IF(A82="[Unused]","","   Volume of Sales(+) and Purchases(-) [maf]")</f>
        <v xml:space="preserve">   Volume of Sales(+) and Purchases(-) [maf]</v>
      </c>
      <c r="C83" s="130"/>
      <c r="D83" s="130"/>
      <c r="E83" s="130"/>
      <c r="F83" s="130"/>
      <c r="G83" s="130"/>
      <c r="H83" s="130"/>
      <c r="I83" s="130"/>
      <c r="J83" s="130"/>
      <c r="K83" s="130"/>
      <c r="L83" s="130"/>
      <c r="M83" s="67">
        <f>SUM(C83:L83)</f>
        <v>0</v>
      </c>
      <c r="N83" t="str">
        <f>IF(A83="","",N75)</f>
        <v>Add if multiple transactions, e.g.: 0.5 + 0.25</v>
      </c>
    </row>
    <row r="84" spans="1:14" x14ac:dyDescent="0.25">
      <c r="A84" s="32" t="str">
        <f>IF(A83="","","   Cash Intake(+) and Payments(-) [$ Mill]")</f>
        <v xml:space="preserve">   Cash Intake(+) and Payments(-) [$ Mill]</v>
      </c>
      <c r="C84" s="131"/>
      <c r="D84" s="131"/>
      <c r="E84" s="131"/>
      <c r="F84" s="131"/>
      <c r="G84" s="131"/>
      <c r="H84" s="131"/>
      <c r="I84" s="131"/>
      <c r="J84" s="131"/>
      <c r="K84" s="131"/>
      <c r="L84" s="131"/>
      <c r="M84" s="65">
        <f>SUM(C84:L84)</f>
        <v>0</v>
      </c>
      <c r="N84" t="str">
        <f>IF(A84="","","Parties may choose to make these transactions without money to help poor, struggling parties")</f>
        <v>Parties may choose to make these transactions without money to help poor, struggling parties</v>
      </c>
    </row>
    <row r="85" spans="1:14" x14ac:dyDescent="0.25">
      <c r="A85" s="32" t="str">
        <f>IF(A84="","","   Volume all players (should be zero)")</f>
        <v xml:space="preserve">   Volume all players (should be zero)</v>
      </c>
      <c r="C85" s="67" t="str">
        <f t="shared" ref="C85:M85" si="39">IF(OR(C$27="",$A85=""),"",C$114)</f>
        <v/>
      </c>
      <c r="D85" s="67" t="str">
        <f t="shared" si="39"/>
        <v/>
      </c>
      <c r="E85" s="67" t="str">
        <f t="shared" si="39"/>
        <v/>
      </c>
      <c r="F85" s="67" t="str">
        <f t="shared" si="39"/>
        <v/>
      </c>
      <c r="G85" s="67" t="str">
        <f t="shared" si="39"/>
        <v/>
      </c>
      <c r="H85" s="67" t="str">
        <f t="shared" si="39"/>
        <v/>
      </c>
      <c r="I85" s="67" t="str">
        <f t="shared" si="39"/>
        <v/>
      </c>
      <c r="J85" s="67" t="str">
        <f t="shared" si="39"/>
        <v/>
      </c>
      <c r="K85" s="67" t="str">
        <f t="shared" si="39"/>
        <v/>
      </c>
      <c r="L85" s="67" t="str">
        <f t="shared" si="39"/>
        <v/>
      </c>
      <c r="M85" t="str">
        <f t="shared" si="39"/>
        <v/>
      </c>
      <c r="N85" t="str">
        <f t="shared" ref="N85:N88" si="40">IF(A85="","",N77)</f>
        <v>If non-zero, players need to change amount(s)</v>
      </c>
    </row>
    <row r="86" spans="1:14" x14ac:dyDescent="0.25">
      <c r="A86" s="1" t="str">
        <f>IF(A84="","","   Available Water [maf]")</f>
        <v xml:space="preserve">   Available Water [maf]</v>
      </c>
      <c r="C86" s="195" t="str">
        <f t="shared" ref="C86:L86" si="41">IF(OR(C$27="",$A86=""),"",C35+C53-C45-C83)</f>
        <v/>
      </c>
      <c r="D86" s="195" t="str">
        <f t="shared" si="41"/>
        <v/>
      </c>
      <c r="E86" s="195" t="str">
        <f t="shared" si="41"/>
        <v/>
      </c>
      <c r="F86" s="195" t="str">
        <f t="shared" si="41"/>
        <v/>
      </c>
      <c r="G86" s="195" t="str">
        <f t="shared" si="41"/>
        <v/>
      </c>
      <c r="H86" s="195" t="str">
        <f t="shared" si="41"/>
        <v/>
      </c>
      <c r="I86" s="195" t="str">
        <f t="shared" si="41"/>
        <v/>
      </c>
      <c r="J86" s="195" t="str">
        <f t="shared" si="41"/>
        <v/>
      </c>
      <c r="K86" s="195" t="str">
        <f t="shared" si="41"/>
        <v/>
      </c>
      <c r="L86" s="195" t="str">
        <f t="shared" si="41"/>
        <v/>
      </c>
      <c r="N86" t="str">
        <f t="shared" si="40"/>
        <v>Available water = Account Balance + Available Inflow - Evaporation + Sales - Purchases</v>
      </c>
    </row>
    <row r="87" spans="1:14" x14ac:dyDescent="0.25">
      <c r="A87" s="1" t="str">
        <f>IF(A86="","","   Account Withdraw [maf]")</f>
        <v xml:space="preserve">   Account Withdraw [maf]</v>
      </c>
      <c r="C87" s="196"/>
      <c r="D87" s="196"/>
      <c r="E87" s="196"/>
      <c r="F87" s="196"/>
      <c r="G87" s="196"/>
      <c r="H87" s="196"/>
      <c r="I87" s="196"/>
      <c r="J87" s="196"/>
      <c r="K87" s="196"/>
      <c r="L87" s="196"/>
      <c r="N87" t="str">
        <f t="shared" si="40"/>
        <v>Must be less than Available water</v>
      </c>
    </row>
    <row r="88" spans="1:14" x14ac:dyDescent="0.25">
      <c r="A88" s="32" t="str">
        <f>IF(A87="","","   End of Year Balance [maf]")</f>
        <v xml:space="preserve">   End of Year Balance [maf]</v>
      </c>
      <c r="C88" s="66" t="str">
        <f>IF(OR(C$27="",$A88=""),"",C86-C87)</f>
        <v/>
      </c>
      <c r="D88" s="66" t="str">
        <f t="shared" ref="D88:L88" si="42">IF(OR(D$27="",$A88=""),"",D86-D87)</f>
        <v/>
      </c>
      <c r="E88" s="66" t="str">
        <f t="shared" si="42"/>
        <v/>
      </c>
      <c r="F88" s="66" t="str">
        <f t="shared" si="42"/>
        <v/>
      </c>
      <c r="G88" s="66" t="str">
        <f t="shared" si="42"/>
        <v/>
      </c>
      <c r="H88" s="66" t="str">
        <f t="shared" si="42"/>
        <v/>
      </c>
      <c r="I88" s="66" t="str">
        <f t="shared" si="42"/>
        <v/>
      </c>
      <c r="J88" s="66" t="str">
        <f t="shared" si="42"/>
        <v/>
      </c>
      <c r="K88" s="66" t="str">
        <f t="shared" si="42"/>
        <v/>
      </c>
      <c r="L88" s="66" t="str">
        <f t="shared" si="42"/>
        <v/>
      </c>
      <c r="N88" t="str">
        <f t="shared" si="40"/>
        <v>Available water - Account Withdraw</v>
      </c>
    </row>
    <row r="89" spans="1:14" x14ac:dyDescent="0.25">
      <c r="C89"/>
    </row>
    <row r="90" spans="1:14" x14ac:dyDescent="0.25">
      <c r="A90" s="197" t="str">
        <f>IF(A$9="","[Unused]",A9)</f>
        <v>[Unused]</v>
      </c>
      <c r="B90" s="139"/>
      <c r="C90" s="139"/>
      <c r="D90" s="139"/>
      <c r="E90" s="139"/>
      <c r="F90" s="139"/>
      <c r="G90" s="139"/>
      <c r="H90" s="139"/>
      <c r="I90" s="139"/>
      <c r="J90" s="139"/>
      <c r="K90" s="139"/>
      <c r="L90" s="139"/>
      <c r="M90" s="140" t="s">
        <v>106</v>
      </c>
      <c r="N90" s="139" t="s">
        <v>171</v>
      </c>
    </row>
    <row r="91" spans="1:14" x14ac:dyDescent="0.2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25">
      <c r="A92" s="32" t="str">
        <f>IF(A91="","","   Cash Intake(+) and Payments(-) [$ Mill]")</f>
        <v/>
      </c>
      <c r="C92" s="131"/>
      <c r="D92" s="131"/>
      <c r="E92" s="131"/>
      <c r="F92" s="131"/>
      <c r="G92" s="131"/>
      <c r="H92" s="131"/>
      <c r="I92" s="131"/>
      <c r="J92" s="131"/>
      <c r="K92" s="131"/>
      <c r="L92" s="131"/>
      <c r="M92" s="65">
        <f>SUM(C92:L92)</f>
        <v>0</v>
      </c>
      <c r="N92" t="str">
        <f t="shared" ref="N92:N96" si="43">IF(A92="","",N84)</f>
        <v/>
      </c>
    </row>
    <row r="93" spans="1:14" x14ac:dyDescent="0.25">
      <c r="A93" s="32" t="str">
        <f>IF(A92="","","   Volume all players (should be zero)")</f>
        <v/>
      </c>
      <c r="C93" s="67" t="str">
        <f t="shared" ref="C93:M93" si="44">IF(OR(C$27="",$A93=""),"",C$114)</f>
        <v/>
      </c>
      <c r="D93" s="67" t="str">
        <f t="shared" si="44"/>
        <v/>
      </c>
      <c r="E93" s="67" t="str">
        <f t="shared" si="44"/>
        <v/>
      </c>
      <c r="F93" s="67" t="str">
        <f t="shared" si="44"/>
        <v/>
      </c>
      <c r="G93" s="67" t="str">
        <f t="shared" si="44"/>
        <v/>
      </c>
      <c r="H93" s="67" t="str">
        <f t="shared" si="44"/>
        <v/>
      </c>
      <c r="I93" s="67" t="str">
        <f t="shared" si="44"/>
        <v/>
      </c>
      <c r="J93" s="67" t="str">
        <f t="shared" si="44"/>
        <v/>
      </c>
      <c r="K93" s="67" t="str">
        <f t="shared" si="44"/>
        <v/>
      </c>
      <c r="L93" s="67" t="str">
        <f t="shared" si="44"/>
        <v/>
      </c>
      <c r="M93" t="str">
        <f t="shared" si="44"/>
        <v/>
      </c>
      <c r="N93" t="str">
        <f t="shared" si="43"/>
        <v/>
      </c>
    </row>
    <row r="94" spans="1:14" x14ac:dyDescent="0.25">
      <c r="A94" s="1" t="str">
        <f>IF(A92="","","   Available Water [maf]")</f>
        <v/>
      </c>
      <c r="C94" s="14" t="str">
        <f t="shared" ref="C94:L94" si="45">IF(OR(C$27="",$A94=""),"",C36+C54-C46-C91)</f>
        <v/>
      </c>
      <c r="D94" s="14" t="str">
        <f t="shared" si="45"/>
        <v/>
      </c>
      <c r="E94" s="14" t="str">
        <f t="shared" si="45"/>
        <v/>
      </c>
      <c r="F94" s="14" t="str">
        <f t="shared" si="45"/>
        <v/>
      </c>
      <c r="G94" s="14" t="str">
        <f t="shared" si="45"/>
        <v/>
      </c>
      <c r="H94" s="14" t="str">
        <f t="shared" si="45"/>
        <v/>
      </c>
      <c r="I94" s="14" t="str">
        <f t="shared" si="45"/>
        <v/>
      </c>
      <c r="J94" s="14" t="str">
        <f t="shared" si="45"/>
        <v/>
      </c>
      <c r="K94" s="14" t="str">
        <f t="shared" si="45"/>
        <v/>
      </c>
      <c r="L94" s="14" t="str">
        <f t="shared" si="45"/>
        <v/>
      </c>
      <c r="N94" t="str">
        <f t="shared" si="43"/>
        <v/>
      </c>
    </row>
    <row r="95" spans="1:14" x14ac:dyDescent="0.25">
      <c r="A95" s="1" t="str">
        <f>IF(A94="","","   Account Withdraw [maf]")</f>
        <v/>
      </c>
      <c r="C95" s="132"/>
      <c r="D95" s="132"/>
      <c r="E95" s="132"/>
      <c r="F95" s="132"/>
      <c r="G95" s="132"/>
      <c r="H95" s="132"/>
      <c r="I95" s="132"/>
      <c r="J95" s="132"/>
      <c r="K95" s="132"/>
      <c r="L95" s="132"/>
      <c r="N95" t="str">
        <f t="shared" si="43"/>
        <v/>
      </c>
    </row>
    <row r="96" spans="1:14" x14ac:dyDescent="0.25">
      <c r="A96" s="32" t="str">
        <f>IF(A95="","","   End of Year Balance [maf]")</f>
        <v/>
      </c>
      <c r="C96" s="66" t="str">
        <f>IF(OR(C$27="",$A96=""),"",C94-C95)</f>
        <v/>
      </c>
      <c r="D96" s="66" t="str">
        <f t="shared" ref="D96:L96" si="46">IF(OR(D$27="",$A96=""),"",D94-D95)</f>
        <v/>
      </c>
      <c r="E96" s="66" t="str">
        <f t="shared" si="46"/>
        <v/>
      </c>
      <c r="F96" s="66" t="str">
        <f t="shared" si="46"/>
        <v/>
      </c>
      <c r="G96" s="66" t="str">
        <f t="shared" si="46"/>
        <v/>
      </c>
      <c r="H96" s="66" t="str">
        <f t="shared" si="46"/>
        <v/>
      </c>
      <c r="I96" s="66" t="str">
        <f t="shared" si="46"/>
        <v/>
      </c>
      <c r="J96" s="66" t="str">
        <f t="shared" si="46"/>
        <v/>
      </c>
      <c r="K96" s="66" t="str">
        <f t="shared" si="46"/>
        <v/>
      </c>
      <c r="L96" s="66" t="str">
        <f t="shared" si="46"/>
        <v/>
      </c>
      <c r="N96" t="str">
        <f t="shared" si="43"/>
        <v/>
      </c>
    </row>
    <row r="97" spans="1:14" x14ac:dyDescent="0.25">
      <c r="C97"/>
    </row>
    <row r="98" spans="1:14" x14ac:dyDescent="0.25">
      <c r="A98" s="197" t="str">
        <f>IF(A$10="","[Unused]",A10)</f>
        <v>Shared, Reserve</v>
      </c>
      <c r="B98" s="139"/>
      <c r="C98" s="139"/>
      <c r="D98" s="139"/>
      <c r="E98" s="139"/>
      <c r="F98" s="139"/>
      <c r="G98" s="139"/>
      <c r="H98" s="139"/>
      <c r="I98" s="139"/>
      <c r="J98" s="139"/>
      <c r="K98" s="139"/>
      <c r="L98" s="139"/>
      <c r="M98" s="140" t="s">
        <v>106</v>
      </c>
      <c r="N98" s="139" t="s">
        <v>171</v>
      </c>
    </row>
    <row r="99" spans="1:14" x14ac:dyDescent="0.25">
      <c r="A99" s="32" t="str">
        <f>IF(A98="[Unused]","","   Volume of Sales(+) and Purchases(-) [maf]")</f>
        <v xml:space="preserve">   Volume of Sales(+) and Purchases(-) [maf]</v>
      </c>
      <c r="C99" s="25"/>
      <c r="D99" s="25"/>
      <c r="E99" s="25"/>
      <c r="F99" s="25"/>
      <c r="G99" s="25"/>
      <c r="H99" s="25"/>
      <c r="I99" s="25"/>
      <c r="J99" s="25"/>
      <c r="K99" s="25"/>
      <c r="L99" s="25"/>
      <c r="M99" s="67">
        <f>SUM(C99:L99)</f>
        <v>0</v>
      </c>
      <c r="N99" t="str">
        <f>IF(A99="","",N91)</f>
        <v/>
      </c>
    </row>
    <row r="100" spans="1:14" x14ac:dyDescent="0.25">
      <c r="A100" s="32" t="str">
        <f>IF(A99="","","   Cash Intake(+) and Payments(-) [$ Mill]")</f>
        <v xml:space="preserve">   Cash Intake(+) and Payments(-) [$ Mill]</v>
      </c>
      <c r="C100" s="158"/>
      <c r="D100" s="158"/>
      <c r="E100" s="158"/>
      <c r="F100" s="158"/>
      <c r="G100" s="158"/>
      <c r="H100" s="158"/>
      <c r="I100" s="158"/>
      <c r="J100" s="158"/>
      <c r="K100" s="158"/>
      <c r="L100" s="158"/>
      <c r="M100" s="65">
        <f>SUM(C100:L100)</f>
        <v>0</v>
      </c>
      <c r="N100" t="str">
        <f t="shared" ref="N100:N104" si="47">IF(A100="","",N92)</f>
        <v/>
      </c>
    </row>
    <row r="101" spans="1:14" x14ac:dyDescent="0.25">
      <c r="A101" s="32" t="str">
        <f>IF(A100="","","   Volume all players (should be zero)")</f>
        <v xml:space="preserve">   Volume all players (should be zero)</v>
      </c>
      <c r="C101" s="67" t="str">
        <f t="shared" ref="C101:M101" si="48">IF(OR(C$27="",$A101=""),"",C$114)</f>
        <v/>
      </c>
      <c r="D101" s="67" t="str">
        <f t="shared" si="48"/>
        <v/>
      </c>
      <c r="E101" s="67" t="str">
        <f t="shared" si="48"/>
        <v/>
      </c>
      <c r="F101" s="67" t="str">
        <f t="shared" si="48"/>
        <v/>
      </c>
      <c r="G101" s="67" t="str">
        <f t="shared" si="48"/>
        <v/>
      </c>
      <c r="H101" s="67" t="str">
        <f t="shared" si="48"/>
        <v/>
      </c>
      <c r="I101" s="67" t="str">
        <f t="shared" si="48"/>
        <v/>
      </c>
      <c r="J101" s="67" t="str">
        <f t="shared" si="48"/>
        <v/>
      </c>
      <c r="K101" s="67" t="str">
        <f t="shared" si="48"/>
        <v/>
      </c>
      <c r="L101" s="67" t="str">
        <f t="shared" si="48"/>
        <v/>
      </c>
      <c r="M101" t="str">
        <f t="shared" si="48"/>
        <v/>
      </c>
      <c r="N101" t="str">
        <f t="shared" si="47"/>
        <v/>
      </c>
    </row>
    <row r="102" spans="1:14" x14ac:dyDescent="0.25">
      <c r="A102" s="1" t="str">
        <f>IF(A100="","","   Available Water [maf]")</f>
        <v xml:space="preserve">   Available Water [maf]</v>
      </c>
      <c r="C102" s="14" t="str">
        <f t="shared" ref="C102:L102" si="49">IF(OR(C$27="",$A102=""),"",C37+C55-C47-C99)</f>
        <v/>
      </c>
      <c r="D102" s="14" t="str">
        <f t="shared" si="49"/>
        <v/>
      </c>
      <c r="E102" s="14" t="str">
        <f t="shared" si="49"/>
        <v/>
      </c>
      <c r="F102" s="14" t="str">
        <f t="shared" si="49"/>
        <v/>
      </c>
      <c r="G102" s="14" t="str">
        <f t="shared" si="49"/>
        <v/>
      </c>
      <c r="H102" s="14" t="str">
        <f t="shared" si="49"/>
        <v/>
      </c>
      <c r="I102" s="14" t="str">
        <f t="shared" si="49"/>
        <v/>
      </c>
      <c r="J102" s="14" t="str">
        <f t="shared" si="49"/>
        <v/>
      </c>
      <c r="K102" s="14" t="str">
        <f t="shared" si="49"/>
        <v/>
      </c>
      <c r="L102" s="14" t="str">
        <f t="shared" si="49"/>
        <v/>
      </c>
      <c r="N102" t="str">
        <f t="shared" si="47"/>
        <v/>
      </c>
    </row>
    <row r="103" spans="1:14" x14ac:dyDescent="0.25">
      <c r="A103" s="1" t="str">
        <f>IF(A102="","","   Account Withdraw [maf]")</f>
        <v xml:space="preserve">   Account Withdraw [maf]</v>
      </c>
      <c r="C103" s="43"/>
      <c r="D103" s="43"/>
      <c r="E103" s="43"/>
      <c r="F103" s="43"/>
      <c r="G103" s="43"/>
      <c r="H103" s="43"/>
      <c r="I103" s="43"/>
      <c r="J103" s="43"/>
      <c r="K103" s="43"/>
      <c r="L103" s="43"/>
      <c r="N103" t="str">
        <f t="shared" si="47"/>
        <v/>
      </c>
    </row>
    <row r="104" spans="1:14" x14ac:dyDescent="0.25">
      <c r="A104" s="32" t="str">
        <f>IF(A103="","","   End of Year Balance [maf]")</f>
        <v xml:space="preserve">   End of Year Balance [maf]</v>
      </c>
      <c r="C104" s="66" t="str">
        <f>IF(OR(C$27="",$A104=""),"",C102-C103)</f>
        <v/>
      </c>
      <c r="D104" s="66" t="str">
        <f t="shared" ref="D104:L104" si="50">IF(OR(D$27="",$A104=""),"",D102-D103)</f>
        <v/>
      </c>
      <c r="E104" s="66" t="str">
        <f t="shared" si="50"/>
        <v/>
      </c>
      <c r="F104" s="66" t="str">
        <f t="shared" si="50"/>
        <v/>
      </c>
      <c r="G104" s="66" t="str">
        <f t="shared" si="50"/>
        <v/>
      </c>
      <c r="H104" s="66" t="str">
        <f t="shared" si="50"/>
        <v/>
      </c>
      <c r="I104" s="66" t="str">
        <f t="shared" si="50"/>
        <v/>
      </c>
      <c r="J104" s="66" t="str">
        <f t="shared" si="50"/>
        <v/>
      </c>
      <c r="K104" s="66" t="str">
        <f t="shared" si="50"/>
        <v/>
      </c>
      <c r="L104" s="66" t="str">
        <f t="shared" si="50"/>
        <v/>
      </c>
      <c r="N104" t="str">
        <f t="shared" si="47"/>
        <v/>
      </c>
    </row>
    <row r="105" spans="1:14" x14ac:dyDescent="0.25">
      <c r="C105"/>
    </row>
    <row r="106" spans="1:14" x14ac:dyDescent="0.25">
      <c r="A106" s="141" t="s">
        <v>182</v>
      </c>
      <c r="B106" s="141"/>
      <c r="C106" s="141"/>
      <c r="D106" s="141"/>
      <c r="E106" s="141"/>
      <c r="F106" s="141"/>
      <c r="G106" s="141"/>
      <c r="H106" s="141"/>
      <c r="I106" s="141"/>
      <c r="J106" s="141"/>
      <c r="K106" s="141"/>
      <c r="L106" s="141"/>
      <c r="M106" s="141"/>
      <c r="N106" s="141"/>
    </row>
    <row r="107" spans="1:14" x14ac:dyDescent="0.25">
      <c r="A107" s="1" t="s">
        <v>148</v>
      </c>
      <c r="C107"/>
      <c r="M107" t="s">
        <v>181</v>
      </c>
      <c r="N107" t="s">
        <v>149</v>
      </c>
    </row>
    <row r="108" spans="1:14" x14ac:dyDescent="0.25">
      <c r="A108" t="str">
        <f t="shared" ref="A108:A113" si="51">IF(A5="","","    "&amp;A5)</f>
        <v xml:space="preserve">    Upper Basin</v>
      </c>
      <c r="B108" s="1"/>
      <c r="C108" s="67" t="str">
        <f t="shared" ref="C108:L108" ca="1" si="52">IF(OR(C$27="",$A108=""),"",OFFSET(C$59,8*(ROW(B108)-ROW(B$108)),0))</f>
        <v/>
      </c>
      <c r="D108" s="67" t="str">
        <f t="shared" ca="1" si="52"/>
        <v/>
      </c>
      <c r="E108" s="67" t="str">
        <f t="shared" ca="1" si="52"/>
        <v/>
      </c>
      <c r="F108" s="67" t="str">
        <f t="shared" ca="1" si="52"/>
        <v/>
      </c>
      <c r="G108" s="67" t="str">
        <f t="shared" ca="1" si="52"/>
        <v/>
      </c>
      <c r="H108" s="67" t="str">
        <f t="shared" ca="1" si="52"/>
        <v/>
      </c>
      <c r="I108" s="67" t="str">
        <f t="shared" ca="1" si="52"/>
        <v/>
      </c>
      <c r="J108" s="67" t="str">
        <f t="shared" ca="1" si="52"/>
        <v/>
      </c>
      <c r="K108" s="67" t="str">
        <f t="shared" ca="1" si="52"/>
        <v/>
      </c>
      <c r="L108" s="67" t="str">
        <f t="shared" ca="1" si="52"/>
        <v/>
      </c>
      <c r="M108" s="67">
        <f ca="1">IF(OR($A108=""),"",SUM(C108:L108))</f>
        <v>0</v>
      </c>
      <c r="N108" s="65">
        <f>IF(OR($A108=""),"",M60)</f>
        <v>0</v>
      </c>
    </row>
    <row r="109" spans="1:14" x14ac:dyDescent="0.25">
      <c r="A109" t="str">
        <f t="shared" si="51"/>
        <v xml:space="preserve">    Lower Basin</v>
      </c>
      <c r="B109" s="1"/>
      <c r="C109" s="67" t="str">
        <f t="shared" ref="C109:L109" ca="1" si="53">IF(OR(C$27="",$A109=""),"",OFFSET(C$59,8*(ROW(B109)-ROW(B$108)),0))</f>
        <v/>
      </c>
      <c r="D109" s="67" t="str">
        <f t="shared" ca="1" si="53"/>
        <v/>
      </c>
      <c r="E109" s="67" t="str">
        <f t="shared" ca="1" si="53"/>
        <v/>
      </c>
      <c r="F109" s="67" t="str">
        <f t="shared" ca="1" si="53"/>
        <v/>
      </c>
      <c r="G109" s="67" t="str">
        <f t="shared" ca="1" si="53"/>
        <v/>
      </c>
      <c r="H109" s="67" t="str">
        <f t="shared" ca="1" si="53"/>
        <v/>
      </c>
      <c r="I109" s="67" t="str">
        <f t="shared" ca="1" si="53"/>
        <v/>
      </c>
      <c r="J109" s="67" t="str">
        <f t="shared" ca="1" si="53"/>
        <v/>
      </c>
      <c r="K109" s="67" t="str">
        <f t="shared" ca="1" si="53"/>
        <v/>
      </c>
      <c r="L109" s="67" t="str">
        <f t="shared" ca="1" si="53"/>
        <v/>
      </c>
      <c r="M109" s="67">
        <f t="shared" ref="M109:M113" ca="1" si="54">IF(OR($A109=""),"",SUM(C109:L109))</f>
        <v>0</v>
      </c>
      <c r="N109" s="65">
        <f>IF(OR($A109=""),"",M68)</f>
        <v>0</v>
      </c>
    </row>
    <row r="110" spans="1:14" x14ac:dyDescent="0.25">
      <c r="A110" t="str">
        <f t="shared" si="51"/>
        <v xml:space="preserve">    Mexico</v>
      </c>
      <c r="B110" s="1"/>
      <c r="C110" s="67" t="str">
        <f t="shared" ref="C110:L110" ca="1" si="55">IF(OR(C$27="",$A110=""),"",OFFSET(C$59,8*(ROW(B110)-ROW(B$108)),0))</f>
        <v/>
      </c>
      <c r="D110" s="67" t="str">
        <f t="shared" ca="1" si="55"/>
        <v/>
      </c>
      <c r="E110" s="67" t="str">
        <f t="shared" ca="1" si="55"/>
        <v/>
      </c>
      <c r="F110" s="67" t="str">
        <f t="shared" ca="1" si="55"/>
        <v/>
      </c>
      <c r="G110" s="67" t="str">
        <f t="shared" ca="1" si="55"/>
        <v/>
      </c>
      <c r="H110" s="67" t="str">
        <f t="shared" ca="1" si="55"/>
        <v/>
      </c>
      <c r="I110" s="67" t="str">
        <f t="shared" ca="1" si="55"/>
        <v/>
      </c>
      <c r="J110" s="67" t="str">
        <f t="shared" ca="1" si="55"/>
        <v/>
      </c>
      <c r="K110" s="67" t="str">
        <f t="shared" ca="1" si="55"/>
        <v/>
      </c>
      <c r="L110" s="67" t="str">
        <f t="shared" ca="1" si="55"/>
        <v/>
      </c>
      <c r="M110" s="67">
        <f t="shared" ca="1" si="54"/>
        <v>0</v>
      </c>
      <c r="N110" s="65">
        <f>IF(OR($A110=""),"",M76)</f>
        <v>0</v>
      </c>
    </row>
    <row r="111" spans="1:14" x14ac:dyDescent="0.25">
      <c r="A111" t="str">
        <f t="shared" si="51"/>
        <v xml:space="preserve">    Colorado River Delta</v>
      </c>
      <c r="B111" s="1"/>
      <c r="C111" s="67" t="str">
        <f t="shared" ref="C111:L111" ca="1" si="56">IF(OR(C$27="",$A111=""),"",OFFSET(C$59,8*(ROW(B111)-ROW(B$108)),0))</f>
        <v/>
      </c>
      <c r="D111" s="67" t="str">
        <f t="shared" ca="1" si="56"/>
        <v/>
      </c>
      <c r="E111" s="67" t="str">
        <f t="shared" ca="1" si="56"/>
        <v/>
      </c>
      <c r="F111" s="67" t="str">
        <f t="shared" ca="1" si="56"/>
        <v/>
      </c>
      <c r="G111" s="67" t="str">
        <f t="shared" ca="1" si="56"/>
        <v/>
      </c>
      <c r="H111" s="67" t="str">
        <f t="shared" ca="1" si="56"/>
        <v/>
      </c>
      <c r="I111" s="67" t="str">
        <f t="shared" ca="1" si="56"/>
        <v/>
      </c>
      <c r="J111" s="67" t="str">
        <f t="shared" ca="1" si="56"/>
        <v/>
      </c>
      <c r="K111" s="67" t="str">
        <f t="shared" ca="1" si="56"/>
        <v/>
      </c>
      <c r="L111" s="67" t="str">
        <f t="shared" ca="1" si="56"/>
        <v/>
      </c>
      <c r="M111" s="67">
        <f t="shared" ca="1" si="54"/>
        <v>0</v>
      </c>
      <c r="N111" s="65">
        <f>IF(OR($A111=""),"",M84)</f>
        <v>0</v>
      </c>
    </row>
    <row r="112" spans="1:14" x14ac:dyDescent="0.25">
      <c r="A112" t="str">
        <f t="shared" si="51"/>
        <v/>
      </c>
      <c r="B112" s="1"/>
      <c r="C112" s="67" t="str">
        <f t="shared" ref="C112:L112" ca="1" si="57">IF(OR(C$27="",$A112=""),"",OFFSET(C$59,8*(ROW(B112)-ROW(B$108)),0))</f>
        <v/>
      </c>
      <c r="D112" s="67" t="str">
        <f t="shared" ca="1" si="57"/>
        <v/>
      </c>
      <c r="E112" s="67" t="str">
        <f t="shared" ca="1" si="57"/>
        <v/>
      </c>
      <c r="F112" s="67" t="str">
        <f t="shared" ca="1" si="57"/>
        <v/>
      </c>
      <c r="G112" s="67" t="str">
        <f t="shared" ca="1" si="57"/>
        <v/>
      </c>
      <c r="H112" s="67" t="str">
        <f t="shared" ca="1" si="57"/>
        <v/>
      </c>
      <c r="I112" s="67" t="str">
        <f t="shared" ca="1" si="57"/>
        <v/>
      </c>
      <c r="J112" s="67" t="str">
        <f t="shared" ca="1" si="57"/>
        <v/>
      </c>
      <c r="K112" s="67" t="str">
        <f t="shared" ca="1" si="57"/>
        <v/>
      </c>
      <c r="L112" s="67" t="str">
        <f t="shared" ca="1" si="57"/>
        <v/>
      </c>
      <c r="M112" s="67" t="str">
        <f t="shared" si="54"/>
        <v/>
      </c>
      <c r="N112" s="65" t="str">
        <f>IF(OR($A112=""),"",M92)</f>
        <v/>
      </c>
    </row>
    <row r="113" spans="1:14" x14ac:dyDescent="0.25">
      <c r="A113" t="str">
        <f t="shared" si="51"/>
        <v xml:space="preserve">    Shared, Reserve</v>
      </c>
      <c r="B113" s="1"/>
      <c r="C113" s="67" t="str">
        <f t="shared" ref="C113:L113" ca="1" si="58">IF(OR(C$27="",$A113=""),"",OFFSET(C$59,8*(ROW(B113)-ROW(B$108)),0))</f>
        <v/>
      </c>
      <c r="D113" s="67" t="str">
        <f t="shared" ca="1" si="58"/>
        <v/>
      </c>
      <c r="E113" s="67" t="str">
        <f t="shared" ca="1" si="58"/>
        <v/>
      </c>
      <c r="F113" s="67" t="str">
        <f t="shared" ca="1" si="58"/>
        <v/>
      </c>
      <c r="G113" s="67" t="str">
        <f t="shared" ca="1" si="58"/>
        <v/>
      </c>
      <c r="H113" s="67" t="str">
        <f t="shared" ca="1" si="58"/>
        <v/>
      </c>
      <c r="I113" s="67" t="str">
        <f t="shared" ca="1" si="58"/>
        <v/>
      </c>
      <c r="J113" s="67" t="str">
        <f t="shared" ca="1" si="58"/>
        <v/>
      </c>
      <c r="K113" s="67" t="str">
        <f t="shared" ca="1" si="58"/>
        <v/>
      </c>
      <c r="L113" s="67" t="str">
        <f t="shared" ca="1" si="58"/>
        <v/>
      </c>
      <c r="M113" s="67">
        <f t="shared" ca="1" si="54"/>
        <v>0</v>
      </c>
      <c r="N113" s="65">
        <f>IF(OR($A113=""),"",M100)</f>
        <v>0</v>
      </c>
    </row>
    <row r="114" spans="1:14" x14ac:dyDescent="0.25">
      <c r="A114" t="s">
        <v>145</v>
      </c>
      <c r="B114" s="1"/>
      <c r="C114" s="51" t="str">
        <f>IF(C$27&lt;&gt;"",SUM(C108:C113),"")</f>
        <v/>
      </c>
      <c r="D114" s="51" t="str">
        <f t="shared" ref="D114:L114" si="59">IF(D$27&lt;&gt;"",SUM(D108:D113),"")</f>
        <v/>
      </c>
      <c r="E114" s="115" t="str">
        <f t="shared" si="59"/>
        <v/>
      </c>
      <c r="F114" s="51" t="str">
        <f t="shared" si="59"/>
        <v/>
      </c>
      <c r="G114" s="51" t="str">
        <f t="shared" si="59"/>
        <v/>
      </c>
      <c r="H114" s="51" t="str">
        <f t="shared" si="59"/>
        <v/>
      </c>
      <c r="I114" s="51" t="str">
        <f t="shared" si="59"/>
        <v/>
      </c>
      <c r="J114" s="51" t="str">
        <f t="shared" si="59"/>
        <v/>
      </c>
      <c r="K114" s="51" t="str">
        <f t="shared" si="59"/>
        <v/>
      </c>
      <c r="L114" s="51" t="str">
        <f t="shared" si="59"/>
        <v/>
      </c>
      <c r="M114" s="34"/>
    </row>
    <row r="115" spans="1:14" x14ac:dyDescent="0.25">
      <c r="A115" s="1" t="s">
        <v>133</v>
      </c>
      <c r="B115" s="1"/>
      <c r="C115" s="54"/>
      <c r="D115" s="2"/>
      <c r="E115" s="54"/>
      <c r="F115" s="2"/>
      <c r="G115" s="2"/>
      <c r="H115" s="2"/>
      <c r="I115" s="2"/>
      <c r="J115" s="2"/>
      <c r="K115" s="2"/>
      <c r="L115" s="2"/>
    </row>
    <row r="116" spans="1:14" x14ac:dyDescent="0.25">
      <c r="A116" t="str">
        <f>IF(A5="","","    "&amp;A5&amp;" - Consumptive Use and Headwaters Losses")</f>
        <v xml:space="preserve">    Upper Basin - Consumptive Use and Headwaters Losses</v>
      </c>
      <c r="C116" s="67" t="str">
        <f t="shared" ref="C116:L116" ca="1" si="60">IF(OR(C$27="",$A116=""),"",OFFSET(C$63,8*(ROW(B116)-ROW(B$116)),0))</f>
        <v/>
      </c>
      <c r="D116" s="67" t="str">
        <f t="shared" ca="1" si="60"/>
        <v/>
      </c>
      <c r="E116" s="67" t="str">
        <f t="shared" ca="1" si="60"/>
        <v/>
      </c>
      <c r="F116" s="67" t="str">
        <f t="shared" ca="1" si="60"/>
        <v/>
      </c>
      <c r="G116" s="67" t="str">
        <f t="shared" ca="1" si="60"/>
        <v/>
      </c>
      <c r="H116" s="67" t="str">
        <f t="shared" ca="1" si="60"/>
        <v/>
      </c>
      <c r="I116" s="67" t="str">
        <f t="shared" ca="1" si="60"/>
        <v/>
      </c>
      <c r="J116" s="67" t="str">
        <f t="shared" ca="1" si="60"/>
        <v/>
      </c>
      <c r="K116" s="67" t="str">
        <f t="shared" ca="1" si="60"/>
        <v/>
      </c>
      <c r="L116" s="67" t="str">
        <f t="shared" ca="1" si="60"/>
        <v/>
      </c>
    </row>
    <row r="117" spans="1:14" x14ac:dyDescent="0.25">
      <c r="A117" t="str">
        <f>IF(A6="","","    "&amp;A6&amp;" - Release from Mead")</f>
        <v xml:space="preserve">    Lower Basin - Release from Mead</v>
      </c>
      <c r="C117" s="67" t="str">
        <f t="shared" ref="C117:L117" ca="1" si="61">IF(OR(C$27="",$A117=""),"",OFFSET(C$63,8*(ROW(B117)-ROW(B$116)),0))</f>
        <v/>
      </c>
      <c r="D117" s="67" t="str">
        <f t="shared" ca="1" si="61"/>
        <v/>
      </c>
      <c r="E117" s="67" t="str">
        <f t="shared" ca="1" si="61"/>
        <v/>
      </c>
      <c r="F117" s="67" t="str">
        <f t="shared" ca="1" si="61"/>
        <v/>
      </c>
      <c r="G117" s="67" t="str">
        <f t="shared" ca="1" si="61"/>
        <v/>
      </c>
      <c r="H117" s="67" t="str">
        <f t="shared" ca="1" si="61"/>
        <v/>
      </c>
      <c r="I117" s="67" t="str">
        <f t="shared" ca="1" si="61"/>
        <v/>
      </c>
      <c r="J117" s="67" t="str">
        <f t="shared" ca="1" si="61"/>
        <v/>
      </c>
      <c r="K117" s="67" t="str">
        <f t="shared" ca="1" si="61"/>
        <v/>
      </c>
      <c r="L117" s="67" t="str">
        <f t="shared" ca="1" si="61"/>
        <v/>
      </c>
    </row>
    <row r="118" spans="1:14" x14ac:dyDescent="0.25">
      <c r="A118" t="str">
        <f>IF(A7="","","    "&amp;A7&amp;" - Release from Mead")</f>
        <v xml:space="preserve">    Mexico - Release from Mead</v>
      </c>
      <c r="C118" s="67" t="str">
        <f t="shared" ref="C118:L118" ca="1" si="62">IF(OR(C$27="",$A118=""),"",OFFSET(C$63,8*(ROW(B118)-ROW(B$116)),0))</f>
        <v/>
      </c>
      <c r="D118" s="67" t="str">
        <f t="shared" ca="1" si="62"/>
        <v/>
      </c>
      <c r="E118" s="67" t="str">
        <f t="shared" ca="1" si="62"/>
        <v/>
      </c>
      <c r="F118" s="67" t="str">
        <f t="shared" ca="1" si="62"/>
        <v/>
      </c>
      <c r="G118" s="67" t="str">
        <f t="shared" ca="1" si="62"/>
        <v/>
      </c>
      <c r="H118" s="67" t="str">
        <f t="shared" ca="1" si="62"/>
        <v/>
      </c>
      <c r="I118" s="67" t="str">
        <f t="shared" ca="1" si="62"/>
        <v/>
      </c>
      <c r="J118" s="67" t="str">
        <f t="shared" ca="1" si="62"/>
        <v/>
      </c>
      <c r="K118" s="67" t="str">
        <f t="shared" ca="1" si="62"/>
        <v/>
      </c>
      <c r="L118" s="67" t="str">
        <f t="shared" ca="1" si="62"/>
        <v/>
      </c>
    </row>
    <row r="119" spans="1:14" x14ac:dyDescent="0.25">
      <c r="A119" t="str">
        <f>IF(A8="","","    "&amp;A8&amp;" - Release from Mead")</f>
        <v xml:space="preserve">    Colorado River Delta - Release from Mead</v>
      </c>
      <c r="C119" s="67" t="str">
        <f t="shared" ref="C119:L119" ca="1" si="63">IF(OR(C$27="",$A119=""),"",OFFSET(C$63,8*(ROW(B119)-ROW(B$116)),0))</f>
        <v/>
      </c>
      <c r="D119" s="67" t="str">
        <f t="shared" ca="1" si="63"/>
        <v/>
      </c>
      <c r="E119" s="67" t="str">
        <f t="shared" ca="1" si="63"/>
        <v/>
      </c>
      <c r="F119" s="67" t="str">
        <f t="shared" ca="1" si="63"/>
        <v/>
      </c>
      <c r="G119" s="67" t="str">
        <f t="shared" ca="1" si="63"/>
        <v/>
      </c>
      <c r="H119" s="67" t="str">
        <f t="shared" ca="1" si="63"/>
        <v/>
      </c>
      <c r="I119" s="67" t="str">
        <f t="shared" ca="1" si="63"/>
        <v/>
      </c>
      <c r="J119" s="67" t="str">
        <f t="shared" ca="1" si="63"/>
        <v/>
      </c>
      <c r="K119" s="67" t="str">
        <f t="shared" ca="1" si="63"/>
        <v/>
      </c>
      <c r="L119" s="67" t="str">
        <f t="shared" ca="1" si="63"/>
        <v/>
      </c>
    </row>
    <row r="120" spans="1:14" x14ac:dyDescent="0.25">
      <c r="A120" t="str">
        <f>IF(A9="","","    "&amp;A9&amp;" - Release from Mead")</f>
        <v/>
      </c>
      <c r="C120" s="67" t="str">
        <f t="shared" ref="C120:L120" ca="1" si="64">IF(OR(C$27="",$A120=""),"",OFFSET(C$63,8*(ROW(B120)-ROW(B$116)),0))</f>
        <v/>
      </c>
      <c r="D120" s="67" t="str">
        <f t="shared" ca="1" si="64"/>
        <v/>
      </c>
      <c r="E120" s="67" t="str">
        <f t="shared" ca="1" si="64"/>
        <v/>
      </c>
      <c r="F120" s="67" t="str">
        <f t="shared" ca="1" si="64"/>
        <v/>
      </c>
      <c r="G120" s="67" t="str">
        <f t="shared" ca="1" si="64"/>
        <v/>
      </c>
      <c r="H120" s="67" t="str">
        <f t="shared" ca="1" si="64"/>
        <v/>
      </c>
      <c r="I120" s="67" t="str">
        <f t="shared" ca="1" si="64"/>
        <v/>
      </c>
      <c r="J120" s="67" t="str">
        <f t="shared" ca="1" si="64"/>
        <v/>
      </c>
      <c r="K120" s="67" t="str">
        <f t="shared" ca="1" si="64"/>
        <v/>
      </c>
      <c r="L120" s="67" t="str">
        <f t="shared" ca="1" si="64"/>
        <v/>
      </c>
    </row>
    <row r="121" spans="1:14" x14ac:dyDescent="0.25">
      <c r="A121" t="str">
        <f>IF(A10="","","    "&amp;A10&amp;" - Release from Mead")</f>
        <v xml:space="preserve">    Shared, Reserve - Release from Mead</v>
      </c>
      <c r="C121" s="67" t="str">
        <f t="shared" ref="C121:L121" ca="1" si="65">IF(OR(C$27="",$A121=""),"",OFFSET(C$63,8*(ROW(B121)-ROW(B$116)),0))</f>
        <v/>
      </c>
      <c r="D121" s="67" t="str">
        <f t="shared" ca="1" si="65"/>
        <v/>
      </c>
      <c r="E121" s="67" t="str">
        <f t="shared" ca="1" si="65"/>
        <v/>
      </c>
      <c r="F121" s="67" t="str">
        <f t="shared" ca="1" si="65"/>
        <v/>
      </c>
      <c r="G121" s="67" t="str">
        <f t="shared" ca="1" si="65"/>
        <v/>
      </c>
      <c r="H121" s="67" t="str">
        <f t="shared" ca="1" si="65"/>
        <v/>
      </c>
      <c r="I121" s="67" t="str">
        <f t="shared" ca="1" si="65"/>
        <v/>
      </c>
      <c r="J121" s="67" t="str">
        <f t="shared" ca="1" si="65"/>
        <v/>
      </c>
      <c r="K121" s="67" t="str">
        <f t="shared" ca="1" si="65"/>
        <v/>
      </c>
      <c r="L121" s="67" t="str">
        <f t="shared" ca="1" si="65"/>
        <v/>
      </c>
    </row>
    <row r="122" spans="1:14" x14ac:dyDescent="0.25">
      <c r="A122" s="1" t="s">
        <v>138</v>
      </c>
      <c r="B122" s="1"/>
      <c r="D122" s="2"/>
      <c r="E122" s="2"/>
      <c r="F122" s="2"/>
      <c r="G122" s="2"/>
      <c r="H122" s="2"/>
      <c r="I122" s="2"/>
      <c r="J122" s="2"/>
      <c r="K122" s="2"/>
      <c r="L122" s="2"/>
    </row>
    <row r="123" spans="1:14" x14ac:dyDescent="0.25">
      <c r="A123" t="str">
        <f t="shared" ref="A123:A128" si="66">IF(A5="","","    "&amp;A5)</f>
        <v xml:space="preserve">    Upper Basin</v>
      </c>
      <c r="C123" s="67" t="str">
        <f t="shared" ref="C123:L123" ca="1" si="67">IF(OR(C$27="",$A123=""),"",OFFSET(C$64,8*(ROW(B123)-ROW(B$123)),0))</f>
        <v/>
      </c>
      <c r="D123" s="67" t="str">
        <f t="shared" ca="1" si="67"/>
        <v/>
      </c>
      <c r="E123" s="67" t="str">
        <f t="shared" ca="1" si="67"/>
        <v/>
      </c>
      <c r="F123" s="67" t="str">
        <f t="shared" ca="1" si="67"/>
        <v/>
      </c>
      <c r="G123" s="67" t="str">
        <f t="shared" ca="1" si="67"/>
        <v/>
      </c>
      <c r="H123" s="67" t="str">
        <f t="shared" ca="1" si="67"/>
        <v/>
      </c>
      <c r="I123" s="67" t="str">
        <f t="shared" ca="1" si="67"/>
        <v/>
      </c>
      <c r="J123" s="67" t="str">
        <f t="shared" ca="1" si="67"/>
        <v/>
      </c>
      <c r="K123" s="67" t="str">
        <f t="shared" ca="1" si="67"/>
        <v/>
      </c>
      <c r="L123" s="67" t="str">
        <f t="shared" ca="1" si="67"/>
        <v/>
      </c>
    </row>
    <row r="124" spans="1:14" x14ac:dyDescent="0.25">
      <c r="A124" t="str">
        <f t="shared" si="66"/>
        <v xml:space="preserve">    Lower Basin</v>
      </c>
      <c r="C124" s="67" t="str">
        <f t="shared" ref="C124:L124" ca="1" si="68">IF(OR(C$27="",$A124=""),"",OFFSET(C$64,8*(ROW(B124)-ROW(B$123)),0))</f>
        <v/>
      </c>
      <c r="D124" s="67" t="str">
        <f t="shared" ca="1" si="68"/>
        <v/>
      </c>
      <c r="E124" s="67" t="str">
        <f t="shared" ca="1" si="68"/>
        <v/>
      </c>
      <c r="F124" s="67" t="str">
        <f t="shared" ca="1" si="68"/>
        <v/>
      </c>
      <c r="G124" s="67" t="str">
        <f t="shared" ca="1" si="68"/>
        <v/>
      </c>
      <c r="H124" s="67" t="str">
        <f t="shared" ca="1" si="68"/>
        <v/>
      </c>
      <c r="I124" s="67" t="str">
        <f t="shared" ca="1" si="68"/>
        <v/>
      </c>
      <c r="J124" s="67" t="str">
        <f t="shared" ca="1" si="68"/>
        <v/>
      </c>
      <c r="K124" s="67" t="str">
        <f t="shared" ca="1" si="68"/>
        <v/>
      </c>
      <c r="L124" s="67" t="str">
        <f t="shared" ca="1" si="68"/>
        <v/>
      </c>
    </row>
    <row r="125" spans="1:14" x14ac:dyDescent="0.25">
      <c r="A125" t="str">
        <f t="shared" si="66"/>
        <v xml:space="preserve">    Mexico</v>
      </c>
      <c r="C125" s="67" t="str">
        <f t="shared" ref="C125:L125" ca="1" si="69">IF(OR(C$27="",$A125=""),"",OFFSET(C$64,8*(ROW(B125)-ROW(B$123)),0))</f>
        <v/>
      </c>
      <c r="D125" s="67" t="str">
        <f t="shared" ca="1" si="69"/>
        <v/>
      </c>
      <c r="E125" s="67" t="str">
        <f t="shared" ca="1" si="69"/>
        <v/>
      </c>
      <c r="F125" s="67" t="str">
        <f t="shared" ca="1" si="69"/>
        <v/>
      </c>
      <c r="G125" s="67" t="str">
        <f t="shared" ca="1" si="69"/>
        <v/>
      </c>
      <c r="H125" s="67" t="str">
        <f t="shared" ca="1" si="69"/>
        <v/>
      </c>
      <c r="I125" s="67" t="str">
        <f t="shared" ca="1" si="69"/>
        <v/>
      </c>
      <c r="J125" s="67" t="str">
        <f t="shared" ca="1" si="69"/>
        <v/>
      </c>
      <c r="K125" s="67" t="str">
        <f t="shared" ca="1" si="69"/>
        <v/>
      </c>
      <c r="L125" s="67" t="str">
        <f t="shared" ca="1" si="69"/>
        <v/>
      </c>
    </row>
    <row r="126" spans="1:14" x14ac:dyDescent="0.25">
      <c r="A126" t="str">
        <f t="shared" si="66"/>
        <v xml:space="preserve">    Colorado River Delta</v>
      </c>
      <c r="C126" s="67" t="str">
        <f t="shared" ref="C126:L126" ca="1" si="70">IF(OR(C$27="",$A126=""),"",OFFSET(C$64,8*(ROW(B126)-ROW(B$123)),0))</f>
        <v/>
      </c>
      <c r="D126" s="67" t="str">
        <f t="shared" ca="1" si="70"/>
        <v/>
      </c>
      <c r="E126" s="67" t="str">
        <f t="shared" ca="1" si="70"/>
        <v/>
      </c>
      <c r="F126" s="67" t="str">
        <f t="shared" ca="1" si="70"/>
        <v/>
      </c>
      <c r="G126" s="67" t="str">
        <f t="shared" ca="1" si="70"/>
        <v/>
      </c>
      <c r="H126" s="67" t="str">
        <f t="shared" ca="1" si="70"/>
        <v/>
      </c>
      <c r="I126" s="67" t="str">
        <f t="shared" ca="1" si="70"/>
        <v/>
      </c>
      <c r="J126" s="67" t="str">
        <f t="shared" ca="1" si="70"/>
        <v/>
      </c>
      <c r="K126" s="67" t="str">
        <f t="shared" ca="1" si="70"/>
        <v/>
      </c>
      <c r="L126" s="67" t="str">
        <f t="shared" ca="1" si="70"/>
        <v/>
      </c>
    </row>
    <row r="127" spans="1:14" x14ac:dyDescent="0.25">
      <c r="A127" t="str">
        <f t="shared" si="66"/>
        <v/>
      </c>
      <c r="C127" s="67" t="str">
        <f t="shared" ref="C127:L127" ca="1" si="71">IF(OR(C$27="",$A127=""),"",OFFSET(C$64,8*(ROW(B127)-ROW(B$123)),0))</f>
        <v/>
      </c>
      <c r="D127" s="67" t="str">
        <f t="shared" ca="1" si="71"/>
        <v/>
      </c>
      <c r="E127" s="67" t="str">
        <f t="shared" ca="1" si="71"/>
        <v/>
      </c>
      <c r="F127" s="67" t="str">
        <f t="shared" ca="1" si="71"/>
        <v/>
      </c>
      <c r="G127" s="67" t="str">
        <f t="shared" ca="1" si="71"/>
        <v/>
      </c>
      <c r="H127" s="67" t="str">
        <f t="shared" ca="1" si="71"/>
        <v/>
      </c>
      <c r="I127" s="67" t="str">
        <f t="shared" ca="1" si="71"/>
        <v/>
      </c>
      <c r="J127" s="67" t="str">
        <f t="shared" ca="1" si="71"/>
        <v/>
      </c>
      <c r="K127" s="67" t="str">
        <f t="shared" ca="1" si="71"/>
        <v/>
      </c>
      <c r="L127" s="67" t="str">
        <f t="shared" ca="1" si="71"/>
        <v/>
      </c>
    </row>
    <row r="128" spans="1:14" x14ac:dyDescent="0.25">
      <c r="A128" t="str">
        <f t="shared" si="66"/>
        <v xml:space="preserve">    Shared, Reserve</v>
      </c>
      <c r="C128" s="67" t="str">
        <f t="shared" ref="C128:L128" ca="1" si="72">IF(OR(C$27="",$A128=""),"",OFFSET(C$64,8*(ROW(B128)-ROW(B$123)),0))</f>
        <v/>
      </c>
      <c r="D128" s="67" t="str">
        <f t="shared" ca="1" si="72"/>
        <v/>
      </c>
      <c r="E128" s="67" t="str">
        <f t="shared" ca="1" si="72"/>
        <v/>
      </c>
      <c r="F128" s="67" t="str">
        <f t="shared" ca="1" si="72"/>
        <v/>
      </c>
      <c r="G128" s="67" t="str">
        <f t="shared" ca="1" si="72"/>
        <v/>
      </c>
      <c r="H128" s="67" t="str">
        <f t="shared" ca="1" si="72"/>
        <v/>
      </c>
      <c r="I128" s="67" t="str">
        <f t="shared" ca="1" si="72"/>
        <v/>
      </c>
      <c r="J128" s="67" t="str">
        <f t="shared" ca="1" si="72"/>
        <v/>
      </c>
      <c r="K128" s="67" t="str">
        <f t="shared" ca="1" si="72"/>
        <v/>
      </c>
      <c r="L128" s="67" t="str">
        <f t="shared" ca="1" si="72"/>
        <v/>
      </c>
    </row>
    <row r="129" spans="1:14" x14ac:dyDescent="0.25">
      <c r="A129" s="1" t="s">
        <v>122</v>
      </c>
      <c r="B129" s="1"/>
      <c r="C129" s="14" t="str">
        <f>IF(C$27&lt;&gt;"",SUM(C123:C128),"")</f>
        <v/>
      </c>
      <c r="D129" s="14" t="str">
        <f t="shared" ref="D129:L129" si="73">IF(D$27&lt;&gt;"",SUM(D123:D128),"")</f>
        <v/>
      </c>
      <c r="E129" s="14" t="str">
        <f t="shared" si="73"/>
        <v/>
      </c>
      <c r="F129" s="14" t="str">
        <f t="shared" si="73"/>
        <v/>
      </c>
      <c r="G129" s="14" t="str">
        <f t="shared" si="73"/>
        <v/>
      </c>
      <c r="H129" s="14" t="str">
        <f t="shared" si="73"/>
        <v/>
      </c>
      <c r="I129" s="14" t="str">
        <f t="shared" si="73"/>
        <v/>
      </c>
      <c r="J129" s="14" t="str">
        <f t="shared" si="73"/>
        <v/>
      </c>
      <c r="K129" s="14" t="str">
        <f t="shared" si="73"/>
        <v/>
      </c>
      <c r="L129" s="14" t="str">
        <f t="shared" si="73"/>
        <v/>
      </c>
    </row>
    <row r="130" spans="1:14" x14ac:dyDescent="0.25">
      <c r="A130" s="1" t="s">
        <v>196</v>
      </c>
      <c r="B130" s="1"/>
      <c r="C130" s="68"/>
      <c r="D130" s="68"/>
      <c r="E130" s="68"/>
      <c r="F130" s="68"/>
      <c r="G130" s="68"/>
      <c r="H130" s="68"/>
      <c r="I130" s="68"/>
      <c r="J130" s="68"/>
      <c r="K130" s="68"/>
      <c r="L130" s="68"/>
    </row>
    <row r="131" spans="1:14" x14ac:dyDescent="0.25">
      <c r="A131" s="1" t="s">
        <v>192</v>
      </c>
      <c r="B131" s="1"/>
      <c r="C131" s="14" t="str">
        <f>IF(C27="","",C$130*C$129)</f>
        <v/>
      </c>
      <c r="D131" s="14" t="str">
        <f t="shared" ref="D131:L131" si="74">IF(D27="","",D$130*D$129)</f>
        <v/>
      </c>
      <c r="E131" s="14" t="str">
        <f t="shared" si="74"/>
        <v/>
      </c>
      <c r="F131" s="14" t="str">
        <f t="shared" si="74"/>
        <v/>
      </c>
      <c r="G131" s="14" t="str">
        <f t="shared" si="74"/>
        <v/>
      </c>
      <c r="H131" s="14" t="str">
        <f t="shared" si="74"/>
        <v/>
      </c>
      <c r="I131" s="14" t="str">
        <f t="shared" si="74"/>
        <v/>
      </c>
      <c r="J131" s="14" t="str">
        <f t="shared" si="74"/>
        <v/>
      </c>
      <c r="K131" s="14" t="str">
        <f t="shared" si="74"/>
        <v/>
      </c>
      <c r="L131" s="14" t="str">
        <f t="shared" si="74"/>
        <v/>
      </c>
    </row>
    <row r="132" spans="1:14" x14ac:dyDescent="0.25">
      <c r="A132" s="1" t="s">
        <v>193</v>
      </c>
      <c r="B132" s="1"/>
      <c r="C132" s="14" t="str">
        <f>IF(C28="","",(1-C$130)*C$129)</f>
        <v/>
      </c>
      <c r="D132" s="14" t="str">
        <f t="shared" ref="D132:L132" si="75">IF(D28="","",(1-D$130)*D$129)</f>
        <v/>
      </c>
      <c r="E132" s="14" t="str">
        <f t="shared" si="75"/>
        <v/>
      </c>
      <c r="F132" s="14" t="str">
        <f t="shared" si="75"/>
        <v/>
      </c>
      <c r="G132" s="14" t="str">
        <f t="shared" si="75"/>
        <v/>
      </c>
      <c r="H132" s="14" t="str">
        <f t="shared" si="75"/>
        <v/>
      </c>
      <c r="I132" s="14" t="str">
        <f t="shared" si="75"/>
        <v/>
      </c>
      <c r="J132" s="14" t="str">
        <f t="shared" si="75"/>
        <v/>
      </c>
      <c r="K132" s="14" t="str">
        <f t="shared" si="75"/>
        <v/>
      </c>
      <c r="L132" s="14" t="str">
        <f t="shared" si="75"/>
        <v/>
      </c>
    </row>
    <row r="133" spans="1:14" x14ac:dyDescent="0.2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2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25">
      <c r="A135" s="1" t="s">
        <v>279</v>
      </c>
      <c r="B135" s="1"/>
    </row>
    <row r="136" spans="1:14" x14ac:dyDescent="0.25">
      <c r="A136" s="32" t="s">
        <v>280</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25">
      <c r="A137" s="32" t="s">
        <v>294</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45" customHeight="1" x14ac:dyDescent="0.25">
      <c r="A138" s="117" t="s">
        <v>295</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 customHeight="1" x14ac:dyDescent="0.2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25">
      <c r="C140" s="29"/>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4"/>
  <sheetViews>
    <sheetView topLeftCell="A29" zoomScale="150" zoomScaleNormal="150" workbookViewId="0">
      <selection activeCell="H53" sqref="H1:L1048576"/>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50"/>
      <c r="I3" s="150"/>
      <c r="J3" s="150"/>
      <c r="K3" s="150"/>
    </row>
    <row r="4" spans="1:13" x14ac:dyDescent="0.25">
      <c r="A4" s="53" t="s">
        <v>38</v>
      </c>
      <c r="B4" s="53" t="s">
        <v>42</v>
      </c>
      <c r="C4" s="178" t="s">
        <v>43</v>
      </c>
      <c r="D4" s="179"/>
      <c r="E4" s="179"/>
      <c r="F4" s="179"/>
      <c r="G4" s="180"/>
      <c r="M4" s="1" t="s">
        <v>305</v>
      </c>
    </row>
    <row r="5" spans="1:13" x14ac:dyDescent="0.25">
      <c r="A5" s="149" t="s">
        <v>39</v>
      </c>
      <c r="B5" s="149" t="str">
        <f>IF(Master!B5="","",Master!B5)</f>
        <v/>
      </c>
      <c r="C5" s="181" t="s">
        <v>315</v>
      </c>
      <c r="D5" s="182"/>
      <c r="E5" s="182"/>
      <c r="F5" s="182"/>
      <c r="G5" s="182"/>
      <c r="M5" t="s">
        <v>306</v>
      </c>
    </row>
    <row r="6" spans="1:13" x14ac:dyDescent="0.25">
      <c r="A6" s="149" t="s">
        <v>40</v>
      </c>
      <c r="B6" s="149" t="str">
        <f>IF(Master!B6="","",Master!B6)</f>
        <v/>
      </c>
      <c r="C6" s="181" t="s">
        <v>315</v>
      </c>
      <c r="D6" s="182"/>
      <c r="E6" s="182"/>
      <c r="F6" s="182"/>
      <c r="G6" s="182"/>
      <c r="M6" t="s">
        <v>311</v>
      </c>
    </row>
    <row r="7" spans="1:13" x14ac:dyDescent="0.25">
      <c r="A7" s="149" t="s">
        <v>41</v>
      </c>
      <c r="B7" s="149" t="str">
        <f>IF(Master!B7="","",Master!B7)</f>
        <v/>
      </c>
      <c r="C7" s="181" t="s">
        <v>315</v>
      </c>
      <c r="D7" s="182"/>
      <c r="E7" s="182"/>
      <c r="F7" s="182"/>
      <c r="G7" s="182"/>
      <c r="M7" t="s">
        <v>312</v>
      </c>
    </row>
    <row r="8" spans="1:13" x14ac:dyDescent="0.25">
      <c r="A8" s="161" t="s">
        <v>147</v>
      </c>
      <c r="B8" s="160" t="str">
        <f>IF(Master!B8="","",Master!B8)</f>
        <v/>
      </c>
      <c r="C8" s="181" t="s">
        <v>217</v>
      </c>
      <c r="D8" s="182"/>
      <c r="E8" s="182"/>
      <c r="F8" s="182"/>
      <c r="G8" s="182"/>
    </row>
    <row r="9" spans="1:13" x14ac:dyDescent="0.25">
      <c r="A9" s="149" t="str">
        <f>IF(Master!A9="","",Master!A9)</f>
        <v/>
      </c>
      <c r="B9" s="149" t="str">
        <f>IF(Master!B9="","",Master!B9)</f>
        <v/>
      </c>
      <c r="C9" s="184"/>
      <c r="D9" s="184"/>
      <c r="E9" s="184"/>
      <c r="F9" s="184"/>
      <c r="G9" s="184"/>
    </row>
    <row r="10" spans="1:13" x14ac:dyDescent="0.25">
      <c r="A10" s="162" t="s">
        <v>156</v>
      </c>
      <c r="B10" s="162" t="str">
        <f>IF(Master!B10="","",Master!B10)</f>
        <v/>
      </c>
      <c r="C10" s="176" t="s">
        <v>367</v>
      </c>
      <c r="D10" s="176"/>
      <c r="E10" s="176"/>
      <c r="F10" s="176"/>
      <c r="G10" s="176"/>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f>Master!D17</f>
        <v>0</v>
      </c>
      <c r="E17" s="183"/>
      <c r="F17" s="183"/>
      <c r="G17" s="183"/>
    </row>
    <row r="19" spans="1:14" x14ac:dyDescent="0.25">
      <c r="A19" s="1" t="s">
        <v>32</v>
      </c>
      <c r="B19" s="1" t="s">
        <v>109</v>
      </c>
      <c r="C19" s="13" t="s">
        <v>110</v>
      </c>
    </row>
    <row r="20" spans="1:14" x14ac:dyDescent="0.25">
      <c r="A20" t="s">
        <v>108</v>
      </c>
      <c r="B20" s="155">
        <v>5.73</v>
      </c>
      <c r="C20" s="155">
        <v>6</v>
      </c>
      <c r="D20" s="23" t="s">
        <v>111</v>
      </c>
    </row>
    <row r="21" spans="1:14" x14ac:dyDescent="0.25">
      <c r="A21" t="s">
        <v>140</v>
      </c>
      <c r="B21" s="155">
        <v>11</v>
      </c>
      <c r="C21" s="155">
        <v>10.1</v>
      </c>
      <c r="D21" s="11" t="s">
        <v>34</v>
      </c>
    </row>
    <row r="22" spans="1:14" x14ac:dyDescent="0.25">
      <c r="A22" t="s">
        <v>188</v>
      </c>
      <c r="B22" s="156">
        <v>3525</v>
      </c>
      <c r="C22" s="156">
        <v>1020</v>
      </c>
      <c r="D22" s="11"/>
    </row>
    <row r="23" spans="1:14" x14ac:dyDescent="0.25">
      <c r="A23" t="s">
        <v>174</v>
      </c>
      <c r="B23" s="155">
        <f>VLOOKUP(B22,'Powell-Elevation-Area'!$A$5:$B$689,2)/1000000</f>
        <v>5.9265762500000001</v>
      </c>
      <c r="C23" s="155">
        <f>VLOOKUP(C22,'Mead-Elevation-Area'!$A$5:$B$689,2)/1000000</f>
        <v>5.664593</v>
      </c>
      <c r="D23" s="11"/>
      <c r="E23" s="45"/>
    </row>
    <row r="24" spans="1:14" x14ac:dyDescent="0.25">
      <c r="A24" t="s">
        <v>334</v>
      </c>
      <c r="B24" s="193">
        <v>78.099999999999994</v>
      </c>
      <c r="C24"/>
      <c r="D24" s="157" t="s">
        <v>349</v>
      </c>
      <c r="E24" s="45"/>
    </row>
    <row r="26" spans="1:14" s="1" customFormat="1" x14ac:dyDescent="0.2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25">
      <c r="A27" s="1" t="s">
        <v>44</v>
      </c>
      <c r="B27" s="1"/>
      <c r="C27" s="137" t="str">
        <f>IF(Master!C27="","",Master!C27)</f>
        <v/>
      </c>
      <c r="D27" s="137" t="str">
        <f>IF(Master!D27="","",Master!D27)</f>
        <v/>
      </c>
      <c r="E27" s="137" t="str">
        <f>IF(Master!E27="","",Master!E27)</f>
        <v/>
      </c>
      <c r="F27" s="137" t="str">
        <f>IF(Master!F27="","",Master!F27)</f>
        <v/>
      </c>
      <c r="G27" s="137" t="str">
        <f>IF(Master!G27="","",Master!G27)</f>
        <v/>
      </c>
      <c r="H27" s="137" t="str">
        <f>IF(Master!H27="","",Master!H27)</f>
        <v/>
      </c>
      <c r="I27" s="137" t="str">
        <f>IF(Master!I27="","",Master!I27)</f>
        <v/>
      </c>
      <c r="J27" s="137" t="str">
        <f>IF(Master!J27="","",Master!J27)</f>
        <v/>
      </c>
      <c r="K27" s="137" t="str">
        <f>IF(Master!K27="","",Master!K27)</f>
        <v/>
      </c>
      <c r="L27" s="137" t="str">
        <f>IF(Master!L27="","",Master!L27)</f>
        <v/>
      </c>
    </row>
    <row r="28" spans="1:14" x14ac:dyDescent="0.2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25">
      <c r="A29" s="1" t="s">
        <v>336</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25">
      <c r="A30" s="1" t="s">
        <v>289</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2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25">
      <c r="A32" t="str">
        <f>IF(A5="","","    "&amp;A5&amp;" Balance")</f>
        <v xml:space="preserve">    Upper Basin Balance</v>
      </c>
      <c r="B32" s="111">
        <f>B21-B23</f>
        <v>5.0734237499999999</v>
      </c>
      <c r="C32" s="108" t="str">
        <f>IF(OR(C$27="",$A32=""),"",B32)</f>
        <v/>
      </c>
      <c r="D32" s="14" t="str">
        <f>IF(OR(D$27="",$A32=""),"",C123)</f>
        <v/>
      </c>
      <c r="E32" s="14" t="str">
        <f t="shared" ref="E32:L32" si="4">IF(OR(E$27="",$A32=""),"",D123)</f>
        <v/>
      </c>
      <c r="F32" s="14" t="str">
        <f t="shared" si="4"/>
        <v/>
      </c>
      <c r="G32" s="14" t="str">
        <f t="shared" si="4"/>
        <v/>
      </c>
      <c r="H32" s="14" t="str">
        <f t="shared" si="4"/>
        <v/>
      </c>
      <c r="I32" s="14" t="str">
        <f t="shared" si="4"/>
        <v/>
      </c>
      <c r="J32" s="14" t="str">
        <f t="shared" si="4"/>
        <v/>
      </c>
      <c r="K32" s="14" t="str">
        <f t="shared" si="4"/>
        <v/>
      </c>
      <c r="L32" s="14" t="str">
        <f t="shared" si="4"/>
        <v/>
      </c>
      <c r="N32" t="s">
        <v>176</v>
      </c>
    </row>
    <row r="33" spans="1:14" x14ac:dyDescent="0.25">
      <c r="A33" t="str">
        <f>IF(A6="","","    "&amp;A6&amp;" Balance")</f>
        <v xml:space="preserve">    Lower Basin Balance</v>
      </c>
      <c r="B33" s="111">
        <f>C21-C23-B34</f>
        <v>4.2614069999999993</v>
      </c>
      <c r="C33" s="108" t="str">
        <f t="shared" ref="C33:C37" si="5">IF(OR(C$27="",$A33=""),"",B33)</f>
        <v/>
      </c>
      <c r="D33" s="14" t="str">
        <f t="shared" ref="D33:L37" si="6">IF(OR(D$27="",$A33=""),"",C124)</f>
        <v/>
      </c>
      <c r="E33" s="14" t="str">
        <f t="shared" si="6"/>
        <v/>
      </c>
      <c r="F33" s="14" t="str">
        <f t="shared" si="6"/>
        <v/>
      </c>
      <c r="G33" s="14" t="str">
        <f t="shared" si="6"/>
        <v/>
      </c>
      <c r="H33" s="14" t="str">
        <f t="shared" si="6"/>
        <v/>
      </c>
      <c r="I33" s="14" t="str">
        <f t="shared" si="6"/>
        <v/>
      </c>
      <c r="J33" s="14" t="str">
        <f t="shared" si="6"/>
        <v/>
      </c>
      <c r="K33" s="14" t="str">
        <f t="shared" si="6"/>
        <v/>
      </c>
      <c r="L33" s="14" t="str">
        <f t="shared" si="6"/>
        <v/>
      </c>
      <c r="N33" t="s">
        <v>173</v>
      </c>
    </row>
    <row r="34" spans="1:14" x14ac:dyDescent="0.25">
      <c r="A34" t="str">
        <f>IF(A7="","","    "&amp;A7&amp;" Balance")</f>
        <v xml:space="preserve">    Mexico Balance</v>
      </c>
      <c r="B34" s="112">
        <v>0.17399999999999999</v>
      </c>
      <c r="C34" s="109" t="str">
        <f t="shared" si="5"/>
        <v/>
      </c>
      <c r="D34" s="52" t="str">
        <f t="shared" si="6"/>
        <v/>
      </c>
      <c r="E34" s="52" t="str">
        <f t="shared" si="6"/>
        <v/>
      </c>
      <c r="F34" s="52" t="str">
        <f t="shared" si="6"/>
        <v/>
      </c>
      <c r="G34" s="52" t="str">
        <f t="shared" si="6"/>
        <v/>
      </c>
      <c r="H34" s="14" t="str">
        <f t="shared" si="6"/>
        <v/>
      </c>
      <c r="I34" s="14" t="str">
        <f t="shared" si="6"/>
        <v/>
      </c>
      <c r="J34" s="14" t="str">
        <f t="shared" si="6"/>
        <v/>
      </c>
      <c r="K34" s="14" t="str">
        <f t="shared" si="6"/>
        <v/>
      </c>
      <c r="L34" s="14" t="str">
        <f t="shared" si="6"/>
        <v/>
      </c>
      <c r="N34" t="s">
        <v>172</v>
      </c>
    </row>
    <row r="35" spans="1:14" x14ac:dyDescent="0.25">
      <c r="A35" t="str">
        <f>IF(A8="","","    "&amp;A8&amp;" Balance")</f>
        <v xml:space="preserve">    Colorado River Delta Balance</v>
      </c>
      <c r="B35" s="111"/>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t="str">
        <f>IF(A9="","","    "&amp;A9&amp;" Balance")</f>
        <v/>
      </c>
      <c r="B36" s="111"/>
      <c r="C36" s="108" t="str">
        <f t="shared" si="5"/>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c r="N36" t="s">
        <v>175</v>
      </c>
    </row>
    <row r="37" spans="1:14" x14ac:dyDescent="0.25">
      <c r="A37" t="str">
        <f>IF(A10="","","    "&amp;A10&amp;" Balance")</f>
        <v xml:space="preserve">    Shared, Reserve Balance</v>
      </c>
      <c r="B37" s="111">
        <f>SUM($B$23:$C$23)</f>
        <v>11.59116925</v>
      </c>
      <c r="C37" s="108" t="str">
        <f t="shared" si="5"/>
        <v/>
      </c>
      <c r="D37" s="14" t="str">
        <f t="shared" si="6"/>
        <v/>
      </c>
      <c r="E37" s="14" t="str">
        <f t="shared" si="6"/>
        <v/>
      </c>
      <c r="F37" s="14" t="str">
        <f t="shared" si="6"/>
        <v/>
      </c>
      <c r="G37" s="14" t="str">
        <f t="shared" si="6"/>
        <v/>
      </c>
      <c r="H37" s="14" t="str">
        <f t="shared" si="6"/>
        <v/>
      </c>
      <c r="I37" s="14" t="str">
        <f t="shared" si="6"/>
        <v/>
      </c>
      <c r="J37" s="14" t="str">
        <f t="shared" si="6"/>
        <v/>
      </c>
      <c r="K37" s="14" t="str">
        <f t="shared" si="6"/>
        <v/>
      </c>
      <c r="L37" s="14" t="str">
        <f t="shared" si="6"/>
        <v/>
      </c>
    </row>
    <row r="38" spans="1:14" x14ac:dyDescent="0.25">
      <c r="A38" s="1" t="s">
        <v>195</v>
      </c>
      <c r="C38"/>
    </row>
    <row r="39" spans="1:14" x14ac:dyDescent="0.25">
      <c r="A39" t="s">
        <v>112</v>
      </c>
      <c r="C39" s="14" t="str">
        <f>IF(C$27&lt;&gt;"",B21,"")</f>
        <v/>
      </c>
      <c r="D39" s="14" t="str">
        <f>IF(D$27&lt;&gt;"",C131,"")</f>
        <v/>
      </c>
      <c r="E39" s="14" t="str">
        <f t="shared" ref="E39:L40" si="7">IF(E$27&lt;&gt;"",D131,"")</f>
        <v/>
      </c>
      <c r="F39" s="14" t="str">
        <f t="shared" si="7"/>
        <v/>
      </c>
      <c r="G39" s="14" t="str">
        <f t="shared" si="7"/>
        <v/>
      </c>
      <c r="H39" s="14" t="str">
        <f t="shared" si="7"/>
        <v/>
      </c>
      <c r="I39" s="14" t="str">
        <f t="shared" si="7"/>
        <v/>
      </c>
      <c r="J39" s="14" t="str">
        <f t="shared" si="7"/>
        <v/>
      </c>
      <c r="K39" s="14" t="str">
        <f t="shared" si="7"/>
        <v/>
      </c>
      <c r="L39" s="14" t="str">
        <f t="shared" si="7"/>
        <v/>
      </c>
    </row>
    <row r="40" spans="1:14" x14ac:dyDescent="0.25">
      <c r="A40" t="s">
        <v>113</v>
      </c>
      <c r="C40" s="14" t="str">
        <f>IF(C$27&lt;&gt;"",C21,"")</f>
        <v/>
      </c>
      <c r="D40" s="14" t="str">
        <f>IF(D$27&lt;&gt;"",C132,"")</f>
        <v/>
      </c>
      <c r="E40" s="14" t="str">
        <f t="shared" si="7"/>
        <v/>
      </c>
      <c r="F40" s="14" t="str">
        <f t="shared" si="7"/>
        <v/>
      </c>
      <c r="G40" s="14" t="str">
        <f t="shared" si="7"/>
        <v/>
      </c>
      <c r="H40" s="14" t="str">
        <f t="shared" si="7"/>
        <v/>
      </c>
      <c r="I40" s="14" t="str">
        <f t="shared" si="7"/>
        <v/>
      </c>
      <c r="J40" s="14" t="str">
        <f t="shared" si="7"/>
        <v/>
      </c>
      <c r="K40" s="14" t="str">
        <f t="shared" si="7"/>
        <v/>
      </c>
      <c r="L40" s="14" t="str">
        <f t="shared" si="7"/>
        <v/>
      </c>
    </row>
    <row r="41" spans="1:14" x14ac:dyDescent="0.2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25">
      <c r="A42" t="str">
        <f>IF(A5="","","    "&amp;A5&amp;" Share")</f>
        <v xml:space="preserve">    Upper Basin Share</v>
      </c>
      <c r="B42" s="1"/>
      <c r="C42" s="14" t="str">
        <f>IF(OR(C$27="",$A42=""),"",C$41*C32/C$31)</f>
        <v/>
      </c>
      <c r="D42" s="14" t="str">
        <f>IF(OR(D$27="",$A42=""),"",D$41*D32/D$31)</f>
        <v/>
      </c>
      <c r="E42" s="14" t="str">
        <f>IF(OR(E$27="",$A42=""),"",E$41*E32/E$31)</f>
        <v/>
      </c>
      <c r="F42" s="14" t="str">
        <f>IF(OR(F$27="",$A42=""),"",F$41*F32/F$31)</f>
        <v/>
      </c>
      <c r="G42" s="14" t="str">
        <f>IF(OR(G$27="",$A42=""),"",G$41*G32/G$31)</f>
        <v/>
      </c>
      <c r="H42" s="14" t="str">
        <f>IF(OR(H$27="",$A42=""),"",H$41*H32/H$31)</f>
        <v/>
      </c>
      <c r="I42" s="14" t="str">
        <f>IF(OR(I$27="",$A42=""),"",I$41*I32/I$31)</f>
        <v/>
      </c>
      <c r="J42" s="14" t="str">
        <f>IF(OR(J$27="",$A42=""),"",J$41*J32/J$31)</f>
        <v/>
      </c>
      <c r="K42" s="14" t="str">
        <f>IF(OR(K$27="",$A42=""),"",K$41*K32/K$31)</f>
        <v/>
      </c>
      <c r="L42" s="14" t="str">
        <f>IF(OR(L$27="",$A42=""),"",L$41*L32/L$31)</f>
        <v/>
      </c>
    </row>
    <row r="43" spans="1:14" x14ac:dyDescent="0.25">
      <c r="A43" t="str">
        <f>IF(A6="","","    "&amp;A6&amp;" Share")</f>
        <v xml:space="preserve">    Lower Basin Share</v>
      </c>
      <c r="B43" s="1"/>
      <c r="C43" s="14" t="str">
        <f>IF(OR(C$27="",$A43=""),"",C$41*C33/C$31)</f>
        <v/>
      </c>
      <c r="D43" s="14" t="str">
        <f>IF(OR(D$27="",$A43=""),"",D$41*D33/D$31)</f>
        <v/>
      </c>
      <c r="E43" s="14" t="str">
        <f>IF(OR(E$27="",$A43=""),"",E$41*E33/E$31)</f>
        <v/>
      </c>
      <c r="F43" s="14" t="str">
        <f>IF(OR(F$27="",$A43=""),"",F$41*F33/F$31)</f>
        <v/>
      </c>
      <c r="G43" s="14" t="str">
        <f>IF(OR(G$27="",$A43=""),"",G$41*G33/G$31)</f>
        <v/>
      </c>
      <c r="H43" s="14" t="str">
        <f>IF(OR(H$27="",$A43=""),"",H$41*H33/H$31)</f>
        <v/>
      </c>
      <c r="I43" s="14" t="str">
        <f>IF(OR(I$27="",$A43=""),"",I$41*I33/I$31)</f>
        <v/>
      </c>
      <c r="J43" s="14" t="str">
        <f>IF(OR(J$27="",$A43=""),"",J$41*J33/J$31)</f>
        <v/>
      </c>
      <c r="K43" s="14" t="str">
        <f>IF(OR(K$27="",$A43=""),"",K$41*K33/K$31)</f>
        <v/>
      </c>
      <c r="L43" s="14" t="str">
        <f>IF(OR(L$27="",$A43=""),"",L$41*L33/L$31)</f>
        <v/>
      </c>
    </row>
    <row r="44" spans="1:14" x14ac:dyDescent="0.25">
      <c r="A44" t="str">
        <f>IF(A7="","","    "&amp;A7&amp;" Share")</f>
        <v xml:space="preserve">    Mexico Share</v>
      </c>
      <c r="B44" s="1"/>
      <c r="C44" s="14" t="str">
        <f>IF(OR(C$27="",$A44=""),"",C$41*C34/C$31)</f>
        <v/>
      </c>
      <c r="D44" s="14" t="str">
        <f>IF(OR(D$27="",$A44=""),"",D$41*D34/D$31)</f>
        <v/>
      </c>
      <c r="E44" s="14" t="str">
        <f>IF(OR(E$27="",$A44=""),"",E$41*E34/E$31)</f>
        <v/>
      </c>
      <c r="F44" s="14" t="str">
        <f>IF(OR(F$27="",$A44=""),"",F$41*F34/F$31)</f>
        <v/>
      </c>
      <c r="G44" s="14" t="str">
        <f>IF(OR(G$27="",$A44=""),"",G$41*G34/G$31)</f>
        <v/>
      </c>
      <c r="H44" s="14" t="str">
        <f>IF(OR(H$27="",$A44=""),"",H$41*H34/H$31)</f>
        <v/>
      </c>
      <c r="I44" s="14" t="str">
        <f>IF(OR(I$27="",$A44=""),"",I$41*I34/I$31)</f>
        <v/>
      </c>
      <c r="J44" s="14" t="str">
        <f>IF(OR(J$27="",$A44=""),"",J$41*J34/J$31)</f>
        <v/>
      </c>
      <c r="K44" s="14" t="str">
        <f>IF(OR(K$27="",$A44=""),"",K$41*K34/K$31)</f>
        <v/>
      </c>
      <c r="L44" s="14" t="str">
        <f>IF(OR(L$27="",$A44=""),"",L$41*L34/L$31)</f>
        <v/>
      </c>
    </row>
    <row r="45" spans="1:14" x14ac:dyDescent="0.25">
      <c r="A45" t="str">
        <f>IF(A8="","","    "&amp;A8&amp;" Share")</f>
        <v xml:space="preserve">    Colorado River Delta Share</v>
      </c>
      <c r="B45" s="1"/>
      <c r="C45" s="14" t="str">
        <f>IF(OR(C$27="",$A45=""),"",C$41*C35/C$31)</f>
        <v/>
      </c>
      <c r="D45" s="14" t="str">
        <f>IF(OR(D$27="",$A45=""),"",D$41*D35/D$31)</f>
        <v/>
      </c>
      <c r="E45" s="14" t="str">
        <f>IF(OR(E$27="",$A45=""),"",E$41*E35/E$31)</f>
        <v/>
      </c>
      <c r="F45" s="14" t="str">
        <f>IF(OR(F$27="",$A45=""),"",F$41*F35/F$31)</f>
        <v/>
      </c>
      <c r="G45" s="14" t="str">
        <f>IF(OR(G$27="",$A45=""),"",G$41*G35/G$31)</f>
        <v/>
      </c>
      <c r="H45" s="14" t="str">
        <f>IF(OR(H$27="",$A45=""),"",H$41*H35/H$31)</f>
        <v/>
      </c>
      <c r="I45" s="14" t="str">
        <f>IF(OR(I$27="",$A45=""),"",I$41*I35/I$31)</f>
        <v/>
      </c>
      <c r="J45" s="14" t="str">
        <f>IF(OR(J$27="",$A45=""),"",J$41*J35/J$31)</f>
        <v/>
      </c>
      <c r="K45" s="14" t="str">
        <f>IF(OR(K$27="",$A45=""),"",K$41*K35/K$31)</f>
        <v/>
      </c>
      <c r="L45" s="14" t="str">
        <f>IF(OR(L$27="",$A45=""),"",L$41*L35/L$31)</f>
        <v/>
      </c>
    </row>
    <row r="46" spans="1:14" x14ac:dyDescent="0.25">
      <c r="A46" t="str">
        <f>IF(A9="","","    "&amp;A9&amp;" Share")</f>
        <v/>
      </c>
      <c r="B46" s="1"/>
      <c r="C46" s="14" t="str">
        <f>IF(OR(C$27="",$A46=""),"",C$41*C36/C$31)</f>
        <v/>
      </c>
      <c r="D46" s="14" t="str">
        <f>IF(OR(D$27="",$A46=""),"",D$41*D36/D$31)</f>
        <v/>
      </c>
      <c r="E46" s="14" t="str">
        <f>IF(OR(E$27="",$A46=""),"",E$41*E36/E$31)</f>
        <v/>
      </c>
      <c r="F46" s="14" t="str">
        <f>IF(OR(F$27="",$A46=""),"",F$41*F36/F$31)</f>
        <v/>
      </c>
      <c r="G46" s="14" t="str">
        <f>IF(OR(G$27="",$A46=""),"",G$41*G36/G$31)</f>
        <v/>
      </c>
      <c r="H46" s="14" t="str">
        <f>IF(OR(H$27="",$A46=""),"",H$41*H36/H$31)</f>
        <v/>
      </c>
      <c r="I46" s="14" t="str">
        <f>IF(OR(I$27="",$A46=""),"",I$41*I36/I$31)</f>
        <v/>
      </c>
      <c r="J46" s="14" t="str">
        <f>IF(OR(J$27="",$A46=""),"",J$41*J36/J$31)</f>
        <v/>
      </c>
      <c r="K46" s="14" t="str">
        <f>IF(OR(K$27="",$A46=""),"",K$41*K36/K$31)</f>
        <v/>
      </c>
      <c r="L46" s="14" t="str">
        <f>IF(OR(L$27="",$A46=""),"",L$41*L36/L$31)</f>
        <v/>
      </c>
    </row>
    <row r="47" spans="1:14" x14ac:dyDescent="0.25">
      <c r="A47" t="str">
        <f>IF(A10="","","    "&amp;A10&amp;" Share")</f>
        <v xml:space="preserve">    Shared, Reserve Share</v>
      </c>
      <c r="B47" s="1"/>
      <c r="C47" s="14" t="str">
        <f>IF(OR(C$27="",$A47=""),"",C$41*C37/C$31)</f>
        <v/>
      </c>
      <c r="D47" s="14" t="str">
        <f>IF(OR(D$27="",$A47=""),"",D$41*D37/D$31)</f>
        <v/>
      </c>
      <c r="E47" s="14" t="str">
        <f>IF(OR(E$27="",$A47=""),"",E$41*E37/E$31)</f>
        <v/>
      </c>
      <c r="F47" s="14" t="str">
        <f>IF(OR(F$27="",$A47=""),"",F$41*F37/F$31)</f>
        <v/>
      </c>
      <c r="G47" s="14" t="str">
        <f>IF(OR(G$27="",$A47=""),"",G$41*G37/G$31)</f>
        <v/>
      </c>
      <c r="H47" s="14" t="str">
        <f>IF(OR(H$27="",$A47=""),"",H$41*H37/H$31)</f>
        <v/>
      </c>
      <c r="I47" s="14" t="str">
        <f>IF(OR(I$27="",$A47=""),"",I$41*I37/I$31)</f>
        <v/>
      </c>
      <c r="J47" s="14" t="str">
        <f>IF(OR(J$27="",$A47=""),"",J$41*J37/J$31)</f>
        <v/>
      </c>
      <c r="K47" s="14" t="str">
        <f>IF(OR(K$27="",$A47=""),"",K$41*K37/K$31)</f>
        <v/>
      </c>
      <c r="L47" s="14" t="str">
        <f>IF(OR(L$27="",$A47=""),"",L$41*L37/L$31)</f>
        <v/>
      </c>
    </row>
    <row r="48" spans="1:14" x14ac:dyDescent="0.25">
      <c r="A48" s="1" t="s">
        <v>253</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25">
      <c r="A49" s="1" t="s">
        <v>290</v>
      </c>
      <c r="B49" s="1"/>
      <c r="C49" s="51" t="str">
        <f>IF(C27="","",SUM(C27:C29)-C30)</f>
        <v/>
      </c>
      <c r="D49" s="51" t="str">
        <f t="shared" ref="D49:L49" si="8">IF(D27="","",SUM(D27:D29)-D30)</f>
        <v/>
      </c>
      <c r="E49" s="51" t="str">
        <f t="shared" si="8"/>
        <v/>
      </c>
      <c r="F49" s="51" t="str">
        <f t="shared" ref="F49:L49" si="9">IF(F27="","",SUM(F27:F29)-F30)</f>
        <v/>
      </c>
      <c r="G49" s="51" t="str">
        <f t="shared" si="9"/>
        <v/>
      </c>
      <c r="H49" s="51" t="str">
        <f t="shared" si="9"/>
        <v/>
      </c>
      <c r="I49" s="51" t="str">
        <f t="shared" si="9"/>
        <v/>
      </c>
      <c r="J49" s="51" t="str">
        <f t="shared" si="9"/>
        <v/>
      </c>
      <c r="K49" s="51" t="str">
        <f t="shared" si="9"/>
        <v/>
      </c>
      <c r="L49" s="51" t="str">
        <f t="shared" si="9"/>
        <v/>
      </c>
      <c r="M49" s="45"/>
      <c r="N49" s="45"/>
    </row>
    <row r="50" spans="1:14" x14ac:dyDescent="0.25">
      <c r="A50" t="str">
        <f>IF(A5="","","    To "&amp;A5)</f>
        <v xml:space="preserve">    To Upper Basin</v>
      </c>
      <c r="B50" s="134" t="s">
        <v>146</v>
      </c>
      <c r="C50" s="108" t="str">
        <f>IF(OR(C$27="",$A50=""),"",MAX(C27-(82.3-$B$24)-C55*$B$23/SUM($B$23:$C$23),0))</f>
        <v/>
      </c>
      <c r="D50" s="108" t="str">
        <f>IF(OR(D$27="",$A50=""),"",MAX(0,D27-$B$51-D48/2-D55*$B$23/SUM($B$23:$C$23)))</f>
        <v/>
      </c>
      <c r="E50" s="108" t="str">
        <f t="shared" ref="E50:L50" si="10">IF(OR(E$27="",$A50=""),"",MAX(0,E27-$B$51-E48/2-E55*$B$23/SUM($B$23:$C$23)))</f>
        <v/>
      </c>
      <c r="F50" s="108" t="str">
        <f t="shared" ref="F50:L50" si="11">IF(OR(F$27="",$A50=""),"",MAX(0,F27-$B$51-F48/2-F55*$B$23/SUM($B$23:$C$23)))</f>
        <v/>
      </c>
      <c r="G50" s="108" t="str">
        <f t="shared" si="11"/>
        <v/>
      </c>
      <c r="H50" s="108" t="str">
        <f t="shared" si="11"/>
        <v/>
      </c>
      <c r="I50" s="108" t="str">
        <f t="shared" si="11"/>
        <v/>
      </c>
      <c r="J50" s="108" t="str">
        <f t="shared" si="11"/>
        <v/>
      </c>
      <c r="K50" s="108" t="str">
        <f t="shared" si="11"/>
        <v/>
      </c>
      <c r="L50" s="108" t="str">
        <f t="shared" si="11"/>
        <v/>
      </c>
      <c r="M50" s="29"/>
      <c r="N50" s="29"/>
    </row>
    <row r="51" spans="1:14" x14ac:dyDescent="0.25">
      <c r="A51" t="str">
        <f>IF(A6="","","    To "&amp;A6)</f>
        <v xml:space="preserve">    To Lower Basin</v>
      </c>
      <c r="B51" s="135">
        <f>7.5</f>
        <v>7.5</v>
      </c>
      <c r="C51" s="108" t="str">
        <f>IF(OR(C$27="",$A51=""),"",C28+C29-C30-C55*$C$23/SUM($B$23:$C$23)-C52+MIN(82.3-$B$24,C27))</f>
        <v/>
      </c>
      <c r="D51" s="108" t="str">
        <f>IF(OR(D$27="",$A51=""),"",D28+D29-D30-D55*IF($B51&lt;D27-D52/2,$C$23/SUM($B$23:$C$23),1)-D52/2+MIN($B51,D27-D52/2))</f>
        <v/>
      </c>
      <c r="E51" s="108" t="str">
        <f>IF(OR(E$27="",$A51=""),"",E28+E29-E30-E55*IF($B51&lt;E27-E52/2,$C$23/SUM($B$23:$C$23),1)-E52/2+MIN($B51,E27-E52/2))</f>
        <v/>
      </c>
      <c r="F51" s="108" t="str">
        <f t="shared" ref="F51:L51" si="12">IF(OR(F$27="",$A51=""),"",F28+F29-F30-F55*IF($B51&lt;F27-F52/2,$C$23/SUM($B$23:$C$23),1)-F52/2+MIN($B51,F27-F52/2))</f>
        <v/>
      </c>
      <c r="G51" s="108" t="str">
        <f t="shared" si="12"/>
        <v/>
      </c>
      <c r="H51" s="108" t="str">
        <f t="shared" si="12"/>
        <v/>
      </c>
      <c r="I51" s="108" t="str">
        <f t="shared" si="12"/>
        <v/>
      </c>
      <c r="J51" s="108" t="str">
        <f t="shared" si="12"/>
        <v/>
      </c>
      <c r="K51" s="108" t="str">
        <f t="shared" si="12"/>
        <v/>
      </c>
      <c r="L51" s="108" t="str">
        <f t="shared" si="12"/>
        <v/>
      </c>
      <c r="M51" s="29"/>
      <c r="N51" s="29"/>
    </row>
    <row r="52" spans="1:14" x14ac:dyDescent="0.25">
      <c r="A52" t="str">
        <f>IF(A7="","","    To "&amp;A7)</f>
        <v xml:space="preserve">    To Mexico</v>
      </c>
      <c r="B52" s="135" t="s">
        <v>351</v>
      </c>
      <c r="C52" s="109" t="str">
        <f>IF(OR(C$27="",$A52=""),"",IF(C$49&gt;SUM(C53:C55,C48),C48,C$49-SUM(C53:C55)))</f>
        <v/>
      </c>
      <c r="D52" s="108" t="str">
        <f>IF(OR(D$27="",$A52=""),"",IF(D$49&gt;SUM(D53:D55,D48),D48,D$49-SUM(D53:D54)))</f>
        <v/>
      </c>
      <c r="E52" s="108" t="str">
        <f t="shared" ref="E52:L52" si="13">IF(OR(E$27="",$A52=""),"",IF(E$49&gt;SUM(E53:E55,E48),E48,E$49-SUM(E53:E54)))</f>
        <v/>
      </c>
      <c r="F52" s="108" t="str">
        <f t="shared" ref="F52" si="14">IF(OR(F$27="",$A52=""),"",IF(F$49&gt;SUM(F53:F55,F48),F48,F$49-SUM(F53:F54)))</f>
        <v/>
      </c>
      <c r="G52" s="108" t="str">
        <f t="shared" ref="G52" si="15">IF(OR(G$27="",$A52=""),"",IF(G$49&gt;SUM(G53:G55,G48),G48,G$49-SUM(G53:G54)))</f>
        <v/>
      </c>
      <c r="H52" s="108" t="str">
        <f t="shared" ref="H52" si="16">IF(OR(H$27="",$A52=""),"",IF(H$49&gt;SUM(H53:H55,H48),H48,H$49-SUM(H53:H54)))</f>
        <v/>
      </c>
      <c r="I52" s="108" t="str">
        <f t="shared" ref="I52" si="17">IF(OR(I$27="",$A52=""),"",IF(I$49&gt;SUM(I53:I55,I48),I48,I$49-SUM(I53:I54)))</f>
        <v/>
      </c>
      <c r="J52" s="108" t="str">
        <f t="shared" ref="J52" si="18">IF(OR(J$27="",$A52=""),"",IF(J$49&gt;SUM(J53:J55,J48),J48,J$49-SUM(J53:J54)))</f>
        <v/>
      </c>
      <c r="K52" s="108" t="str">
        <f t="shared" ref="K52" si="19">IF(OR(K$27="",$A52=""),"",IF(K$49&gt;SUM(K53:K55,K48),K48,K$49-SUM(K53:K54)))</f>
        <v/>
      </c>
      <c r="L52" s="108" t="str">
        <f t="shared" ref="L52" si="20">IF(OR(L$27="",$A52=""),"",IF(L$49&gt;SUM(L53:L55,L48),L48,L$49-SUM(L53:L54)))</f>
        <v/>
      </c>
      <c r="M52" s="29"/>
      <c r="N52" s="29"/>
    </row>
    <row r="53" spans="1:14" x14ac:dyDescent="0.25">
      <c r="A53" t="str">
        <f>IF(A8="","","    To "&amp;A8)</f>
        <v xml:space="preserve">    To Colorado River Delta</v>
      </c>
      <c r="B53" s="144">
        <f>0.21/9*(2/3)</f>
        <v>1.5555555555555553E-2</v>
      </c>
      <c r="C53" s="145" t="str">
        <f>IF(OR(C$27="",$A53=""),"",MIN($B53,C$49-SUM(C54:C55)))</f>
        <v/>
      </c>
      <c r="D53" s="145" t="str">
        <f t="shared" ref="D53:L53" si="21">IF(OR(D$27="",$A53=""),"",MIN($B53,D$49-SUM(D54:D55)))</f>
        <v/>
      </c>
      <c r="E53" s="145" t="str">
        <f t="shared" si="21"/>
        <v/>
      </c>
      <c r="F53" s="145" t="str">
        <f t="shared" si="21"/>
        <v/>
      </c>
      <c r="G53" s="145" t="str">
        <f t="shared" si="21"/>
        <v/>
      </c>
      <c r="H53" s="145" t="str">
        <f t="shared" si="21"/>
        <v/>
      </c>
      <c r="I53" s="145" t="str">
        <f t="shared" si="21"/>
        <v/>
      </c>
      <c r="J53" s="145" t="str">
        <f t="shared" si="21"/>
        <v/>
      </c>
      <c r="K53" s="145" t="str">
        <f t="shared" si="21"/>
        <v/>
      </c>
      <c r="L53" s="145" t="str">
        <f t="shared" si="21"/>
        <v/>
      </c>
      <c r="M53" s="29"/>
      <c r="N53" s="29"/>
    </row>
    <row r="54" spans="1:14" x14ac:dyDescent="0.25">
      <c r="A54" t="str">
        <f>IF(A9="","","    To "&amp;A9)</f>
        <v/>
      </c>
      <c r="B54" s="135"/>
      <c r="C54" s="108"/>
      <c r="D54" s="108"/>
      <c r="E54" s="108"/>
      <c r="F54" s="108"/>
      <c r="G54" s="108"/>
      <c r="H54" s="108"/>
      <c r="I54" s="108"/>
      <c r="J54" s="108"/>
      <c r="K54" s="108"/>
      <c r="L54" s="108"/>
      <c r="M54" s="29"/>
      <c r="N54" s="29"/>
    </row>
    <row r="55" spans="1:14" x14ac:dyDescent="0.25">
      <c r="A55" t="str">
        <f>IF(A10="","","    To "&amp;A10)</f>
        <v xml:space="preserve">    To Shared, Reserve</v>
      </c>
      <c r="B55" s="135" t="s">
        <v>366</v>
      </c>
      <c r="C55" s="108" t="str">
        <f>IF(OR(C$27="",$A55=""),"",IF(C$49&gt;C47,C47,C$49))</f>
        <v/>
      </c>
      <c r="D55" s="108" t="str">
        <f>IF(OR(D$27="",$A55=""),"",IF(D$49&gt;D47,D47,D49))</f>
        <v/>
      </c>
      <c r="E55" s="108" t="str">
        <f t="shared" ref="E55:L55" si="22">IF(OR(E$27="",$A55=""),"",IF(E$49&gt;E47,E47,E49))</f>
        <v/>
      </c>
      <c r="F55" s="108" t="str">
        <f t="shared" ref="F55:L55" si="23">IF(OR(F$27="",$A55=""),"",IF(F$49&gt;F47,F47,F49))</f>
        <v/>
      </c>
      <c r="G55" s="108" t="str">
        <f t="shared" si="23"/>
        <v/>
      </c>
      <c r="H55" s="108" t="str">
        <f t="shared" si="23"/>
        <v/>
      </c>
      <c r="I55" s="108" t="str">
        <f t="shared" si="23"/>
        <v/>
      </c>
      <c r="J55" s="108" t="str">
        <f t="shared" si="23"/>
        <v/>
      </c>
      <c r="K55" s="108" t="str">
        <f t="shared" si="23"/>
        <v/>
      </c>
      <c r="L55" s="108" t="str">
        <f t="shared" si="23"/>
        <v/>
      </c>
      <c r="M55" s="29"/>
      <c r="N55" s="29"/>
    </row>
    <row r="56" spans="1:14" x14ac:dyDescent="0.25">
      <c r="C56" s="45"/>
      <c r="D56" s="45"/>
      <c r="E56" s="45"/>
      <c r="F56" s="45"/>
      <c r="G56" s="45"/>
    </row>
    <row r="57" spans="1:14" x14ac:dyDescent="0.25">
      <c r="A57" s="138" t="s">
        <v>180</v>
      </c>
      <c r="B57" s="138"/>
      <c r="C57" s="138"/>
      <c r="D57" s="138"/>
      <c r="E57" s="138"/>
      <c r="F57" s="138"/>
      <c r="G57" s="138"/>
      <c r="H57" s="138"/>
      <c r="I57" s="138"/>
      <c r="J57" s="138"/>
      <c r="K57" s="138"/>
      <c r="L57" s="138"/>
      <c r="M57" s="138"/>
      <c r="N57" s="138"/>
    </row>
    <row r="58" spans="1:14" x14ac:dyDescent="0.25">
      <c r="A58" s="139" t="str">
        <f>IF(A$5="[Unused]","",A5)</f>
        <v>Upper Basin</v>
      </c>
      <c r="B58" s="139"/>
      <c r="C58" s="139"/>
      <c r="D58" s="139"/>
      <c r="E58" s="139"/>
      <c r="F58" s="139"/>
      <c r="G58" s="139"/>
      <c r="H58" s="139"/>
      <c r="I58" s="139"/>
      <c r="J58" s="139"/>
      <c r="K58" s="139"/>
      <c r="L58" s="139"/>
      <c r="M58" s="140" t="s">
        <v>106</v>
      </c>
      <c r="N58" s="139" t="s">
        <v>171</v>
      </c>
    </row>
    <row r="59" spans="1:14" x14ac:dyDescent="0.2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2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25">
      <c r="A61" s="32" t="str">
        <f>IF(A60="","","   Volume of all players (should be zero)")</f>
        <v xml:space="preserve">   Volume of all players (should be zero)</v>
      </c>
      <c r="C61" s="67" t="str">
        <f>IF(OR(C$27="",$A61=""),"",C$114)</f>
        <v/>
      </c>
      <c r="D61" s="67" t="str">
        <f>IF(OR(D$27="",$A61=""),"",D$114)</f>
        <v/>
      </c>
      <c r="E61" s="67" t="str">
        <f>IF(OR(E$27="",$A61=""),"",E$114)</f>
        <v/>
      </c>
      <c r="F61" s="67" t="str">
        <f>IF(OR(F$27="",$A61=""),"",F$114)</f>
        <v/>
      </c>
      <c r="G61" s="67" t="str">
        <f>IF(OR(G$27="",$A61=""),"",G$114)</f>
        <v/>
      </c>
      <c r="H61" s="67" t="str">
        <f>IF(OR(H$27="",$A61=""),"",H$114)</f>
        <v/>
      </c>
      <c r="I61" s="67" t="str">
        <f>IF(OR(I$27="",$A61=""),"",I$114)</f>
        <v/>
      </c>
      <c r="J61" s="67" t="str">
        <f>IF(OR(J$27="",$A61=""),"",J$114)</f>
        <v/>
      </c>
      <c r="K61" s="67" t="str">
        <f>IF(OR(K$27="",$A61=""),"",K$114)</f>
        <v/>
      </c>
      <c r="L61" s="67" t="str">
        <f>IF(OR(L$27="",$A61=""),"",L$114)</f>
        <v/>
      </c>
      <c r="M61" t="str">
        <f>IF(OR(M$27="",$A61=""),"",M$114)</f>
        <v/>
      </c>
      <c r="N61"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24">IF(OR(D$27="",$A62=""),"",D32+D50-D42-D59)</f>
        <v/>
      </c>
      <c r="E62" s="14" t="str">
        <f t="shared" si="24"/>
        <v/>
      </c>
      <c r="F62" s="14" t="str">
        <f t="shared" si="24"/>
        <v/>
      </c>
      <c r="G62" s="14" t="str">
        <f t="shared" si="24"/>
        <v/>
      </c>
      <c r="H62" s="14" t="str">
        <f t="shared" si="24"/>
        <v/>
      </c>
      <c r="I62" s="14" t="str">
        <f t="shared" si="24"/>
        <v/>
      </c>
      <c r="J62" s="14" t="str">
        <f t="shared" si="24"/>
        <v/>
      </c>
      <c r="K62" s="14" t="str">
        <f t="shared" si="24"/>
        <v/>
      </c>
      <c r="L62" s="14" t="str">
        <f t="shared" si="24"/>
        <v/>
      </c>
      <c r="N62" t="str">
        <f>IF(A62="","","Available water = Account Balance + Available Inflow - Evaporation + Sales - Purchases")</f>
        <v>Available water = Account Balance + Available Inflow - Evaporation + Sales - Purchases</v>
      </c>
    </row>
    <row r="63" spans="1:14" x14ac:dyDescent="0.25">
      <c r="A63" s="1" t="str">
        <f>IF(A62="","","   Account Withdraw [maf] (less than available water)")</f>
        <v xml:space="preserve">   Account Withdraw [maf] (less than available water)</v>
      </c>
      <c r="C63" s="132" t="str">
        <f>IF(C28&lt;&gt;"",IF(C62&gt;4.2,4.2,MAX(C62,0)),"")</f>
        <v/>
      </c>
      <c r="D63" s="132" t="str">
        <f>IF(D28&lt;&gt;"",IF(D62&gt;4.2,4.2,MAX(D62,0)),"")</f>
        <v/>
      </c>
      <c r="E63" s="132" t="str">
        <f>IF(E28&lt;&gt;"",IF(E62&gt;4.2,4.2,MAX(E62,0)),"")</f>
        <v/>
      </c>
      <c r="F63" s="132" t="str">
        <f>IF(F28&lt;&gt;"",IF(F62&gt;4.2,4.2,MAX(F62,0)),"")</f>
        <v/>
      </c>
      <c r="G63" s="132" t="str">
        <f>IF(G28&lt;&gt;"",IF(G62&gt;4.2,4.2,MAX(G62,0)),"")</f>
        <v/>
      </c>
      <c r="H63" s="132"/>
      <c r="I63" s="132"/>
      <c r="J63" s="132"/>
      <c r="K63" s="132"/>
      <c r="L63" s="132"/>
      <c r="N63" t="str">
        <f>IF(A63="","","Must be less than Available water")</f>
        <v>Must be less than Available water</v>
      </c>
    </row>
    <row r="64" spans="1:14" x14ac:dyDescent="0.25">
      <c r="A64" s="32" t="str">
        <f>IF(A63="","","   End of Year Balance [maf]")</f>
        <v xml:space="preserve">   End of Year Balance [maf]</v>
      </c>
      <c r="C64" s="66" t="str">
        <f>IF(OR(C$27="",$A64=""),"",C62-C63)</f>
        <v/>
      </c>
      <c r="D64" s="66" t="str">
        <f t="shared" ref="D64:L64" si="25">IF(OR(D$27="",$A64=""),"",D62-D63)</f>
        <v/>
      </c>
      <c r="E64" s="66" t="str">
        <f t="shared" si="25"/>
        <v/>
      </c>
      <c r="F64" s="66" t="str">
        <f t="shared" si="25"/>
        <v/>
      </c>
      <c r="G64" s="66" t="str">
        <f t="shared" si="25"/>
        <v/>
      </c>
      <c r="H64" s="66" t="str">
        <f t="shared" si="25"/>
        <v/>
      </c>
      <c r="I64" s="66" t="str">
        <f t="shared" si="25"/>
        <v/>
      </c>
      <c r="J64" s="66" t="str">
        <f t="shared" si="25"/>
        <v/>
      </c>
      <c r="K64" s="66" t="str">
        <f t="shared" si="25"/>
        <v/>
      </c>
      <c r="L64" s="66" t="str">
        <f t="shared" si="25"/>
        <v/>
      </c>
      <c r="N64" t="str">
        <f>IF(A64="","","Available water - Account Withdraw")</f>
        <v>Available water - Account Withdraw</v>
      </c>
    </row>
    <row r="65" spans="1:14" x14ac:dyDescent="0.25">
      <c r="C65"/>
    </row>
    <row r="66" spans="1:14" x14ac:dyDescent="0.25">
      <c r="A66" s="139" t="str">
        <f>IF(A$6="","[Unused]",A6)</f>
        <v>Lower Basin</v>
      </c>
      <c r="B66" s="139"/>
      <c r="C66" s="139"/>
      <c r="D66" s="139"/>
      <c r="E66" s="139"/>
      <c r="F66" s="139"/>
      <c r="G66" s="139"/>
      <c r="H66" s="139"/>
      <c r="I66" s="139"/>
      <c r="J66" s="139"/>
      <c r="K66" s="139"/>
      <c r="L66" s="139"/>
      <c r="M66" s="140" t="s">
        <v>106</v>
      </c>
      <c r="N66" s="139" t="s">
        <v>171</v>
      </c>
    </row>
    <row r="67" spans="1:14" x14ac:dyDescent="0.2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2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26">IF(A68="","",N60)</f>
        <v>Add if multiple transactions, e.g.: $350*0.5 + $450*0.25</v>
      </c>
    </row>
    <row r="69" spans="1:14" x14ac:dyDescent="0.25">
      <c r="A69" s="32" t="str">
        <f>IF(A68="","","   Volume all players (should be zero)")</f>
        <v xml:space="preserve">   Volume all players (should be zero)</v>
      </c>
      <c r="C69" s="67" t="str">
        <f>IF(OR(C$27="",$A69=""),"",C$114)</f>
        <v/>
      </c>
      <c r="D69" s="67" t="str">
        <f>IF(OR(D$27="",$A69=""),"",D$114)</f>
        <v/>
      </c>
      <c r="E69" s="67" t="str">
        <f>IF(OR(E$27="",$A69=""),"",E$114)</f>
        <v/>
      </c>
      <c r="F69" s="67" t="str">
        <f>IF(OR(F$27="",$A69=""),"",F$114)</f>
        <v/>
      </c>
      <c r="G69" s="67" t="str">
        <f>IF(OR(G$27="",$A69=""),"",G$114)</f>
        <v/>
      </c>
      <c r="H69" s="67" t="str">
        <f>IF(OR(H$27="",$A69=""),"",H$114)</f>
        <v/>
      </c>
      <c r="I69" s="67" t="str">
        <f>IF(OR(I$27="",$A69=""),"",I$114)</f>
        <v/>
      </c>
      <c r="J69" s="67" t="str">
        <f>IF(OR(J$27="",$A69=""),"",J$114)</f>
        <v/>
      </c>
      <c r="K69" s="67" t="str">
        <f>IF(OR(K$27="",$A69=""),"",K$114)</f>
        <v/>
      </c>
      <c r="L69" s="67" t="str">
        <f>IF(OR(L$27="",$A69=""),"",L$114)</f>
        <v/>
      </c>
      <c r="M69" t="str">
        <f>IF(OR(M$27="",$A69=""),"",M$114)</f>
        <v/>
      </c>
      <c r="N69" t="str">
        <f t="shared" si="26"/>
        <v>If non-zero, players need to change amount(s)</v>
      </c>
    </row>
    <row r="70" spans="1:14" x14ac:dyDescent="0.25">
      <c r="A70" s="1" t="str">
        <f>IF(A68="","","   Available Water [maf]")</f>
        <v xml:space="preserve">   Available Water [maf]</v>
      </c>
      <c r="C70" s="14" t="str">
        <f t="shared" ref="C70:L70" si="27">IF(OR(C$27="",$A70=""),"",C33+C51-C43-C67)</f>
        <v/>
      </c>
      <c r="D70" s="14" t="str">
        <f t="shared" si="27"/>
        <v/>
      </c>
      <c r="E70" s="14" t="str">
        <f t="shared" si="27"/>
        <v/>
      </c>
      <c r="F70" s="14" t="str">
        <f t="shared" si="27"/>
        <v/>
      </c>
      <c r="G70" s="14" t="str">
        <f t="shared" si="27"/>
        <v/>
      </c>
      <c r="H70" s="14" t="str">
        <f t="shared" si="27"/>
        <v/>
      </c>
      <c r="I70" s="14" t="str">
        <f t="shared" si="27"/>
        <v/>
      </c>
      <c r="J70" s="14" t="str">
        <f t="shared" si="27"/>
        <v/>
      </c>
      <c r="K70" s="14" t="str">
        <f t="shared" si="27"/>
        <v/>
      </c>
      <c r="L70" s="14" t="str">
        <f t="shared" si="27"/>
        <v/>
      </c>
      <c r="N70" t="str">
        <f t="shared" si="26"/>
        <v>Available water = Account Balance + Available Inflow - Evaporation + Sales - Purchases</v>
      </c>
    </row>
    <row r="71" spans="1:14" x14ac:dyDescent="0.25">
      <c r="A71" s="1" t="str">
        <f>IF(A70="","","   Account Withdraw [maf]")</f>
        <v xml:space="preserve">   Account Withdraw [maf]</v>
      </c>
      <c r="C71" s="132" t="str">
        <f>IF(C28&lt;&gt;"",MIN(7.5-VLOOKUP(C40,LowerBasinCuts!$C$5:$P$13,14),C70),"")</f>
        <v/>
      </c>
      <c r="D71" s="132" t="str">
        <f>IF(D28&lt;&gt;"",MIN(7.5-VLOOKUP(D40,LowerBasinCuts!$C$5:$P$13,14),D70),"")</f>
        <v/>
      </c>
      <c r="E71" s="132" t="str">
        <f>IF(E28&lt;&gt;"",MIN(7.5-VLOOKUP(E40,LowerBasinCuts!$C$5:$P$13,14),E70),"")</f>
        <v/>
      </c>
      <c r="F71" s="132" t="str">
        <f>IF(F28&lt;&gt;"",MIN(7.5-VLOOKUP(F40,LowerBasinCuts!$C$5:$P$13,14),F70),"")</f>
        <v/>
      </c>
      <c r="G71" s="132" t="str">
        <f>IF(G28&lt;&gt;"",MIN(7.5-VLOOKUP(G40,LowerBasinCuts!$C$5:$P$13,14),G70),"")</f>
        <v/>
      </c>
      <c r="H71" s="132" t="str">
        <f>IF(H28&lt;&gt;"",MIN(7.5-VLOOKUP(H40,LowerBasinCuts!$C$5:$P$13,14),H70),"")</f>
        <v/>
      </c>
      <c r="I71" s="132" t="str">
        <f>IF(I28&lt;&gt;"",MIN(7.5-VLOOKUP(I40,LowerBasinCuts!$C$5:$P$13,14),I70),"")</f>
        <v/>
      </c>
      <c r="J71" s="132" t="str">
        <f>IF(J28&lt;&gt;"",MIN(7.5-VLOOKUP(J40,LowerBasinCuts!$C$5:$P$13,14),J70),"")</f>
        <v/>
      </c>
      <c r="K71" s="132" t="str">
        <f>IF(K28&lt;&gt;"",MIN(7.5-VLOOKUP(K40,LowerBasinCuts!$C$5:$P$13,14),K70),"")</f>
        <v/>
      </c>
      <c r="L71" s="132" t="str">
        <f>IF(L28&lt;&gt;"",MIN(7.5-VLOOKUP(L40,LowerBasinCuts!$C$5:$P$13,14),L70),"")</f>
        <v/>
      </c>
      <c r="N71" t="str">
        <f t="shared" si="26"/>
        <v>Must be less than Available water</v>
      </c>
    </row>
    <row r="72" spans="1:14" x14ac:dyDescent="0.25">
      <c r="A72" s="32" t="str">
        <f>IF(A71="","","   End of Year Balance [maf]")</f>
        <v xml:space="preserve">   End of Year Balance [maf]</v>
      </c>
      <c r="C72" s="66" t="str">
        <f>IF(OR(C$27="",$A72=""),"",C70-C71)</f>
        <v/>
      </c>
      <c r="D72" s="66" t="str">
        <f t="shared" ref="D72:L72" si="28">IF(OR(D$27="",$A72=""),"",D70-D71)</f>
        <v/>
      </c>
      <c r="E72" s="66" t="str">
        <f t="shared" si="28"/>
        <v/>
      </c>
      <c r="F72" s="66" t="str">
        <f t="shared" si="28"/>
        <v/>
      </c>
      <c r="G72" s="66" t="str">
        <f t="shared" si="28"/>
        <v/>
      </c>
      <c r="H72" s="66" t="str">
        <f t="shared" si="28"/>
        <v/>
      </c>
      <c r="I72" s="66" t="str">
        <f t="shared" si="28"/>
        <v/>
      </c>
      <c r="J72" s="66" t="str">
        <f t="shared" si="28"/>
        <v/>
      </c>
      <c r="K72" s="66" t="str">
        <f t="shared" si="28"/>
        <v/>
      </c>
      <c r="L72" s="66" t="str">
        <f t="shared" si="28"/>
        <v/>
      </c>
      <c r="N72" t="str">
        <f t="shared" si="26"/>
        <v>Available water - Account Withdraw</v>
      </c>
    </row>
    <row r="73" spans="1:14" x14ac:dyDescent="0.25">
      <c r="C73"/>
    </row>
    <row r="74" spans="1:14" x14ac:dyDescent="0.25">
      <c r="A74" s="139" t="str">
        <f>IF(A$7="","[Unused]",A7)</f>
        <v>Mexico</v>
      </c>
      <c r="B74" s="139"/>
      <c r="C74" s="139"/>
      <c r="D74" s="139"/>
      <c r="E74" s="139"/>
      <c r="F74" s="139"/>
      <c r="G74" s="139"/>
      <c r="H74" s="139"/>
      <c r="I74" s="139"/>
      <c r="J74" s="139"/>
      <c r="K74" s="139"/>
      <c r="L74" s="139"/>
      <c r="M74" s="140" t="s">
        <v>106</v>
      </c>
      <c r="N74" s="139" t="s">
        <v>171</v>
      </c>
    </row>
    <row r="75" spans="1:14" x14ac:dyDescent="0.2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2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29">IF(A76="","",N68)</f>
        <v>Add if multiple transactions, e.g.: $350*0.5 + $450*0.25</v>
      </c>
    </row>
    <row r="77" spans="1:14" x14ac:dyDescent="0.25">
      <c r="A77" s="32" t="str">
        <f>IF(A76="","","   Volume all players (should be zero)")</f>
        <v xml:space="preserve">   Volume all players (should be zero)</v>
      </c>
      <c r="C77" s="67" t="str">
        <f>IF(OR(C$27="",$A77=""),"",C$114)</f>
        <v/>
      </c>
      <c r="D77" s="67" t="str">
        <f>IF(OR(D$27="",$A77=""),"",D$114)</f>
        <v/>
      </c>
      <c r="E77" s="67" t="str">
        <f>IF(OR(E$27="",$A77=""),"",E$114)</f>
        <v/>
      </c>
      <c r="F77" s="67" t="str">
        <f>IF(OR(F$27="",$A77=""),"",F$114)</f>
        <v/>
      </c>
      <c r="G77" s="67" t="str">
        <f>IF(OR(G$27="",$A77=""),"",G$114)</f>
        <v/>
      </c>
      <c r="H77" s="67" t="str">
        <f>IF(OR(H$27="",$A77=""),"",H$114)</f>
        <v/>
      </c>
      <c r="I77" s="67" t="str">
        <f>IF(OR(I$27="",$A77=""),"",I$114)</f>
        <v/>
      </c>
      <c r="J77" s="67" t="str">
        <f>IF(OR(J$27="",$A77=""),"",J$114)</f>
        <v/>
      </c>
      <c r="K77" s="67" t="str">
        <f>IF(OR(K$27="",$A77=""),"",K$114)</f>
        <v/>
      </c>
      <c r="L77" s="67" t="str">
        <f>IF(OR(L$27="",$A77=""),"",L$114)</f>
        <v/>
      </c>
      <c r="M77" t="str">
        <f>IF(OR(M$27="",$A77=""),"",M$114)</f>
        <v/>
      </c>
      <c r="N77" t="str">
        <f t="shared" si="29"/>
        <v>If non-zero, players need to change amount(s)</v>
      </c>
    </row>
    <row r="78" spans="1:14" x14ac:dyDescent="0.25">
      <c r="A78" s="1" t="str">
        <f>IF(A76="","","   Available Water [maf]")</f>
        <v xml:space="preserve">   Available Water [maf]</v>
      </c>
      <c r="C78" s="14" t="str">
        <f t="shared" ref="C78:L78" si="30">IF(OR(C$27="",$A78=""),"",C34+C52-C44-C75)</f>
        <v/>
      </c>
      <c r="D78" s="14" t="str">
        <f t="shared" si="30"/>
        <v/>
      </c>
      <c r="E78" s="14" t="str">
        <f t="shared" si="30"/>
        <v/>
      </c>
      <c r="F78" s="14" t="str">
        <f>IF(OR(F$27="",$A78=""),"",F34+F52-F44-F75)</f>
        <v/>
      </c>
      <c r="G78" s="14" t="str">
        <f t="shared" si="30"/>
        <v/>
      </c>
      <c r="H78" s="14" t="str">
        <f t="shared" si="30"/>
        <v/>
      </c>
      <c r="I78" s="14" t="str">
        <f t="shared" si="30"/>
        <v/>
      </c>
      <c r="J78" s="14" t="str">
        <f t="shared" si="30"/>
        <v/>
      </c>
      <c r="K78" s="14" t="str">
        <f t="shared" si="30"/>
        <v/>
      </c>
      <c r="L78" s="14" t="str">
        <f t="shared" si="30"/>
        <v/>
      </c>
      <c r="N78" t="str">
        <f t="shared" si="29"/>
        <v>Available water = Account Balance + Available Inflow - Evaporation + Sales - Purchases</v>
      </c>
    </row>
    <row r="79" spans="1:14" x14ac:dyDescent="0.25">
      <c r="A79" s="1" t="str">
        <f>IF(A78="","","   Account Withdraw [maf]")</f>
        <v xml:space="preserve">   Account Withdraw [maf]</v>
      </c>
      <c r="C79" s="132" t="str">
        <f>C48</f>
        <v/>
      </c>
      <c r="D79" s="132" t="str">
        <f t="shared" ref="D79:G79" si="31">D48</f>
        <v/>
      </c>
      <c r="E79" s="132" t="str">
        <f t="shared" si="31"/>
        <v/>
      </c>
      <c r="F79" s="132" t="str">
        <f t="shared" si="31"/>
        <v/>
      </c>
      <c r="G79" s="132" t="str">
        <f t="shared" si="31"/>
        <v/>
      </c>
      <c r="H79" s="132"/>
      <c r="I79" s="132"/>
      <c r="J79" s="132"/>
      <c r="K79" s="132"/>
      <c r="L79" s="132"/>
      <c r="N79" t="str">
        <f t="shared" si="29"/>
        <v>Must be less than Available water</v>
      </c>
    </row>
    <row r="80" spans="1:14" x14ac:dyDescent="0.25">
      <c r="A80" s="32" t="str">
        <f>IF(A79="","","   End of Year Balance [maf]")</f>
        <v xml:space="preserve">   End of Year Balance [maf]</v>
      </c>
      <c r="C80" s="66" t="str">
        <f>IF(OR(C$27="",$A80=""),"",C78-C79)</f>
        <v/>
      </c>
      <c r="D80" s="66" t="str">
        <f t="shared" ref="D80:L80" si="32">IF(OR(D$27="",$A80=""),"",D78-D79)</f>
        <v/>
      </c>
      <c r="E80" s="66" t="str">
        <f t="shared" si="32"/>
        <v/>
      </c>
      <c r="F80" s="66" t="str">
        <f t="shared" si="32"/>
        <v/>
      </c>
      <c r="G80" s="66" t="str">
        <f t="shared" si="32"/>
        <v/>
      </c>
      <c r="H80" s="66" t="str">
        <f t="shared" si="32"/>
        <v/>
      </c>
      <c r="I80" s="66" t="str">
        <f t="shared" si="32"/>
        <v/>
      </c>
      <c r="J80" s="66" t="str">
        <f t="shared" si="32"/>
        <v/>
      </c>
      <c r="K80" s="66" t="str">
        <f t="shared" si="32"/>
        <v/>
      </c>
      <c r="L80" s="66" t="str">
        <f t="shared" si="32"/>
        <v/>
      </c>
      <c r="N80" t="str">
        <f t="shared" si="29"/>
        <v>Available water - Account Withdraw</v>
      </c>
    </row>
    <row r="81" spans="1:14" x14ac:dyDescent="0.25">
      <c r="C81"/>
    </row>
    <row r="82" spans="1:14" x14ac:dyDescent="0.25">
      <c r="A82" s="139" t="str">
        <f>IF(A$8="","[Unused]",A8)</f>
        <v>Colorado River Delta</v>
      </c>
      <c r="B82" s="139"/>
      <c r="C82" s="139"/>
      <c r="D82" s="139"/>
      <c r="E82" s="139"/>
      <c r="F82" s="139"/>
      <c r="G82" s="139"/>
      <c r="H82" s="139"/>
      <c r="I82" s="139"/>
      <c r="J82" s="139"/>
      <c r="K82" s="139"/>
      <c r="L82" s="139"/>
      <c r="M82" s="140" t="s">
        <v>106</v>
      </c>
      <c r="N82" s="139" t="s">
        <v>171</v>
      </c>
    </row>
    <row r="83" spans="1:14" x14ac:dyDescent="0.25">
      <c r="A83" s="32" t="str">
        <f>IF(A82="[Unused]","","   Volume of Sales(+) and Purchases(-) [maf]")</f>
        <v xml:space="preserve">   Volume of Sales(+) and Purchases(-) [maf]</v>
      </c>
      <c r="C83" s="130"/>
      <c r="D83" s="130"/>
      <c r="E83" s="130"/>
      <c r="F83" s="130"/>
      <c r="G83" s="130"/>
      <c r="H83" s="130"/>
      <c r="I83" s="130"/>
      <c r="J83" s="130"/>
      <c r="K83" s="130"/>
      <c r="L83" s="130"/>
      <c r="M83" s="67">
        <f>SUM(C83:L83)</f>
        <v>0</v>
      </c>
      <c r="N83" t="str">
        <f>IF(A83="","",N75)</f>
        <v>Add if multiple transactions, e.g.: 0.5 + 0.25</v>
      </c>
    </row>
    <row r="84" spans="1:14" x14ac:dyDescent="0.25">
      <c r="A84" s="32" t="str">
        <f>IF(A83="","","   Cash Intake(+) and Payments(-) [$ Mill]")</f>
        <v xml:space="preserve">   Cash Intake(+) and Payments(-) [$ Mill]</v>
      </c>
      <c r="C84" s="131"/>
      <c r="D84" s="131"/>
      <c r="E84" s="131"/>
      <c r="F84" s="131"/>
      <c r="G84" s="131"/>
      <c r="H84" s="131"/>
      <c r="I84" s="131"/>
      <c r="J84" s="131"/>
      <c r="K84" s="131"/>
      <c r="L84" s="131"/>
      <c r="M84" s="65">
        <f>SUM(C84:L84)</f>
        <v>0</v>
      </c>
      <c r="N84" t="str">
        <f t="shared" ref="N84:N88" si="33">IF(A84="","",N76)</f>
        <v>Add if multiple transactions, e.g.: $350*0.5 + $450*0.25</v>
      </c>
    </row>
    <row r="85" spans="1:14" x14ac:dyDescent="0.25">
      <c r="A85" s="32" t="str">
        <f>IF(A84="","","   Volume all players (should be zero)")</f>
        <v xml:space="preserve">   Volume all players (should be zero)</v>
      </c>
      <c r="C85" s="67" t="str">
        <f>IF(OR(C$27="",$A85=""),"",C$114)</f>
        <v/>
      </c>
      <c r="D85" s="67" t="str">
        <f>IF(OR(D$27="",$A85=""),"",D$114)</f>
        <v/>
      </c>
      <c r="E85" s="67" t="str">
        <f>IF(OR(E$27="",$A85=""),"",E$114)</f>
        <v/>
      </c>
      <c r="F85" s="67" t="str">
        <f>IF(OR(F$27="",$A85=""),"",F$114)</f>
        <v/>
      </c>
      <c r="G85" s="67" t="str">
        <f>IF(OR(G$27="",$A85=""),"",G$114)</f>
        <v/>
      </c>
      <c r="H85" s="67" t="str">
        <f>IF(OR(H$27="",$A85=""),"",H$114)</f>
        <v/>
      </c>
      <c r="I85" s="67" t="str">
        <f>IF(OR(I$27="",$A85=""),"",I$114)</f>
        <v/>
      </c>
      <c r="J85" s="67" t="str">
        <f>IF(OR(J$27="",$A85=""),"",J$114)</f>
        <v/>
      </c>
      <c r="K85" s="67" t="str">
        <f>IF(OR(K$27="",$A85=""),"",K$114)</f>
        <v/>
      </c>
      <c r="L85" s="67" t="str">
        <f>IF(OR(L$27="",$A85=""),"",L$114)</f>
        <v/>
      </c>
      <c r="M85" t="str">
        <f>IF(OR(M$27="",$A85=""),"",M$114)</f>
        <v/>
      </c>
      <c r="N85" t="str">
        <f t="shared" si="33"/>
        <v>If non-zero, players need to change amount(s)</v>
      </c>
    </row>
    <row r="86" spans="1:14" x14ac:dyDescent="0.25">
      <c r="A86" s="1" t="str">
        <f>IF(A84="","","   Available Water [maf]")</f>
        <v xml:space="preserve">   Available Water [maf]</v>
      </c>
      <c r="C86" s="195" t="str">
        <f t="shared" ref="C86:L86" si="34">IF(OR(C$27="",$A86=""),"",C35+C53-C45-C83)</f>
        <v/>
      </c>
      <c r="D86" s="195" t="str">
        <f t="shared" si="34"/>
        <v/>
      </c>
      <c r="E86" s="195" t="str">
        <f t="shared" si="34"/>
        <v/>
      </c>
      <c r="F86" s="195" t="str">
        <f t="shared" si="34"/>
        <v/>
      </c>
      <c r="G86" s="195" t="str">
        <f t="shared" si="34"/>
        <v/>
      </c>
      <c r="H86" s="195" t="str">
        <f t="shared" si="34"/>
        <v/>
      </c>
      <c r="I86" s="195" t="str">
        <f t="shared" si="34"/>
        <v/>
      </c>
      <c r="J86" s="195" t="str">
        <f t="shared" si="34"/>
        <v/>
      </c>
      <c r="K86" s="195" t="str">
        <f t="shared" si="34"/>
        <v/>
      </c>
      <c r="L86" s="195" t="str">
        <f t="shared" si="34"/>
        <v/>
      </c>
      <c r="N86" t="str">
        <f t="shared" si="33"/>
        <v>Available water = Account Balance + Available Inflow - Evaporation + Sales - Purchases</v>
      </c>
    </row>
    <row r="87" spans="1:14" x14ac:dyDescent="0.25">
      <c r="A87" s="1" t="str">
        <f>IF(A86="","","   Account Withdraw [maf]")</f>
        <v xml:space="preserve">   Account Withdraw [maf]</v>
      </c>
      <c r="C87" s="199" t="str">
        <f>IF(OR(C$27="",$A86=""),"",IF(C86&gt;=0.06,0.06,0))</f>
        <v/>
      </c>
      <c r="D87" s="199" t="str">
        <f t="shared" ref="D87:L87" si="35">IF(OR(D$27="",$A86=""),"",IF(D86&gt;=0.06,0.06,0))</f>
        <v/>
      </c>
      <c r="E87" s="199" t="str">
        <f t="shared" si="35"/>
        <v/>
      </c>
      <c r="F87" s="199" t="str">
        <f t="shared" si="35"/>
        <v/>
      </c>
      <c r="G87" s="199" t="str">
        <f t="shared" si="35"/>
        <v/>
      </c>
      <c r="H87" s="199" t="str">
        <f t="shared" si="35"/>
        <v/>
      </c>
      <c r="I87" s="199" t="str">
        <f t="shared" si="35"/>
        <v/>
      </c>
      <c r="J87" s="199" t="str">
        <f t="shared" si="35"/>
        <v/>
      </c>
      <c r="K87" s="199" t="str">
        <f t="shared" si="35"/>
        <v/>
      </c>
      <c r="L87" s="199" t="str">
        <f t="shared" si="35"/>
        <v/>
      </c>
      <c r="N87" t="str">
        <f t="shared" si="33"/>
        <v>Must be less than Available water</v>
      </c>
    </row>
    <row r="88" spans="1:14" x14ac:dyDescent="0.25">
      <c r="A88" s="32" t="str">
        <f>IF(A87="","","   End of Year Balance [maf]")</f>
        <v xml:space="preserve">   End of Year Balance [maf]</v>
      </c>
      <c r="C88" s="198" t="str">
        <f>IF(OR(C$27="",$A88=""),"",C86-C87)</f>
        <v/>
      </c>
      <c r="D88" s="198" t="str">
        <f t="shared" ref="D88:L88" si="36">IF(OR(D$27="",$A88=""),"",D86-D87)</f>
        <v/>
      </c>
      <c r="E88" s="198" t="str">
        <f t="shared" si="36"/>
        <v/>
      </c>
      <c r="F88" s="198" t="str">
        <f t="shared" si="36"/>
        <v/>
      </c>
      <c r="G88" s="198" t="str">
        <f t="shared" si="36"/>
        <v/>
      </c>
      <c r="H88" s="198" t="str">
        <f t="shared" si="36"/>
        <v/>
      </c>
      <c r="I88" s="198" t="str">
        <f t="shared" si="36"/>
        <v/>
      </c>
      <c r="J88" s="198" t="str">
        <f t="shared" si="36"/>
        <v/>
      </c>
      <c r="K88" s="198" t="str">
        <f t="shared" si="36"/>
        <v/>
      </c>
      <c r="L88" s="198" t="str">
        <f t="shared" si="36"/>
        <v/>
      </c>
      <c r="N88" t="str">
        <f t="shared" si="33"/>
        <v>Available water - Account Withdraw</v>
      </c>
    </row>
    <row r="89" spans="1:14" x14ac:dyDescent="0.25">
      <c r="C89"/>
    </row>
    <row r="90" spans="1:14" x14ac:dyDescent="0.25">
      <c r="A90" s="197" t="str">
        <f>IF(A$9="","[Unused]",A9)</f>
        <v>[Unused]</v>
      </c>
      <c r="B90" s="139"/>
      <c r="C90" s="139"/>
      <c r="D90" s="139"/>
      <c r="E90" s="139"/>
      <c r="F90" s="139"/>
      <c r="G90" s="139"/>
      <c r="H90" s="139"/>
      <c r="I90" s="139"/>
      <c r="J90" s="139"/>
      <c r="K90" s="139"/>
      <c r="L90" s="139"/>
      <c r="M90" s="140" t="s">
        <v>106</v>
      </c>
      <c r="N90" s="139" t="s">
        <v>171</v>
      </c>
    </row>
    <row r="91" spans="1:14" x14ac:dyDescent="0.2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25">
      <c r="A92" s="32" t="str">
        <f>IF(A91="","","   Cash Intake(+) and Payments(-) [$ Mill]")</f>
        <v/>
      </c>
      <c r="C92" s="131"/>
      <c r="D92" s="131"/>
      <c r="E92" s="131"/>
      <c r="F92" s="131"/>
      <c r="G92" s="131"/>
      <c r="H92" s="131"/>
      <c r="I92" s="131"/>
      <c r="J92" s="131"/>
      <c r="K92" s="131"/>
      <c r="L92" s="131"/>
      <c r="M92" s="65">
        <f>SUM(C92:L92)</f>
        <v>0</v>
      </c>
      <c r="N92" t="str">
        <f t="shared" ref="N92:N96" si="37">IF(A92="","",N84)</f>
        <v/>
      </c>
    </row>
    <row r="93" spans="1:14" x14ac:dyDescent="0.25">
      <c r="A93" s="32" t="str">
        <f>IF(A92="","","   Volume all players (should be zero)")</f>
        <v/>
      </c>
      <c r="C93" s="67" t="str">
        <f>IF(OR(C$27="",$A93=""),"",C$114)</f>
        <v/>
      </c>
      <c r="D93" s="67" t="str">
        <f>IF(OR(D$27="",$A93=""),"",D$114)</f>
        <v/>
      </c>
      <c r="E93" s="67" t="str">
        <f>IF(OR(E$27="",$A93=""),"",E$114)</f>
        <v/>
      </c>
      <c r="F93" s="67" t="str">
        <f>IF(OR(F$27="",$A93=""),"",F$114)</f>
        <v/>
      </c>
      <c r="G93" s="67" t="str">
        <f>IF(OR(G$27="",$A93=""),"",G$114)</f>
        <v/>
      </c>
      <c r="H93" s="67" t="str">
        <f>IF(OR(H$27="",$A93=""),"",H$114)</f>
        <v/>
      </c>
      <c r="I93" s="67" t="str">
        <f>IF(OR(I$27="",$A93=""),"",I$114)</f>
        <v/>
      </c>
      <c r="J93" s="67" t="str">
        <f>IF(OR(J$27="",$A93=""),"",J$114)</f>
        <v/>
      </c>
      <c r="K93" s="67" t="str">
        <f>IF(OR(K$27="",$A93=""),"",K$114)</f>
        <v/>
      </c>
      <c r="L93" s="67" t="str">
        <f>IF(OR(L$27="",$A93=""),"",L$114)</f>
        <v/>
      </c>
      <c r="M93" t="str">
        <f>IF(OR(M$27="",$A93=""),"",M$114)</f>
        <v/>
      </c>
      <c r="N93" t="str">
        <f t="shared" si="37"/>
        <v/>
      </c>
    </row>
    <row r="94" spans="1:14" x14ac:dyDescent="0.25">
      <c r="A94" s="1" t="str">
        <f>IF(A92="","","   Available Water [maf]")</f>
        <v/>
      </c>
      <c r="C94" s="14" t="str">
        <f t="shared" ref="C94:L94" si="38">IF(OR(C$27="",$A94=""),"",C36+C54-C46-C91)</f>
        <v/>
      </c>
      <c r="D94" s="14" t="str">
        <f t="shared" si="38"/>
        <v/>
      </c>
      <c r="E94" s="14" t="str">
        <f t="shared" si="38"/>
        <v/>
      </c>
      <c r="F94" s="14" t="str">
        <f t="shared" si="38"/>
        <v/>
      </c>
      <c r="G94" s="14" t="str">
        <f t="shared" si="38"/>
        <v/>
      </c>
      <c r="H94" s="14" t="str">
        <f t="shared" si="38"/>
        <v/>
      </c>
      <c r="I94" s="14" t="str">
        <f t="shared" si="38"/>
        <v/>
      </c>
      <c r="J94" s="14" t="str">
        <f t="shared" si="38"/>
        <v/>
      </c>
      <c r="K94" s="14" t="str">
        <f t="shared" si="38"/>
        <v/>
      </c>
      <c r="L94" s="14" t="str">
        <f t="shared" si="38"/>
        <v/>
      </c>
      <c r="N94" t="str">
        <f t="shared" si="37"/>
        <v/>
      </c>
    </row>
    <row r="95" spans="1:14" x14ac:dyDescent="0.25">
      <c r="A95" s="1" t="str">
        <f>IF(A94="","","   Account Withdraw [maf]")</f>
        <v/>
      </c>
      <c r="C95" s="132"/>
      <c r="D95" s="132"/>
      <c r="E95" s="132"/>
      <c r="F95" s="132"/>
      <c r="G95" s="132"/>
      <c r="H95" s="132"/>
      <c r="I95" s="132"/>
      <c r="J95" s="132"/>
      <c r="K95" s="132"/>
      <c r="L95" s="132"/>
      <c r="N95" t="str">
        <f t="shared" si="37"/>
        <v/>
      </c>
    </row>
    <row r="96" spans="1:14" x14ac:dyDescent="0.25">
      <c r="A96" s="32" t="str">
        <f>IF(A95="","","   End of Year Balance [maf]")</f>
        <v/>
      </c>
      <c r="C96" s="66" t="str">
        <f>IF(OR(C$27="",$A96=""),"",C94-C95)</f>
        <v/>
      </c>
      <c r="D96" s="66" t="str">
        <f t="shared" ref="D96:L96" si="39">IF(OR(D$27="",$A96=""),"",D94-D95)</f>
        <v/>
      </c>
      <c r="E96" s="66" t="str">
        <f t="shared" si="39"/>
        <v/>
      </c>
      <c r="F96" s="66" t="str">
        <f t="shared" si="39"/>
        <v/>
      </c>
      <c r="G96" s="66" t="str">
        <f t="shared" si="39"/>
        <v/>
      </c>
      <c r="H96" s="66" t="str">
        <f t="shared" si="39"/>
        <v/>
      </c>
      <c r="I96" s="66" t="str">
        <f t="shared" si="39"/>
        <v/>
      </c>
      <c r="J96" s="66" t="str">
        <f t="shared" si="39"/>
        <v/>
      </c>
      <c r="K96" s="66" t="str">
        <f t="shared" si="39"/>
        <v/>
      </c>
      <c r="L96" s="66" t="str">
        <f t="shared" si="39"/>
        <v/>
      </c>
      <c r="N96" t="str">
        <f t="shared" si="37"/>
        <v/>
      </c>
    </row>
    <row r="97" spans="1:14" x14ac:dyDescent="0.25">
      <c r="C97"/>
    </row>
    <row r="98" spans="1:14" x14ac:dyDescent="0.25">
      <c r="A98" s="197" t="str">
        <f>IF(A$10="","[Unused]",A10)</f>
        <v>Shared, Reserve</v>
      </c>
      <c r="B98" s="139"/>
      <c r="C98" s="139"/>
      <c r="D98" s="139"/>
      <c r="E98" s="139"/>
      <c r="F98" s="139"/>
      <c r="G98" s="139"/>
      <c r="H98" s="139"/>
      <c r="I98" s="139"/>
      <c r="J98" s="139"/>
      <c r="K98" s="139"/>
      <c r="L98" s="139"/>
      <c r="M98" s="140" t="s">
        <v>106</v>
      </c>
      <c r="N98" s="139" t="s">
        <v>171</v>
      </c>
    </row>
    <row r="99" spans="1:14" x14ac:dyDescent="0.25">
      <c r="A99" s="32" t="str">
        <f>IF(A98="[Unused]","","   Volume of Sales(+) and Purchases(-) [maf]")</f>
        <v xml:space="preserve">   Volume of Sales(+) and Purchases(-) [maf]</v>
      </c>
      <c r="C99" s="130"/>
      <c r="D99" s="130"/>
      <c r="E99" s="130"/>
      <c r="F99" s="130"/>
      <c r="G99" s="130"/>
      <c r="H99" s="130"/>
      <c r="I99" s="130"/>
      <c r="J99" s="130"/>
      <c r="K99" s="130"/>
      <c r="L99" s="130"/>
      <c r="M99" s="67">
        <f>SUM(C99:L99)</f>
        <v>0</v>
      </c>
      <c r="N99" t="str">
        <f>IF(A99="","",N91)</f>
        <v/>
      </c>
    </row>
    <row r="100" spans="1:14" x14ac:dyDescent="0.25">
      <c r="A100" s="32" t="str">
        <f>IF(A99="","","   Cash Intake(+) and Payments(-) [$ Mill]")</f>
        <v xml:space="preserve">   Cash Intake(+) and Payments(-) [$ Mill]</v>
      </c>
      <c r="C100" s="131"/>
      <c r="D100" s="131"/>
      <c r="E100" s="131"/>
      <c r="F100" s="131"/>
      <c r="G100" s="131"/>
      <c r="H100" s="131"/>
      <c r="I100" s="131"/>
      <c r="J100" s="131"/>
      <c r="K100" s="131"/>
      <c r="L100" s="131"/>
      <c r="M100" s="65">
        <f>SUM(C100:L100)</f>
        <v>0</v>
      </c>
      <c r="N100" t="str">
        <f t="shared" ref="N100:N104" si="40">IF(A100="","",N92)</f>
        <v/>
      </c>
    </row>
    <row r="101" spans="1:14" x14ac:dyDescent="0.25">
      <c r="A101" s="32" t="str">
        <f>IF(A100="","","   Volume all players (should be zero)")</f>
        <v xml:space="preserve">   Volume all players (should be zero)</v>
      </c>
      <c r="C101" s="67" t="str">
        <f>IF(OR(C$27="",$A101=""),"",C$114)</f>
        <v/>
      </c>
      <c r="D101" s="67" t="str">
        <f>IF(OR(D$27="",$A101=""),"",D$114)</f>
        <v/>
      </c>
      <c r="E101" s="67" t="str">
        <f>IF(OR(E$27="",$A101=""),"",E$114)</f>
        <v/>
      </c>
      <c r="F101" s="67" t="str">
        <f>IF(OR(F$27="",$A101=""),"",F$114)</f>
        <v/>
      </c>
      <c r="G101" s="67" t="str">
        <f>IF(OR(G$27="",$A101=""),"",G$114)</f>
        <v/>
      </c>
      <c r="H101" s="67" t="str">
        <f>IF(OR(H$27="",$A101=""),"",H$114)</f>
        <v/>
      </c>
      <c r="I101" s="67" t="str">
        <f>IF(OR(I$27="",$A101=""),"",I$114)</f>
        <v/>
      </c>
      <c r="J101" s="67" t="str">
        <f>IF(OR(J$27="",$A101=""),"",J$114)</f>
        <v/>
      </c>
      <c r="K101" s="67" t="str">
        <f>IF(OR(K$27="",$A101=""),"",K$114)</f>
        <v/>
      </c>
      <c r="L101" s="67" t="str">
        <f>IF(OR(L$27="",$A101=""),"",L$114)</f>
        <v/>
      </c>
      <c r="M101" t="str">
        <f>IF(OR(M$27="",$A101=""),"",M$114)</f>
        <v/>
      </c>
      <c r="N101" t="str">
        <f t="shared" si="40"/>
        <v/>
      </c>
    </row>
    <row r="102" spans="1:14" x14ac:dyDescent="0.25">
      <c r="A102" s="1" t="str">
        <f>IF(A100="","","   Available Water [maf]")</f>
        <v xml:space="preserve">   Available Water [maf]</v>
      </c>
      <c r="C102" s="14" t="str">
        <f t="shared" ref="C102:L102" si="41">IF(OR(C$27="",$A102=""),"",C37+C55-C47-C99)</f>
        <v/>
      </c>
      <c r="D102" s="14" t="str">
        <f t="shared" si="41"/>
        <v/>
      </c>
      <c r="E102" s="14" t="str">
        <f t="shared" si="41"/>
        <v/>
      </c>
      <c r="F102" s="14" t="str">
        <f t="shared" si="41"/>
        <v/>
      </c>
      <c r="G102" s="14" t="str">
        <f t="shared" si="41"/>
        <v/>
      </c>
      <c r="H102" s="14" t="str">
        <f t="shared" si="41"/>
        <v/>
      </c>
      <c r="I102" s="14" t="str">
        <f t="shared" si="41"/>
        <v/>
      </c>
      <c r="J102" s="14" t="str">
        <f t="shared" si="41"/>
        <v/>
      </c>
      <c r="K102" s="14" t="str">
        <f t="shared" si="41"/>
        <v/>
      </c>
      <c r="L102" s="14" t="str">
        <f t="shared" si="41"/>
        <v/>
      </c>
      <c r="N102" t="str">
        <f t="shared" si="40"/>
        <v/>
      </c>
    </row>
    <row r="103" spans="1:14" x14ac:dyDescent="0.25">
      <c r="A103" s="1" t="str">
        <f>IF(A102="","","   Account Withdraw [maf]")</f>
        <v xml:space="preserve">   Account Withdraw [maf]</v>
      </c>
      <c r="C103" s="132"/>
      <c r="D103" s="132"/>
      <c r="E103" s="132"/>
      <c r="F103" s="132"/>
      <c r="G103" s="132"/>
      <c r="H103" s="132"/>
      <c r="I103" s="132"/>
      <c r="J103" s="132"/>
      <c r="K103" s="132"/>
      <c r="L103" s="132"/>
      <c r="N103" t="str">
        <f t="shared" si="40"/>
        <v/>
      </c>
    </row>
    <row r="104" spans="1:14" x14ac:dyDescent="0.25">
      <c r="A104" s="32" t="str">
        <f>IF(A103="","","   End of Year Balance [maf]")</f>
        <v xml:space="preserve">   End of Year Balance [maf]</v>
      </c>
      <c r="C104" s="66" t="str">
        <f>IF(OR(C$27="",$A104=""),"",C102-C103)</f>
        <v/>
      </c>
      <c r="D104" s="66" t="str">
        <f t="shared" ref="D104:L104" si="42">IF(OR(D$27="",$A104=""),"",D102-D103)</f>
        <v/>
      </c>
      <c r="E104" s="66" t="str">
        <f t="shared" si="42"/>
        <v/>
      </c>
      <c r="F104" s="66" t="str">
        <f t="shared" si="42"/>
        <v/>
      </c>
      <c r="G104" s="66" t="str">
        <f t="shared" si="42"/>
        <v/>
      </c>
      <c r="H104" s="66" t="str">
        <f t="shared" si="42"/>
        <v/>
      </c>
      <c r="I104" s="66" t="str">
        <f t="shared" si="42"/>
        <v/>
      </c>
      <c r="J104" s="66" t="str">
        <f t="shared" si="42"/>
        <v/>
      </c>
      <c r="K104" s="66" t="str">
        <f t="shared" si="42"/>
        <v/>
      </c>
      <c r="L104" s="66" t="str">
        <f t="shared" si="42"/>
        <v/>
      </c>
      <c r="N104" t="str">
        <f t="shared" si="40"/>
        <v/>
      </c>
    </row>
    <row r="105" spans="1:14" x14ac:dyDescent="0.25">
      <c r="C105"/>
    </row>
    <row r="106" spans="1:14" x14ac:dyDescent="0.25">
      <c r="A106" s="141" t="s">
        <v>182</v>
      </c>
      <c r="B106" s="141"/>
      <c r="C106" s="141"/>
      <c r="D106" s="141"/>
      <c r="E106" s="141"/>
      <c r="F106" s="141"/>
      <c r="G106" s="141"/>
      <c r="H106" s="141"/>
      <c r="I106" s="141"/>
      <c r="J106" s="141"/>
      <c r="K106" s="141"/>
      <c r="L106" s="141"/>
      <c r="M106" s="141"/>
      <c r="N106" s="141"/>
    </row>
    <row r="107" spans="1:14" x14ac:dyDescent="0.25">
      <c r="A107" s="1" t="s">
        <v>148</v>
      </c>
      <c r="C107"/>
      <c r="M107" t="s">
        <v>181</v>
      </c>
      <c r="N107" t="s">
        <v>149</v>
      </c>
    </row>
    <row r="108" spans="1:14" x14ac:dyDescent="0.25">
      <c r="A108" t="str">
        <f>IF(A5="","","    "&amp;A5)</f>
        <v xml:space="preserve">    Upper Basin</v>
      </c>
      <c r="B108" s="1"/>
      <c r="C108" s="67" t="str">
        <f ca="1">IF(OR(C$27="",$A108=""),"",OFFSET(C$59,8*(ROW(B108)-ROW(B$108)),0))</f>
        <v/>
      </c>
      <c r="D108" s="67" t="str">
        <f ca="1">IF(OR(D$27="",$A108=""),"",OFFSET(D$59,8*(ROW(C108)-ROW(C$108)),0))</f>
        <v/>
      </c>
      <c r="E108" s="67" t="str">
        <f ca="1">IF(OR(E$27="",$A108=""),"",OFFSET(E$59,8*(ROW(D108)-ROW(D$108)),0))</f>
        <v/>
      </c>
      <c r="F108" s="67" t="str">
        <f ca="1">IF(OR(F$27="",$A108=""),"",OFFSET(F$59,8*(ROW(E108)-ROW(E$108)),0))</f>
        <v/>
      </c>
      <c r="G108" s="67" t="str">
        <f ca="1">IF(OR(G$27="",$A108=""),"",OFFSET(G$59,8*(ROW(F108)-ROW(F$108)),0))</f>
        <v/>
      </c>
      <c r="H108" s="67" t="str">
        <f ca="1">IF(OR(H$27="",$A108=""),"",OFFSET(H$59,8*(ROW(G108)-ROW(G$108)),0))</f>
        <v/>
      </c>
      <c r="I108" s="67" t="str">
        <f ca="1">IF(OR(I$27="",$A108=""),"",OFFSET(I$59,8*(ROW(H108)-ROW(H$108)),0))</f>
        <v/>
      </c>
      <c r="J108" s="67" t="str">
        <f ca="1">IF(OR(J$27="",$A108=""),"",OFFSET(J$59,8*(ROW(I108)-ROW(I$108)),0))</f>
        <v/>
      </c>
      <c r="K108" s="67" t="str">
        <f ca="1">IF(OR(K$27="",$A108=""),"",OFFSET(K$59,8*(ROW(J108)-ROW(J$108)),0))</f>
        <v/>
      </c>
      <c r="L108" s="67" t="str">
        <f ca="1">IF(OR(L$27="",$A108=""),"",OFFSET(L$59,8*(ROW(K108)-ROW(K$108)),0))</f>
        <v/>
      </c>
      <c r="M108" s="67">
        <f ca="1">IF(OR($A108=""),"",SUM(C108:L108))</f>
        <v>0</v>
      </c>
      <c r="N108" s="65">
        <f>IF(OR($A108=""),"",M60)</f>
        <v>0</v>
      </c>
    </row>
    <row r="109" spans="1:14" x14ac:dyDescent="0.25">
      <c r="A109" t="str">
        <f>IF(A6="","","    "&amp;A6)</f>
        <v xml:space="preserve">    Lower Basin</v>
      </c>
      <c r="B109" s="1"/>
      <c r="C109" s="67" t="str">
        <f ca="1">IF(OR(C$27="",$A109=""),"",OFFSET(C$59,8*(ROW(B109)-ROW(B$108)),0))</f>
        <v/>
      </c>
      <c r="D109" s="67" t="str">
        <f ca="1">IF(OR(D$27="",$A109=""),"",OFFSET(D$59,8*(ROW(C109)-ROW(C$108)),0))</f>
        <v/>
      </c>
      <c r="E109" s="67" t="str">
        <f ca="1">IF(OR(E$27="",$A109=""),"",OFFSET(E$59,8*(ROW(D109)-ROW(D$108)),0))</f>
        <v/>
      </c>
      <c r="F109" s="67" t="str">
        <f ca="1">IF(OR(F$27="",$A109=""),"",OFFSET(F$59,8*(ROW(E109)-ROW(E$108)),0))</f>
        <v/>
      </c>
      <c r="G109" s="67" t="str">
        <f ca="1">IF(OR(G$27="",$A109=""),"",OFFSET(G$59,8*(ROW(F109)-ROW(F$108)),0))</f>
        <v/>
      </c>
      <c r="H109" s="67" t="str">
        <f ca="1">IF(OR(H$27="",$A109=""),"",OFFSET(H$59,8*(ROW(G109)-ROW(G$108)),0))</f>
        <v/>
      </c>
      <c r="I109" s="67" t="str">
        <f ca="1">IF(OR(I$27="",$A109=""),"",OFFSET(I$59,8*(ROW(H109)-ROW(H$108)),0))</f>
        <v/>
      </c>
      <c r="J109" s="67" t="str">
        <f ca="1">IF(OR(J$27="",$A109=""),"",OFFSET(J$59,8*(ROW(I109)-ROW(I$108)),0))</f>
        <v/>
      </c>
      <c r="K109" s="67" t="str">
        <f ca="1">IF(OR(K$27="",$A109=""),"",OFFSET(K$59,8*(ROW(J109)-ROW(J$108)),0))</f>
        <v/>
      </c>
      <c r="L109" s="67" t="str">
        <f ca="1">IF(OR(L$27="",$A109=""),"",OFFSET(L$59,8*(ROW(K109)-ROW(K$108)),0))</f>
        <v/>
      </c>
      <c r="M109" s="67">
        <f t="shared" ref="M109:M113" ca="1" si="43">IF(OR($A109=""),"",SUM(C109:L109))</f>
        <v>0</v>
      </c>
      <c r="N109" s="65">
        <f>IF(OR($A109=""),"",M68)</f>
        <v>0</v>
      </c>
    </row>
    <row r="110" spans="1:14" x14ac:dyDescent="0.25">
      <c r="A110" t="str">
        <f>IF(A7="","","    "&amp;A7)</f>
        <v xml:space="preserve">    Mexico</v>
      </c>
      <c r="B110" s="1"/>
      <c r="C110" s="67" t="str">
        <f ca="1">IF(OR(C$27="",$A110=""),"",OFFSET(C$59,8*(ROW(B110)-ROW(B$108)),0))</f>
        <v/>
      </c>
      <c r="D110" s="67" t="str">
        <f ca="1">IF(OR(D$27="",$A110=""),"",OFFSET(D$59,8*(ROW(C110)-ROW(C$108)),0))</f>
        <v/>
      </c>
      <c r="E110" s="67" t="str">
        <f ca="1">IF(OR(E$27="",$A110=""),"",OFFSET(E$59,8*(ROW(D110)-ROW(D$108)),0))</f>
        <v/>
      </c>
      <c r="F110" s="67" t="str">
        <f ca="1">IF(OR(F$27="",$A110=""),"",OFFSET(F$59,8*(ROW(E110)-ROW(E$108)),0))</f>
        <v/>
      </c>
      <c r="G110" s="67" t="str">
        <f ca="1">IF(OR(G$27="",$A110=""),"",OFFSET(G$59,8*(ROW(F110)-ROW(F$108)),0))</f>
        <v/>
      </c>
      <c r="H110" s="67" t="str">
        <f ca="1">IF(OR(H$27="",$A110=""),"",OFFSET(H$59,8*(ROW(G110)-ROW(G$108)),0))</f>
        <v/>
      </c>
      <c r="I110" s="67" t="str">
        <f ca="1">IF(OR(I$27="",$A110=""),"",OFFSET(I$59,8*(ROW(H110)-ROW(H$108)),0))</f>
        <v/>
      </c>
      <c r="J110" s="67" t="str">
        <f ca="1">IF(OR(J$27="",$A110=""),"",OFFSET(J$59,8*(ROW(I110)-ROW(I$108)),0))</f>
        <v/>
      </c>
      <c r="K110" s="67" t="str">
        <f ca="1">IF(OR(K$27="",$A110=""),"",OFFSET(K$59,8*(ROW(J110)-ROW(J$108)),0))</f>
        <v/>
      </c>
      <c r="L110" s="67" t="str">
        <f ca="1">IF(OR(L$27="",$A110=""),"",OFFSET(L$59,8*(ROW(K110)-ROW(K$108)),0))</f>
        <v/>
      </c>
      <c r="M110" s="67">
        <f t="shared" ca="1" si="43"/>
        <v>0</v>
      </c>
      <c r="N110" s="65">
        <f>IF(OR($A110=""),"",M76)</f>
        <v>0</v>
      </c>
    </row>
    <row r="111" spans="1:14" x14ac:dyDescent="0.25">
      <c r="A111" t="str">
        <f>IF(A8="","","    "&amp;A8)</f>
        <v xml:space="preserve">    Colorado River Delta</v>
      </c>
      <c r="B111" s="1"/>
      <c r="C111" s="67" t="str">
        <f ca="1">IF(OR(C$27="",$A111=""),"",OFFSET(C$59,8*(ROW(B111)-ROW(B$108)),0))</f>
        <v/>
      </c>
      <c r="D111" s="67" t="str">
        <f ca="1">IF(OR(D$27="",$A111=""),"",OFFSET(D$59,8*(ROW(C111)-ROW(C$108)),0))</f>
        <v/>
      </c>
      <c r="E111" s="67" t="str">
        <f ca="1">IF(OR(E$27="",$A111=""),"",OFFSET(E$59,8*(ROW(D111)-ROW(D$108)),0))</f>
        <v/>
      </c>
      <c r="F111" s="67" t="str">
        <f ca="1">IF(OR(F$27="",$A111=""),"",OFFSET(F$59,8*(ROW(E111)-ROW(E$108)),0))</f>
        <v/>
      </c>
      <c r="G111" s="67" t="str">
        <f ca="1">IF(OR(G$27="",$A111=""),"",OFFSET(G$59,8*(ROW(F111)-ROW(F$108)),0))</f>
        <v/>
      </c>
      <c r="H111" s="67" t="str">
        <f ca="1">IF(OR(H$27="",$A111=""),"",OFFSET(H$59,8*(ROW(G111)-ROW(G$108)),0))</f>
        <v/>
      </c>
      <c r="I111" s="67" t="str">
        <f ca="1">IF(OR(I$27="",$A111=""),"",OFFSET(I$59,8*(ROW(H111)-ROW(H$108)),0))</f>
        <v/>
      </c>
      <c r="J111" s="67" t="str">
        <f ca="1">IF(OR(J$27="",$A111=""),"",OFFSET(J$59,8*(ROW(I111)-ROW(I$108)),0))</f>
        <v/>
      </c>
      <c r="K111" s="67" t="str">
        <f ca="1">IF(OR(K$27="",$A111=""),"",OFFSET(K$59,8*(ROW(J111)-ROW(J$108)),0))</f>
        <v/>
      </c>
      <c r="L111" s="67" t="str">
        <f ca="1">IF(OR(L$27="",$A111=""),"",OFFSET(L$59,8*(ROW(K111)-ROW(K$108)),0))</f>
        <v/>
      </c>
      <c r="M111" s="67">
        <f t="shared" ca="1" si="43"/>
        <v>0</v>
      </c>
      <c r="N111" s="65">
        <f>IF(OR($A111=""),"",M84)</f>
        <v>0</v>
      </c>
    </row>
    <row r="112" spans="1:14" x14ac:dyDescent="0.25">
      <c r="A112" t="str">
        <f>IF(A9="","","    "&amp;A9)</f>
        <v/>
      </c>
      <c r="B112" s="1"/>
      <c r="C112" s="67" t="str">
        <f ca="1">IF(OR(C$27="",$A112=""),"",OFFSET(C$59,8*(ROW(B112)-ROW(B$108)),0))</f>
        <v/>
      </c>
      <c r="D112" s="67" t="str">
        <f ca="1">IF(OR(D$27="",$A112=""),"",OFFSET(D$59,8*(ROW(C112)-ROW(C$108)),0))</f>
        <v/>
      </c>
      <c r="E112" s="67" t="str">
        <f ca="1">IF(OR(E$27="",$A112=""),"",OFFSET(E$59,8*(ROW(D112)-ROW(D$108)),0))</f>
        <v/>
      </c>
      <c r="F112" s="67" t="str">
        <f ca="1">IF(OR(F$27="",$A112=""),"",OFFSET(F$59,8*(ROW(E112)-ROW(E$108)),0))</f>
        <v/>
      </c>
      <c r="G112" s="67" t="str">
        <f ca="1">IF(OR(G$27="",$A112=""),"",OFFSET(G$59,8*(ROW(F112)-ROW(F$108)),0))</f>
        <v/>
      </c>
      <c r="H112" s="67" t="str">
        <f ca="1">IF(OR(H$27="",$A112=""),"",OFFSET(H$59,8*(ROW(G112)-ROW(G$108)),0))</f>
        <v/>
      </c>
      <c r="I112" s="67" t="str">
        <f ca="1">IF(OR(I$27="",$A112=""),"",OFFSET(I$59,8*(ROW(H112)-ROW(H$108)),0))</f>
        <v/>
      </c>
      <c r="J112" s="67" t="str">
        <f ca="1">IF(OR(J$27="",$A112=""),"",OFFSET(J$59,8*(ROW(I112)-ROW(I$108)),0))</f>
        <v/>
      </c>
      <c r="K112" s="67" t="str">
        <f ca="1">IF(OR(K$27="",$A112=""),"",OFFSET(K$59,8*(ROW(J112)-ROW(J$108)),0))</f>
        <v/>
      </c>
      <c r="L112" s="67" t="str">
        <f ca="1">IF(OR(L$27="",$A112=""),"",OFFSET(L$59,8*(ROW(K112)-ROW(K$108)),0))</f>
        <v/>
      </c>
      <c r="M112" s="67" t="str">
        <f t="shared" si="43"/>
        <v/>
      </c>
      <c r="N112" s="65" t="str">
        <f>IF(OR($A112=""),"",M92)</f>
        <v/>
      </c>
    </row>
    <row r="113" spans="1:14" x14ac:dyDescent="0.25">
      <c r="A113" t="str">
        <f>IF(A10="","","    "&amp;A10)</f>
        <v xml:space="preserve">    Shared, Reserve</v>
      </c>
      <c r="B113" s="1"/>
      <c r="C113" s="67" t="str">
        <f ca="1">IF(OR(C$27="",$A113=""),"",OFFSET(C$59,8*(ROW(B113)-ROW(B$108)),0))</f>
        <v/>
      </c>
      <c r="D113" s="67" t="str">
        <f ca="1">IF(OR(D$27="",$A113=""),"",OFFSET(D$59,8*(ROW(C113)-ROW(C$108)),0))</f>
        <v/>
      </c>
      <c r="E113" s="67" t="str">
        <f ca="1">IF(OR(E$27="",$A113=""),"",OFFSET(E$59,8*(ROW(D113)-ROW(D$108)),0))</f>
        <v/>
      </c>
      <c r="F113" s="67" t="str">
        <f ca="1">IF(OR(F$27="",$A113=""),"",OFFSET(F$59,8*(ROW(E113)-ROW(E$108)),0))</f>
        <v/>
      </c>
      <c r="G113" s="67" t="str">
        <f ca="1">IF(OR(G$27="",$A113=""),"",OFFSET(G$59,8*(ROW(F113)-ROW(F$108)),0))</f>
        <v/>
      </c>
      <c r="H113" s="67" t="str">
        <f ca="1">IF(OR(H$27="",$A113=""),"",OFFSET(H$59,8*(ROW(G113)-ROW(G$108)),0))</f>
        <v/>
      </c>
      <c r="I113" s="67" t="str">
        <f ca="1">IF(OR(I$27="",$A113=""),"",OFFSET(I$59,8*(ROW(H113)-ROW(H$108)),0))</f>
        <v/>
      </c>
      <c r="J113" s="67" t="str">
        <f ca="1">IF(OR(J$27="",$A113=""),"",OFFSET(J$59,8*(ROW(I113)-ROW(I$108)),0))</f>
        <v/>
      </c>
      <c r="K113" s="67" t="str">
        <f ca="1">IF(OR(K$27="",$A113=""),"",OFFSET(K$59,8*(ROW(J113)-ROW(J$108)),0))</f>
        <v/>
      </c>
      <c r="L113" s="67" t="str">
        <f ca="1">IF(OR(L$27="",$A113=""),"",OFFSET(L$59,8*(ROW(K113)-ROW(K$108)),0))</f>
        <v/>
      </c>
      <c r="M113" s="67">
        <f t="shared" ca="1" si="43"/>
        <v>0</v>
      </c>
      <c r="N113" s="65">
        <f>IF(OR($A113=""),"",M100)</f>
        <v>0</v>
      </c>
    </row>
    <row r="114" spans="1:14" x14ac:dyDescent="0.25">
      <c r="A114" t="s">
        <v>145</v>
      </c>
      <c r="B114" s="1"/>
      <c r="C114" s="51" t="str">
        <f>IF(C$27&lt;&gt;"",SUM(C108:C113),"")</f>
        <v/>
      </c>
      <c r="D114" s="51" t="str">
        <f t="shared" ref="D114:L114" si="44">IF(D$27&lt;&gt;"",SUM(D108:D113),"")</f>
        <v/>
      </c>
      <c r="E114" s="115" t="str">
        <f t="shared" si="44"/>
        <v/>
      </c>
      <c r="F114" s="51" t="str">
        <f t="shared" si="44"/>
        <v/>
      </c>
      <c r="G114" s="51" t="str">
        <f t="shared" si="44"/>
        <v/>
      </c>
      <c r="H114" s="51" t="str">
        <f t="shared" si="44"/>
        <v/>
      </c>
      <c r="I114" s="51" t="str">
        <f t="shared" si="44"/>
        <v/>
      </c>
      <c r="J114" s="51" t="str">
        <f t="shared" si="44"/>
        <v/>
      </c>
      <c r="K114" s="51" t="str">
        <f t="shared" si="44"/>
        <v/>
      </c>
      <c r="L114" s="51" t="str">
        <f t="shared" si="44"/>
        <v/>
      </c>
      <c r="M114" s="34"/>
    </row>
    <row r="115" spans="1:14" x14ac:dyDescent="0.25">
      <c r="A115" s="1" t="s">
        <v>133</v>
      </c>
      <c r="B115" s="1"/>
      <c r="C115" s="54"/>
      <c r="D115" s="2"/>
      <c r="E115" s="54"/>
      <c r="F115" s="2"/>
      <c r="G115" s="2"/>
      <c r="H115" s="2"/>
      <c r="I115" s="2"/>
      <c r="J115" s="2"/>
      <c r="K115" s="2"/>
      <c r="L115" s="2"/>
    </row>
    <row r="116" spans="1:14" x14ac:dyDescent="0.25">
      <c r="A116" t="str">
        <f>IF(A5="","","    "&amp;A5&amp;" - Consumptive Use and Headwaters Losses")</f>
        <v xml:space="preserve">    Upper Basin - Consumptive Use and Headwaters Losses</v>
      </c>
      <c r="C116" s="67" t="str">
        <f ca="1">IF(OR(C$27="",$A116=""),"",OFFSET(C$63,8*(ROW(B116)-ROW(B$116)),0))</f>
        <v/>
      </c>
      <c r="D116" s="67" t="str">
        <f ca="1">IF(OR(D$27="",$A116=""),"",OFFSET(D$63,8*(ROW(C116)-ROW(C$116)),0))</f>
        <v/>
      </c>
      <c r="E116" s="67" t="str">
        <f ca="1">IF(OR(E$27="",$A116=""),"",OFFSET(E$63,8*(ROW(D116)-ROW(D$116)),0))</f>
        <v/>
      </c>
      <c r="F116" s="67" t="str">
        <f ca="1">IF(OR(F$27="",$A116=""),"",OFFSET(F$63,8*(ROW(E116)-ROW(E$116)),0))</f>
        <v/>
      </c>
      <c r="G116" s="67" t="str">
        <f ca="1">IF(OR(G$27="",$A116=""),"",OFFSET(G$63,8*(ROW(F116)-ROW(F$116)),0))</f>
        <v/>
      </c>
      <c r="H116" s="67" t="str">
        <f ca="1">IF(OR(H$27="",$A116=""),"",OFFSET(H$63,8*(ROW(G116)-ROW(G$116)),0))</f>
        <v/>
      </c>
      <c r="I116" s="67" t="str">
        <f ca="1">IF(OR(I$27="",$A116=""),"",OFFSET(I$63,8*(ROW(H116)-ROW(H$116)),0))</f>
        <v/>
      </c>
      <c r="J116" s="67" t="str">
        <f ca="1">IF(OR(J$27="",$A116=""),"",OFFSET(J$63,8*(ROW(I116)-ROW(I$116)),0))</f>
        <v/>
      </c>
      <c r="K116" s="67" t="str">
        <f ca="1">IF(OR(K$27="",$A116=""),"",OFFSET(K$63,8*(ROW(J116)-ROW(J$116)),0))</f>
        <v/>
      </c>
      <c r="L116" s="67" t="str">
        <f ca="1">IF(OR(L$27="",$A116=""),"",OFFSET(L$63,8*(ROW(K116)-ROW(K$116)),0))</f>
        <v/>
      </c>
    </row>
    <row r="117" spans="1:14" x14ac:dyDescent="0.25">
      <c r="A117" t="str">
        <f>IF(A6="","","    "&amp;A6&amp;" - Release from Mead")</f>
        <v xml:space="preserve">    Lower Basin - Release from Mead</v>
      </c>
      <c r="C117" s="67" t="str">
        <f ca="1">IF(OR(C$27="",$A117=""),"",OFFSET(C$63,8*(ROW(B117)-ROW(B$116)),0))</f>
        <v/>
      </c>
      <c r="D117" s="67" t="str">
        <f ca="1">IF(OR(D$27="",$A117=""),"",OFFSET(D$63,8*(ROW(C117)-ROW(C$116)),0))</f>
        <v/>
      </c>
      <c r="E117" s="67" t="str">
        <f ca="1">IF(OR(E$27="",$A117=""),"",OFFSET(E$63,8*(ROW(D117)-ROW(D$116)),0))</f>
        <v/>
      </c>
      <c r="F117" s="67" t="str">
        <f ca="1">IF(OR(F$27="",$A117=""),"",OFFSET(F$63,8*(ROW(E117)-ROW(E$116)),0))</f>
        <v/>
      </c>
      <c r="G117" s="67" t="str">
        <f ca="1">IF(OR(G$27="",$A117=""),"",OFFSET(G$63,8*(ROW(F117)-ROW(F$116)),0))</f>
        <v/>
      </c>
      <c r="H117" s="67" t="str">
        <f ca="1">IF(OR(H$27="",$A117=""),"",OFFSET(H$63,8*(ROW(G117)-ROW(G$116)),0))</f>
        <v/>
      </c>
      <c r="I117" s="67" t="str">
        <f ca="1">IF(OR(I$27="",$A117=""),"",OFFSET(I$63,8*(ROW(H117)-ROW(H$116)),0))</f>
        <v/>
      </c>
      <c r="J117" s="67" t="str">
        <f ca="1">IF(OR(J$27="",$A117=""),"",OFFSET(J$63,8*(ROW(I117)-ROW(I$116)),0))</f>
        <v/>
      </c>
      <c r="K117" s="67" t="str">
        <f ca="1">IF(OR(K$27="",$A117=""),"",OFFSET(K$63,8*(ROW(J117)-ROW(J$116)),0))</f>
        <v/>
      </c>
      <c r="L117" s="67" t="str">
        <f ca="1">IF(OR(L$27="",$A117=""),"",OFFSET(L$63,8*(ROW(K117)-ROW(K$116)),0))</f>
        <v/>
      </c>
    </row>
    <row r="118" spans="1:14" x14ac:dyDescent="0.25">
      <c r="A118" t="str">
        <f>IF(A7="","","    "&amp;A7&amp;" - Release from Mead")</f>
        <v xml:space="preserve">    Mexico - Release from Mead</v>
      </c>
      <c r="C118" s="67" t="str">
        <f ca="1">IF(OR(C$27="",$A118=""),"",OFFSET(C$63,8*(ROW(B118)-ROW(B$116)),0))</f>
        <v/>
      </c>
      <c r="D118" s="67" t="str">
        <f ca="1">IF(OR(D$27="",$A118=""),"",OFFSET(D$63,8*(ROW(C118)-ROW(C$116)),0))</f>
        <v/>
      </c>
      <c r="E118" s="67" t="str">
        <f ca="1">IF(OR(E$27="",$A118=""),"",OFFSET(E$63,8*(ROW(D118)-ROW(D$116)),0))</f>
        <v/>
      </c>
      <c r="F118" s="67" t="str">
        <f ca="1">IF(OR(F$27="",$A118=""),"",OFFSET(F$63,8*(ROW(E118)-ROW(E$116)),0))</f>
        <v/>
      </c>
      <c r="G118" s="67" t="str">
        <f ca="1">IF(OR(G$27="",$A118=""),"",OFFSET(G$63,8*(ROW(F118)-ROW(F$116)),0))</f>
        <v/>
      </c>
      <c r="H118" s="67" t="str">
        <f ca="1">IF(OR(H$27="",$A118=""),"",OFFSET(H$63,8*(ROW(G118)-ROW(G$116)),0))</f>
        <v/>
      </c>
      <c r="I118" s="67" t="str">
        <f ca="1">IF(OR(I$27="",$A118=""),"",OFFSET(I$63,8*(ROW(H118)-ROW(H$116)),0))</f>
        <v/>
      </c>
      <c r="J118" s="67" t="str">
        <f ca="1">IF(OR(J$27="",$A118=""),"",OFFSET(J$63,8*(ROW(I118)-ROW(I$116)),0))</f>
        <v/>
      </c>
      <c r="K118" s="67" t="str">
        <f ca="1">IF(OR(K$27="",$A118=""),"",OFFSET(K$63,8*(ROW(J118)-ROW(J$116)),0))</f>
        <v/>
      </c>
      <c r="L118" s="67" t="str">
        <f ca="1">IF(OR(L$27="",$A118=""),"",OFFSET(L$63,8*(ROW(K118)-ROW(K$116)),0))</f>
        <v/>
      </c>
    </row>
    <row r="119" spans="1:14" x14ac:dyDescent="0.25">
      <c r="A119" t="str">
        <f>IF(A8="","","    "&amp;A8&amp;" - Release from Mead")</f>
        <v xml:space="preserve">    Colorado River Delta - Release from Mead</v>
      </c>
      <c r="C119" s="67" t="str">
        <f ca="1">IF(OR(C$27="",$A119=""),"",OFFSET(C$63,8*(ROW(B119)-ROW(B$116)),0))</f>
        <v/>
      </c>
      <c r="D119" s="67" t="str">
        <f ca="1">IF(OR(D$27="",$A119=""),"",OFFSET(D$63,8*(ROW(C119)-ROW(C$116)),0))</f>
        <v/>
      </c>
      <c r="E119" s="67" t="str">
        <f ca="1">IF(OR(E$27="",$A119=""),"",OFFSET(E$63,8*(ROW(D119)-ROW(D$116)),0))</f>
        <v/>
      </c>
      <c r="F119" s="67" t="str">
        <f ca="1">IF(OR(F$27="",$A119=""),"",OFFSET(F$63,8*(ROW(E119)-ROW(E$116)),0))</f>
        <v/>
      </c>
      <c r="G119" s="67" t="str">
        <f ca="1">IF(OR(G$27="",$A119=""),"",OFFSET(G$63,8*(ROW(F119)-ROW(F$116)),0))</f>
        <v/>
      </c>
      <c r="H119" s="67" t="str">
        <f ca="1">IF(OR(H$27="",$A119=""),"",OFFSET(H$63,8*(ROW(G119)-ROW(G$116)),0))</f>
        <v/>
      </c>
      <c r="I119" s="67" t="str">
        <f ca="1">IF(OR(I$27="",$A119=""),"",OFFSET(I$63,8*(ROW(H119)-ROW(H$116)),0))</f>
        <v/>
      </c>
      <c r="J119" s="67" t="str">
        <f ca="1">IF(OR(J$27="",$A119=""),"",OFFSET(J$63,8*(ROW(I119)-ROW(I$116)),0))</f>
        <v/>
      </c>
      <c r="K119" s="67" t="str">
        <f ca="1">IF(OR(K$27="",$A119=""),"",OFFSET(K$63,8*(ROW(J119)-ROW(J$116)),0))</f>
        <v/>
      </c>
      <c r="L119" s="67" t="str">
        <f ca="1">IF(OR(L$27="",$A119=""),"",OFFSET(L$63,8*(ROW(K119)-ROW(K$116)),0))</f>
        <v/>
      </c>
    </row>
    <row r="120" spans="1:14" x14ac:dyDescent="0.25">
      <c r="A120" t="str">
        <f>IF(A9="","","    "&amp;A9&amp;" - Release from Mead")</f>
        <v/>
      </c>
      <c r="C120" s="67" t="str">
        <f ca="1">IF(OR(C$27="",$A120=""),"",OFFSET(C$63,8*(ROW(B120)-ROW(B$116)),0))</f>
        <v/>
      </c>
      <c r="D120" s="67" t="str">
        <f ca="1">IF(OR(D$27="",$A120=""),"",OFFSET(D$63,8*(ROW(C120)-ROW(C$116)),0))</f>
        <v/>
      </c>
      <c r="E120" s="67" t="str">
        <f ca="1">IF(OR(E$27="",$A120=""),"",OFFSET(E$63,8*(ROW(D120)-ROW(D$116)),0))</f>
        <v/>
      </c>
      <c r="F120" s="67" t="str">
        <f ca="1">IF(OR(F$27="",$A120=""),"",OFFSET(F$63,8*(ROW(E120)-ROW(E$116)),0))</f>
        <v/>
      </c>
      <c r="G120" s="67" t="str">
        <f ca="1">IF(OR(G$27="",$A120=""),"",OFFSET(G$63,8*(ROW(F120)-ROW(F$116)),0))</f>
        <v/>
      </c>
      <c r="H120" s="67" t="str">
        <f ca="1">IF(OR(H$27="",$A120=""),"",OFFSET(H$63,8*(ROW(G120)-ROW(G$116)),0))</f>
        <v/>
      </c>
      <c r="I120" s="67" t="str">
        <f ca="1">IF(OR(I$27="",$A120=""),"",OFFSET(I$63,8*(ROW(H120)-ROW(H$116)),0))</f>
        <v/>
      </c>
      <c r="J120" s="67" t="str">
        <f ca="1">IF(OR(J$27="",$A120=""),"",OFFSET(J$63,8*(ROW(I120)-ROW(I$116)),0))</f>
        <v/>
      </c>
      <c r="K120" s="67" t="str">
        <f ca="1">IF(OR(K$27="",$A120=""),"",OFFSET(K$63,8*(ROW(J120)-ROW(J$116)),0))</f>
        <v/>
      </c>
      <c r="L120" s="67" t="str">
        <f ca="1">IF(OR(L$27="",$A120=""),"",OFFSET(L$63,8*(ROW(K120)-ROW(K$116)),0))</f>
        <v/>
      </c>
    </row>
    <row r="121" spans="1:14" x14ac:dyDescent="0.25">
      <c r="A121" t="str">
        <f>IF(A10="","","    "&amp;A10&amp;" - Release from Mead")</f>
        <v xml:space="preserve">    Shared, Reserve - Release from Mead</v>
      </c>
      <c r="C121" s="67" t="str">
        <f ca="1">IF(OR(C$27="",$A121=""),"",OFFSET(C$63,8*(ROW(B121)-ROW(B$116)),0))</f>
        <v/>
      </c>
      <c r="D121" s="67" t="str">
        <f ca="1">IF(OR(D$27="",$A121=""),"",OFFSET(D$63,8*(ROW(C121)-ROW(C$116)),0))</f>
        <v/>
      </c>
      <c r="E121" s="67" t="str">
        <f ca="1">IF(OR(E$27="",$A121=""),"",OFFSET(E$63,8*(ROW(D121)-ROW(D$116)),0))</f>
        <v/>
      </c>
      <c r="F121" s="67" t="str">
        <f ca="1">IF(OR(F$27="",$A121=""),"",OFFSET(F$63,8*(ROW(E121)-ROW(E$116)),0))</f>
        <v/>
      </c>
      <c r="G121" s="67" t="str">
        <f ca="1">IF(OR(G$27="",$A121=""),"",OFFSET(G$63,8*(ROW(F121)-ROW(F$116)),0))</f>
        <v/>
      </c>
      <c r="H121" s="67" t="str">
        <f ca="1">IF(OR(H$27="",$A121=""),"",OFFSET(H$63,8*(ROW(G121)-ROW(G$116)),0))</f>
        <v/>
      </c>
      <c r="I121" s="67" t="str">
        <f ca="1">IF(OR(I$27="",$A121=""),"",OFFSET(I$63,8*(ROW(H121)-ROW(H$116)),0))</f>
        <v/>
      </c>
      <c r="J121" s="67" t="str">
        <f ca="1">IF(OR(J$27="",$A121=""),"",OFFSET(J$63,8*(ROW(I121)-ROW(I$116)),0))</f>
        <v/>
      </c>
      <c r="K121" s="67" t="str">
        <f ca="1">IF(OR(K$27="",$A121=""),"",OFFSET(K$63,8*(ROW(J121)-ROW(J$116)),0))</f>
        <v/>
      </c>
      <c r="L121" s="67" t="str">
        <f ca="1">IF(OR(L$27="",$A121=""),"",OFFSET(L$63,8*(ROW(K121)-ROW(K$116)),0))</f>
        <v/>
      </c>
    </row>
    <row r="122" spans="1:14" x14ac:dyDescent="0.25">
      <c r="A122" s="1" t="s">
        <v>138</v>
      </c>
      <c r="B122" s="1"/>
      <c r="D122" s="2"/>
      <c r="E122" s="2"/>
      <c r="F122" s="2"/>
      <c r="G122" s="2"/>
      <c r="H122" s="2"/>
      <c r="I122" s="2"/>
      <c r="J122" s="2"/>
      <c r="K122" s="2"/>
      <c r="L122" s="2"/>
    </row>
    <row r="123" spans="1:14" x14ac:dyDescent="0.25">
      <c r="A123" t="str">
        <f>IF(A5="","","    "&amp;A5)</f>
        <v xml:space="preserve">    Upper Basin</v>
      </c>
      <c r="C123" s="67" t="str">
        <f ca="1">IF(OR(C$27="",$A123=""),"",OFFSET(C$64,8*(ROW(B123)-ROW(B$123)),0))</f>
        <v/>
      </c>
      <c r="D123" s="67" t="str">
        <f ca="1">IF(OR(D$27="",$A123=""),"",OFFSET(D$64,8*(ROW(C123)-ROW(C$123)),0))</f>
        <v/>
      </c>
      <c r="E123" s="67" t="str">
        <f ca="1">IF(OR(E$27="",$A123=""),"",OFFSET(E$64,8*(ROW(D123)-ROW(D$123)),0))</f>
        <v/>
      </c>
      <c r="F123" s="67" t="str">
        <f ca="1">IF(OR(F$27="",$A123=""),"",OFFSET(F$64,8*(ROW(E123)-ROW(E$123)),0))</f>
        <v/>
      </c>
      <c r="G123" s="67" t="str">
        <f ca="1">IF(OR(G$27="",$A123=""),"",OFFSET(G$64,8*(ROW(F123)-ROW(F$123)),0))</f>
        <v/>
      </c>
      <c r="H123" s="67" t="str">
        <f ca="1">IF(OR(H$27="",$A123=""),"",OFFSET(H$64,8*(ROW(G123)-ROW(G$123)),0))</f>
        <v/>
      </c>
      <c r="I123" s="67" t="str">
        <f ca="1">IF(OR(I$27="",$A123=""),"",OFFSET(I$64,8*(ROW(H123)-ROW(H$123)),0))</f>
        <v/>
      </c>
      <c r="J123" s="67" t="str">
        <f ca="1">IF(OR(J$27="",$A123=""),"",OFFSET(J$64,8*(ROW(I123)-ROW(I$123)),0))</f>
        <v/>
      </c>
      <c r="K123" s="67" t="str">
        <f ca="1">IF(OR(K$27="",$A123=""),"",OFFSET(K$64,8*(ROW(J123)-ROW(J$123)),0))</f>
        <v/>
      </c>
      <c r="L123" s="67" t="str">
        <f ca="1">IF(OR(L$27="",$A123=""),"",OFFSET(L$64,8*(ROW(K123)-ROW(K$123)),0))</f>
        <v/>
      </c>
    </row>
    <row r="124" spans="1:14" x14ac:dyDescent="0.25">
      <c r="A124" t="str">
        <f>IF(A6="","","    "&amp;A6)</f>
        <v xml:space="preserve">    Lower Basin</v>
      </c>
      <c r="C124" s="67" t="str">
        <f ca="1">IF(OR(C$27="",$A124=""),"",OFFSET(C$64,8*(ROW(B124)-ROW(B$123)),0))</f>
        <v/>
      </c>
      <c r="D124" s="67" t="str">
        <f ca="1">IF(OR(D$27="",$A124=""),"",OFFSET(D$64,8*(ROW(C124)-ROW(C$123)),0))</f>
        <v/>
      </c>
      <c r="E124" s="67" t="str">
        <f ca="1">IF(OR(E$27="",$A124=""),"",OFFSET(E$64,8*(ROW(D124)-ROW(D$123)),0))</f>
        <v/>
      </c>
      <c r="F124" s="67" t="str">
        <f ca="1">IF(OR(F$27="",$A124=""),"",OFFSET(F$64,8*(ROW(E124)-ROW(E$123)),0))</f>
        <v/>
      </c>
      <c r="G124" s="67" t="str">
        <f ca="1">IF(OR(G$27="",$A124=""),"",OFFSET(G$64,8*(ROW(F124)-ROW(F$123)),0))</f>
        <v/>
      </c>
      <c r="H124" s="67" t="str">
        <f ca="1">IF(OR(H$27="",$A124=""),"",OFFSET(H$64,8*(ROW(G124)-ROW(G$123)),0))</f>
        <v/>
      </c>
      <c r="I124" s="67" t="str">
        <f ca="1">IF(OR(I$27="",$A124=""),"",OFFSET(I$64,8*(ROW(H124)-ROW(H$123)),0))</f>
        <v/>
      </c>
      <c r="J124" s="67" t="str">
        <f ca="1">IF(OR(J$27="",$A124=""),"",OFFSET(J$64,8*(ROW(I124)-ROW(I$123)),0))</f>
        <v/>
      </c>
      <c r="K124" s="67" t="str">
        <f ca="1">IF(OR(K$27="",$A124=""),"",OFFSET(K$64,8*(ROW(J124)-ROW(J$123)),0))</f>
        <v/>
      </c>
      <c r="L124" s="67" t="str">
        <f ca="1">IF(OR(L$27="",$A124=""),"",OFFSET(L$64,8*(ROW(K124)-ROW(K$123)),0))</f>
        <v/>
      </c>
    </row>
    <row r="125" spans="1:14" x14ac:dyDescent="0.25">
      <c r="A125" t="str">
        <f>IF(A7="","","    "&amp;A7)</f>
        <v xml:space="preserve">    Mexico</v>
      </c>
      <c r="C125" s="67" t="str">
        <f ca="1">IF(OR(C$27="",$A125=""),"",OFFSET(C$64,8*(ROW(B125)-ROW(B$123)),0))</f>
        <v/>
      </c>
      <c r="D125" s="67" t="str">
        <f ca="1">IF(OR(D$27="",$A125=""),"",OFFSET(D$64,8*(ROW(C125)-ROW(C$123)),0))</f>
        <v/>
      </c>
      <c r="E125" s="67" t="str">
        <f ca="1">IF(OR(E$27="",$A125=""),"",OFFSET(E$64,8*(ROW(D125)-ROW(D$123)),0))</f>
        <v/>
      </c>
      <c r="F125" s="67" t="str">
        <f ca="1">IF(OR(F$27="",$A125=""),"",OFFSET(F$64,8*(ROW(E125)-ROW(E$123)),0))</f>
        <v/>
      </c>
      <c r="G125" s="67" t="str">
        <f ca="1">IF(OR(G$27="",$A125=""),"",OFFSET(G$64,8*(ROW(F125)-ROW(F$123)),0))</f>
        <v/>
      </c>
      <c r="H125" s="67" t="str">
        <f ca="1">IF(OR(H$27="",$A125=""),"",OFFSET(H$64,8*(ROW(G125)-ROW(G$123)),0))</f>
        <v/>
      </c>
      <c r="I125" s="67" t="str">
        <f ca="1">IF(OR(I$27="",$A125=""),"",OFFSET(I$64,8*(ROW(H125)-ROW(H$123)),0))</f>
        <v/>
      </c>
      <c r="J125" s="67" t="str">
        <f ca="1">IF(OR(J$27="",$A125=""),"",OFFSET(J$64,8*(ROW(I125)-ROW(I$123)),0))</f>
        <v/>
      </c>
      <c r="K125" s="67" t="str">
        <f ca="1">IF(OR(K$27="",$A125=""),"",OFFSET(K$64,8*(ROW(J125)-ROW(J$123)),0))</f>
        <v/>
      </c>
      <c r="L125" s="67" t="str">
        <f ca="1">IF(OR(L$27="",$A125=""),"",OFFSET(L$64,8*(ROW(K125)-ROW(K$123)),0))</f>
        <v/>
      </c>
    </row>
    <row r="126" spans="1:14" x14ac:dyDescent="0.25">
      <c r="A126" t="str">
        <f>IF(A8="","","    "&amp;A8)</f>
        <v xml:space="preserve">    Colorado River Delta</v>
      </c>
      <c r="C126" s="67" t="str">
        <f ca="1">IF(OR(C$27="",$A126=""),"",OFFSET(C$64,8*(ROW(B126)-ROW(B$123)),0))</f>
        <v/>
      </c>
      <c r="D126" s="67" t="str">
        <f ca="1">IF(OR(D$27="",$A126=""),"",OFFSET(D$64,8*(ROW(C126)-ROW(C$123)),0))</f>
        <v/>
      </c>
      <c r="E126" s="67" t="str">
        <f ca="1">IF(OR(E$27="",$A126=""),"",OFFSET(E$64,8*(ROW(D126)-ROW(D$123)),0))</f>
        <v/>
      </c>
      <c r="F126" s="67" t="str">
        <f ca="1">IF(OR(F$27="",$A126=""),"",OFFSET(F$64,8*(ROW(E126)-ROW(E$123)),0))</f>
        <v/>
      </c>
      <c r="G126" s="67" t="str">
        <f ca="1">IF(OR(G$27="",$A126=""),"",OFFSET(G$64,8*(ROW(F126)-ROW(F$123)),0))</f>
        <v/>
      </c>
      <c r="H126" s="67" t="str">
        <f ca="1">IF(OR(H$27="",$A126=""),"",OFFSET(H$64,8*(ROW(G126)-ROW(G$123)),0))</f>
        <v/>
      </c>
      <c r="I126" s="67" t="str">
        <f ca="1">IF(OR(I$27="",$A126=""),"",OFFSET(I$64,8*(ROW(H126)-ROW(H$123)),0))</f>
        <v/>
      </c>
      <c r="J126" s="67" t="str">
        <f ca="1">IF(OR(J$27="",$A126=""),"",OFFSET(J$64,8*(ROW(I126)-ROW(I$123)),0))</f>
        <v/>
      </c>
      <c r="K126" s="67" t="str">
        <f ca="1">IF(OR(K$27="",$A126=""),"",OFFSET(K$64,8*(ROW(J126)-ROW(J$123)),0))</f>
        <v/>
      </c>
      <c r="L126" s="67" t="str">
        <f ca="1">IF(OR(L$27="",$A126=""),"",OFFSET(L$64,8*(ROW(K126)-ROW(K$123)),0))</f>
        <v/>
      </c>
    </row>
    <row r="127" spans="1:14" x14ac:dyDescent="0.25">
      <c r="A127" t="str">
        <f>IF(A9="","","    "&amp;A9)</f>
        <v/>
      </c>
      <c r="C127" s="67" t="str">
        <f ca="1">IF(OR(C$27="",$A127=""),"",OFFSET(C$64,8*(ROW(B127)-ROW(B$123)),0))</f>
        <v/>
      </c>
      <c r="D127" s="67" t="str">
        <f ca="1">IF(OR(D$27="",$A127=""),"",OFFSET(D$64,8*(ROW(C127)-ROW(C$123)),0))</f>
        <v/>
      </c>
      <c r="E127" s="67" t="str">
        <f ca="1">IF(OR(E$27="",$A127=""),"",OFFSET(E$64,8*(ROW(D127)-ROW(D$123)),0))</f>
        <v/>
      </c>
      <c r="F127" s="67" t="str">
        <f ca="1">IF(OR(F$27="",$A127=""),"",OFFSET(F$64,8*(ROW(E127)-ROW(E$123)),0))</f>
        <v/>
      </c>
      <c r="G127" s="67" t="str">
        <f ca="1">IF(OR(G$27="",$A127=""),"",OFFSET(G$64,8*(ROW(F127)-ROW(F$123)),0))</f>
        <v/>
      </c>
      <c r="H127" s="67" t="str">
        <f ca="1">IF(OR(H$27="",$A127=""),"",OFFSET(H$64,8*(ROW(G127)-ROW(G$123)),0))</f>
        <v/>
      </c>
      <c r="I127" s="67" t="str">
        <f ca="1">IF(OR(I$27="",$A127=""),"",OFFSET(I$64,8*(ROW(H127)-ROW(H$123)),0))</f>
        <v/>
      </c>
      <c r="J127" s="67" t="str">
        <f ca="1">IF(OR(J$27="",$A127=""),"",OFFSET(J$64,8*(ROW(I127)-ROW(I$123)),0))</f>
        <v/>
      </c>
      <c r="K127" s="67" t="str">
        <f ca="1">IF(OR(K$27="",$A127=""),"",OFFSET(K$64,8*(ROW(J127)-ROW(J$123)),0))</f>
        <v/>
      </c>
      <c r="L127" s="67" t="str">
        <f ca="1">IF(OR(L$27="",$A127=""),"",OFFSET(L$64,8*(ROW(K127)-ROW(K$123)),0))</f>
        <v/>
      </c>
    </row>
    <row r="128" spans="1:14" x14ac:dyDescent="0.25">
      <c r="A128" t="str">
        <f>IF(A10="","","    "&amp;A10)</f>
        <v xml:space="preserve">    Shared, Reserve</v>
      </c>
      <c r="C128" s="67" t="str">
        <f ca="1">IF(OR(C$27="",$A128=""),"",OFFSET(C$64,8*(ROW(B128)-ROW(B$123)),0))</f>
        <v/>
      </c>
      <c r="D128" s="67" t="str">
        <f ca="1">IF(OR(D$27="",$A128=""),"",OFFSET(D$64,8*(ROW(C128)-ROW(C$123)),0))</f>
        <v/>
      </c>
      <c r="E128" s="67" t="str">
        <f ca="1">IF(OR(E$27="",$A128=""),"",OFFSET(E$64,8*(ROW(D128)-ROW(D$123)),0))</f>
        <v/>
      </c>
      <c r="F128" s="67" t="str">
        <f ca="1">IF(OR(F$27="",$A128=""),"",OFFSET(F$64,8*(ROW(E128)-ROW(E$123)),0))</f>
        <v/>
      </c>
      <c r="G128" s="67" t="str">
        <f ca="1">IF(OR(G$27="",$A128=""),"",OFFSET(G$64,8*(ROW(F128)-ROW(F$123)),0))</f>
        <v/>
      </c>
      <c r="H128" s="67" t="str">
        <f ca="1">IF(OR(H$27="",$A128=""),"",OFFSET(H$64,8*(ROW(G128)-ROW(G$123)),0))</f>
        <v/>
      </c>
      <c r="I128" s="67" t="str">
        <f ca="1">IF(OR(I$27="",$A128=""),"",OFFSET(I$64,8*(ROW(H128)-ROW(H$123)),0))</f>
        <v/>
      </c>
      <c r="J128" s="67" t="str">
        <f ca="1">IF(OR(J$27="",$A128=""),"",OFFSET(J$64,8*(ROW(I128)-ROW(I$123)),0))</f>
        <v/>
      </c>
      <c r="K128" s="67" t="str">
        <f ca="1">IF(OR(K$27="",$A128=""),"",OFFSET(K$64,8*(ROW(J128)-ROW(J$123)),0))</f>
        <v/>
      </c>
      <c r="L128" s="67" t="str">
        <f ca="1">IF(OR(L$27="",$A128=""),"",OFFSET(L$64,8*(ROW(K128)-ROW(K$123)),0))</f>
        <v/>
      </c>
    </row>
    <row r="129" spans="1:14" x14ac:dyDescent="0.25">
      <c r="A129" s="1" t="s">
        <v>122</v>
      </c>
      <c r="B129" s="1"/>
      <c r="C129" s="14" t="str">
        <f>IF(C$27&lt;&gt;"",SUM(C123:C128),"")</f>
        <v/>
      </c>
      <c r="D129" s="14" t="str">
        <f t="shared" ref="D129:L129" si="45">IF(D$27&lt;&gt;"",SUM(D123:D128),"")</f>
        <v/>
      </c>
      <c r="E129" s="14" t="str">
        <f t="shared" si="45"/>
        <v/>
      </c>
      <c r="F129" s="14" t="str">
        <f t="shared" si="45"/>
        <v/>
      </c>
      <c r="G129" s="14" t="str">
        <f t="shared" si="45"/>
        <v/>
      </c>
      <c r="H129" s="14" t="str">
        <f t="shared" si="45"/>
        <v/>
      </c>
      <c r="I129" s="14" t="str">
        <f t="shared" si="45"/>
        <v/>
      </c>
      <c r="J129" s="14" t="str">
        <f t="shared" si="45"/>
        <v/>
      </c>
      <c r="K129" s="14" t="str">
        <f t="shared" si="45"/>
        <v/>
      </c>
      <c r="L129" s="14" t="str">
        <f t="shared" si="45"/>
        <v/>
      </c>
    </row>
    <row r="130" spans="1:14" x14ac:dyDescent="0.25">
      <c r="A130" s="1" t="s">
        <v>196</v>
      </c>
      <c r="B130" s="1"/>
      <c r="C130" s="68">
        <v>0.5</v>
      </c>
      <c r="D130" s="68">
        <v>0.5</v>
      </c>
      <c r="E130" s="68">
        <v>0.5</v>
      </c>
      <c r="F130" s="68">
        <v>0.5</v>
      </c>
      <c r="G130" s="68">
        <v>0.5</v>
      </c>
      <c r="H130" s="68"/>
      <c r="I130" s="68"/>
      <c r="J130" s="68"/>
      <c r="K130" s="68"/>
      <c r="L130" s="68"/>
    </row>
    <row r="131" spans="1:14" x14ac:dyDescent="0.25">
      <c r="A131" s="1" t="s">
        <v>192</v>
      </c>
      <c r="B131" s="1"/>
      <c r="C131" s="14" t="str">
        <f>IF(C27="","",C$130*C$129)</f>
        <v/>
      </c>
      <c r="D131" s="14" t="str">
        <f>IF(D27="","",D$130*D$129)</f>
        <v/>
      </c>
      <c r="E131" s="14" t="str">
        <f>IF(E27="","",E$130*E$129)</f>
        <v/>
      </c>
      <c r="F131" s="14" t="str">
        <f>IF(F27="","",F$130*F$129)</f>
        <v/>
      </c>
      <c r="G131" s="14" t="str">
        <f>IF(G27="","",G$130*G$129)</f>
        <v/>
      </c>
      <c r="H131" s="14" t="str">
        <f>IF(H27="","",H$130*H$129)</f>
        <v/>
      </c>
      <c r="I131" s="14" t="str">
        <f>IF(I27="","",I$130*I$129)</f>
        <v/>
      </c>
      <c r="J131" s="14" t="str">
        <f>IF(J27="","",J$130*J$129)</f>
        <v/>
      </c>
      <c r="K131" s="14" t="str">
        <f>IF(K27="","",K$130*K$129)</f>
        <v/>
      </c>
      <c r="L131" s="14" t="str">
        <f>IF(L27="","",L$130*L$129)</f>
        <v/>
      </c>
    </row>
    <row r="132" spans="1:14" x14ac:dyDescent="0.25">
      <c r="A132" s="1" t="s">
        <v>193</v>
      </c>
      <c r="B132" s="1"/>
      <c r="C132" s="14" t="str">
        <f>IF(C28="","",(1-C$130)*C$129)</f>
        <v/>
      </c>
      <c r="D132" s="14" t="str">
        <f>IF(D28="","",(1-D$130)*D$129)</f>
        <v/>
      </c>
      <c r="E132" s="14" t="str">
        <f>IF(E28="","",(1-E$130)*E$129)</f>
        <v/>
      </c>
      <c r="F132" s="14" t="str">
        <f>IF(F28="","",(1-F$130)*F$129)</f>
        <v/>
      </c>
      <c r="G132" s="14" t="str">
        <f>IF(G28="","",(1-G$130)*G$129)</f>
        <v/>
      </c>
      <c r="H132" s="14" t="str">
        <f>IF(H28="","",(1-H$130)*H$129)</f>
        <v/>
      </c>
      <c r="I132" s="14" t="str">
        <f>IF(I28="","",(1-I$130)*I$129)</f>
        <v/>
      </c>
      <c r="J132" s="14" t="str">
        <f>IF(J28="","",(1-J$130)*J$129)</f>
        <v/>
      </c>
      <c r="K132" s="14" t="str">
        <f>IF(K28="","",(1-K$130)*K$129)</f>
        <v/>
      </c>
      <c r="L132" s="14" t="str">
        <f>IF(L28="","",(1-L$130)*L$129)</f>
        <v/>
      </c>
    </row>
    <row r="133" spans="1:14" x14ac:dyDescent="0.25">
      <c r="A133" s="32" t="s">
        <v>266</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25">
      <c r="A134" s="32" t="s">
        <v>267</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25">
      <c r="A135" s="1" t="s">
        <v>279</v>
      </c>
      <c r="B135" s="1"/>
    </row>
    <row r="136" spans="1:14" x14ac:dyDescent="0.25">
      <c r="A136" s="32" t="s">
        <v>280</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25">
      <c r="A137" s="32" t="s">
        <v>294</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285</v>
      </c>
    </row>
    <row r="138" spans="1:14" s="85" customFormat="1" ht="62.45" customHeight="1" x14ac:dyDescent="0.25">
      <c r="A138" s="117" t="s">
        <v>295</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 customHeight="1" x14ac:dyDescent="0.25">
      <c r="A139" s="117" t="s">
        <v>301</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25">
      <c r="C140" s="29"/>
    </row>
    <row r="141" spans="1:14" x14ac:dyDescent="0.25">
      <c r="A141" s="1" t="s">
        <v>124</v>
      </c>
      <c r="C141" s="136" t="str">
        <f>IF(C$27&lt;&gt;"",0.2,"")</f>
        <v/>
      </c>
      <c r="D141" s="136" t="str">
        <f t="shared" ref="D141:L141" si="46">IF(D$27&lt;&gt;"",0.2,"")</f>
        <v/>
      </c>
      <c r="E141" s="136" t="str">
        <f t="shared" si="46"/>
        <v/>
      </c>
      <c r="F141" s="136" t="str">
        <f t="shared" si="46"/>
        <v/>
      </c>
      <c r="G141" s="136" t="str">
        <f t="shared" si="46"/>
        <v/>
      </c>
      <c r="H141" s="136" t="str">
        <f t="shared" si="46"/>
        <v/>
      </c>
      <c r="I141" s="136" t="str">
        <f t="shared" si="46"/>
        <v/>
      </c>
      <c r="J141" s="136" t="str">
        <f t="shared" si="46"/>
        <v/>
      </c>
      <c r="K141" s="136" t="str">
        <f t="shared" si="46"/>
        <v/>
      </c>
      <c r="L141" s="136" t="str">
        <f t="shared" si="46"/>
        <v/>
      </c>
    </row>
    <row r="142" spans="1:14" x14ac:dyDescent="0.25">
      <c r="A142" t="s">
        <v>125</v>
      </c>
      <c r="C142" s="14" t="str">
        <f t="shared" ref="C142:L142" si="47">IF(C$27&lt;&gt;"",C117+C141,"")</f>
        <v/>
      </c>
      <c r="D142" s="14" t="str">
        <f t="shared" si="47"/>
        <v/>
      </c>
      <c r="E142" s="14" t="str">
        <f t="shared" si="47"/>
        <v/>
      </c>
      <c r="F142" s="14" t="str">
        <f t="shared" si="47"/>
        <v/>
      </c>
      <c r="G142" s="14" t="str">
        <f t="shared" si="47"/>
        <v/>
      </c>
      <c r="H142" s="14" t="str">
        <f t="shared" si="47"/>
        <v/>
      </c>
      <c r="I142" s="14" t="str">
        <f t="shared" si="47"/>
        <v/>
      </c>
      <c r="J142" s="14" t="str">
        <f t="shared" si="47"/>
        <v/>
      </c>
      <c r="K142" s="14" t="str">
        <f t="shared" si="47"/>
        <v/>
      </c>
      <c r="L142" s="14" t="str">
        <f t="shared" si="47"/>
        <v/>
      </c>
    </row>
    <row r="144" spans="1:14" x14ac:dyDescent="0.25">
      <c r="D144"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103">
    <cfRule type="cellIs" dxfId="264" priority="25" operator="greaterThan">
      <formula>$C$102</formula>
    </cfRule>
  </conditionalFormatting>
  <conditionalFormatting sqref="D103">
    <cfRule type="cellIs" dxfId="263" priority="24" operator="greaterThan">
      <formula>$D$102</formula>
    </cfRule>
  </conditionalFormatting>
  <conditionalFormatting sqref="E103">
    <cfRule type="cellIs" dxfId="262" priority="23" operator="greaterThan">
      <formula>$E$102</formula>
    </cfRule>
  </conditionalFormatting>
  <conditionalFormatting sqref="F103">
    <cfRule type="cellIs" dxfId="261" priority="22" operator="greaterThan">
      <formula>$F$102</formula>
    </cfRule>
  </conditionalFormatting>
  <conditionalFormatting sqref="G103">
    <cfRule type="cellIs" dxfId="260" priority="21" operator="greaterThan">
      <formula>$G$102</formula>
    </cfRule>
  </conditionalFormatting>
  <conditionalFormatting sqref="H103">
    <cfRule type="cellIs" dxfId="259" priority="20" operator="greaterThan">
      <formula>$H$102</formula>
    </cfRule>
  </conditionalFormatting>
  <conditionalFormatting sqref="I103">
    <cfRule type="cellIs" dxfId="258" priority="19" operator="greaterThan">
      <formula>$I$102</formula>
    </cfRule>
  </conditionalFormatting>
  <conditionalFormatting sqref="J103">
    <cfRule type="cellIs" dxfId="257" priority="18" operator="greaterThan">
      <formula>$J$102</formula>
    </cfRule>
  </conditionalFormatting>
  <conditionalFormatting sqref="K103">
    <cfRule type="cellIs" dxfId="256" priority="17" operator="greaterThan">
      <formula>$K$102</formula>
    </cfRule>
  </conditionalFormatting>
  <conditionalFormatting sqref="L103">
    <cfRule type="cellIs" dxfId="255" priority="16" operator="greaterThan">
      <formula>$L$102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C139:L139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5" x14ac:dyDescent="0.25"/>
  <sheetData>
    <row r="1" spans="7:24" ht="36" x14ac:dyDescent="0.55000000000000004">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64"/>
      <c r="I3" s="64"/>
      <c r="J3" s="64"/>
      <c r="K3" s="64"/>
    </row>
    <row r="4" spans="1:13" x14ac:dyDescent="0.25">
      <c r="A4" s="53" t="s">
        <v>38</v>
      </c>
      <c r="B4" s="53" t="s">
        <v>42</v>
      </c>
      <c r="C4" s="178" t="s">
        <v>43</v>
      </c>
      <c r="D4" s="179"/>
      <c r="E4" s="179"/>
      <c r="F4" s="179"/>
      <c r="G4" s="180"/>
      <c r="M4" s="1" t="s">
        <v>305</v>
      </c>
    </row>
    <row r="5" spans="1:13" x14ac:dyDescent="0.25">
      <c r="A5" s="129" t="s">
        <v>39</v>
      </c>
      <c r="B5" s="129" t="s">
        <v>152</v>
      </c>
      <c r="C5" s="181" t="s">
        <v>308</v>
      </c>
      <c r="D5" s="182"/>
      <c r="E5" s="182"/>
      <c r="F5" s="182"/>
      <c r="G5" s="182"/>
      <c r="M5" t="s">
        <v>306</v>
      </c>
    </row>
    <row r="6" spans="1:13" x14ac:dyDescent="0.25">
      <c r="A6" s="129" t="s">
        <v>40</v>
      </c>
      <c r="B6" s="129" t="s">
        <v>152</v>
      </c>
      <c r="C6" s="181" t="s">
        <v>309</v>
      </c>
      <c r="D6" s="182"/>
      <c r="E6" s="182"/>
      <c r="F6" s="182"/>
      <c r="G6" s="182"/>
      <c r="M6" t="s">
        <v>311</v>
      </c>
    </row>
    <row r="7" spans="1:13" x14ac:dyDescent="0.25">
      <c r="A7" s="129" t="s">
        <v>41</v>
      </c>
      <c r="B7" s="129" t="s">
        <v>152</v>
      </c>
      <c r="C7" s="181" t="s">
        <v>310</v>
      </c>
      <c r="D7" s="182"/>
      <c r="E7" s="182"/>
      <c r="F7" s="182"/>
      <c r="G7" s="182"/>
      <c r="M7" t="s">
        <v>312</v>
      </c>
    </row>
    <row r="8" spans="1:13" x14ac:dyDescent="0.25">
      <c r="A8" s="107" t="s">
        <v>156</v>
      </c>
      <c r="B8" s="107" t="s">
        <v>152</v>
      </c>
      <c r="C8" s="176" t="s">
        <v>307</v>
      </c>
      <c r="D8" s="176"/>
      <c r="E8" s="176"/>
      <c r="F8" s="176"/>
      <c r="G8" s="176"/>
    </row>
    <row r="9" spans="1:13" x14ac:dyDescent="0.25">
      <c r="A9" s="129"/>
      <c r="B9" s="129"/>
      <c r="C9" s="184"/>
      <c r="D9" s="184"/>
      <c r="E9" s="184"/>
      <c r="F9" s="184"/>
      <c r="G9" s="184"/>
    </row>
    <row r="10" spans="1:13" x14ac:dyDescent="0.25">
      <c r="A10" s="129"/>
      <c r="B10" s="129"/>
      <c r="C10" s="184"/>
      <c r="D10" s="184"/>
      <c r="E10" s="184"/>
      <c r="F10" s="184"/>
      <c r="G10" s="184"/>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t="s">
        <v>153</v>
      </c>
      <c r="E17" s="183"/>
      <c r="F17" s="183"/>
      <c r="G17" s="183"/>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11</v>
      </c>
      <c r="D26" s="137">
        <v>9</v>
      </c>
      <c r="E26" s="137">
        <v>8.1</v>
      </c>
      <c r="F26" s="137">
        <v>8.1</v>
      </c>
      <c r="G26" s="137">
        <v>8.1</v>
      </c>
      <c r="H26" s="137"/>
      <c r="I26" s="137"/>
      <c r="J26" s="137"/>
      <c r="K26" s="137"/>
      <c r="L26" s="137"/>
    </row>
    <row r="27" spans="1:14" x14ac:dyDescent="0.2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25">
      <c r="A28" s="1" t="s">
        <v>289</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2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2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2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2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2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195</v>
      </c>
      <c r="C36"/>
    </row>
    <row r="37" spans="1:14" x14ac:dyDescent="0.2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253</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25">
      <c r="A47" s="1" t="s">
        <v>290</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2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2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2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2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25">
      <c r="A52" t="str">
        <f t="shared" si="27"/>
        <v/>
      </c>
      <c r="B52" s="135"/>
      <c r="C52" s="108"/>
      <c r="D52" s="14"/>
      <c r="E52" s="14"/>
      <c r="F52" s="14"/>
      <c r="G52" s="14"/>
      <c r="H52" s="14"/>
      <c r="I52" s="14"/>
      <c r="J52" s="14"/>
      <c r="K52" s="14"/>
      <c r="L52" s="14"/>
      <c r="M52" s="29"/>
      <c r="N52" s="29"/>
    </row>
    <row r="53" spans="1:14" x14ac:dyDescent="0.25">
      <c r="A53" t="str">
        <f t="shared" si="27"/>
        <v/>
      </c>
      <c r="B53" s="135"/>
      <c r="C53" s="109"/>
      <c r="D53" s="52"/>
      <c r="E53" s="52"/>
      <c r="F53" s="52"/>
      <c r="G53" s="52"/>
      <c r="H53" s="52"/>
      <c r="I53" s="52"/>
      <c r="J53" s="52"/>
      <c r="K53" s="52"/>
      <c r="L53" s="52"/>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2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2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2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2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2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2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2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2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2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2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2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32"/>
      <c r="D93" s="132"/>
      <c r="E93" s="132"/>
      <c r="F93" s="132"/>
      <c r="G93" s="132"/>
      <c r="H93" s="132"/>
      <c r="I93" s="132"/>
      <c r="J93" s="132"/>
      <c r="K93" s="132"/>
      <c r="L93" s="132"/>
      <c r="N93" t="str">
        <f t="shared" si="65"/>
        <v/>
      </c>
    </row>
    <row r="94" spans="1:14" x14ac:dyDescent="0.2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2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32"/>
      <c r="D101" s="132"/>
      <c r="E101" s="132"/>
      <c r="F101" s="132"/>
      <c r="G101" s="132"/>
      <c r="H101" s="132"/>
      <c r="I101" s="132"/>
      <c r="J101" s="132"/>
      <c r="K101" s="132"/>
      <c r="L101" s="132"/>
      <c r="N101" t="str">
        <f t="shared" si="77"/>
        <v/>
      </c>
    </row>
    <row r="102" spans="1:14" x14ac:dyDescent="0.2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2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2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2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2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2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2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2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2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2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2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2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25">
      <c r="A120" s="1" t="s">
        <v>138</v>
      </c>
      <c r="B120" s="1"/>
      <c r="D120" s="2"/>
      <c r="E120" s="2"/>
      <c r="F120" s="2"/>
      <c r="G120" s="2"/>
      <c r="H120" s="2"/>
      <c r="I120" s="2"/>
      <c r="J120" s="2"/>
      <c r="K120" s="2"/>
      <c r="L120" s="2"/>
    </row>
    <row r="121" spans="1:12" x14ac:dyDescent="0.2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2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2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2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2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2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2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196</v>
      </c>
      <c r="B128" s="1"/>
      <c r="C128" s="68">
        <v>0.5</v>
      </c>
      <c r="D128" s="68">
        <v>0.65</v>
      </c>
      <c r="E128" s="68">
        <v>0.9</v>
      </c>
      <c r="F128" s="68">
        <v>0.5</v>
      </c>
      <c r="G128" s="68">
        <v>0.5</v>
      </c>
      <c r="H128" s="68"/>
      <c r="I128" s="68"/>
      <c r="J128" s="68"/>
      <c r="K128" s="68"/>
      <c r="L128" s="68"/>
    </row>
    <row r="129" spans="1:14" x14ac:dyDescent="0.2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2" t="s">
        <v>266</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25">
      <c r="A132" s="32" t="s">
        <v>267</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25">
      <c r="A133" s="1" t="s">
        <v>279</v>
      </c>
      <c r="B133" s="1"/>
    </row>
    <row r="134" spans="1:14" x14ac:dyDescent="0.25">
      <c r="A134" s="32" t="s">
        <v>280</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2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45" customHeight="1" x14ac:dyDescent="0.2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 customHeight="1" x14ac:dyDescent="0.2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25">
      <c r="C138" s="29"/>
    </row>
    <row r="139" spans="1:14" x14ac:dyDescent="0.2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2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14"/>
      <c r="I3" s="114"/>
      <c r="J3" s="114"/>
      <c r="K3" s="114"/>
    </row>
    <row r="4" spans="1:13" x14ac:dyDescent="0.25">
      <c r="A4" s="53" t="s">
        <v>38</v>
      </c>
      <c r="B4" s="53" t="s">
        <v>42</v>
      </c>
      <c r="C4" s="178" t="s">
        <v>43</v>
      </c>
      <c r="D4" s="179"/>
      <c r="E4" s="179"/>
      <c r="F4" s="179"/>
      <c r="G4" s="180"/>
      <c r="M4" s="1" t="s">
        <v>305</v>
      </c>
    </row>
    <row r="5" spans="1:13" x14ac:dyDescent="0.25">
      <c r="A5" s="129" t="s">
        <v>39</v>
      </c>
      <c r="B5" s="129" t="s">
        <v>152</v>
      </c>
      <c r="C5" s="181" t="s">
        <v>315</v>
      </c>
      <c r="D5" s="182"/>
      <c r="E5" s="182"/>
      <c r="F5" s="182"/>
      <c r="G5" s="182"/>
      <c r="M5" t="s">
        <v>306</v>
      </c>
    </row>
    <row r="6" spans="1:13" x14ac:dyDescent="0.25">
      <c r="A6" s="129" t="s">
        <v>40</v>
      </c>
      <c r="B6" s="129" t="s">
        <v>152</v>
      </c>
      <c r="C6" s="181" t="s">
        <v>315</v>
      </c>
      <c r="D6" s="182"/>
      <c r="E6" s="182"/>
      <c r="F6" s="182"/>
      <c r="G6" s="182"/>
      <c r="M6" t="s">
        <v>311</v>
      </c>
    </row>
    <row r="7" spans="1:13" x14ac:dyDescent="0.25">
      <c r="A7" s="129" t="s">
        <v>41</v>
      </c>
      <c r="B7" s="129" t="s">
        <v>152</v>
      </c>
      <c r="C7" s="181" t="s">
        <v>315</v>
      </c>
      <c r="D7" s="182"/>
      <c r="E7" s="182"/>
      <c r="F7" s="182"/>
      <c r="G7" s="182"/>
      <c r="M7" t="s">
        <v>312</v>
      </c>
    </row>
    <row r="8" spans="1:13" x14ac:dyDescent="0.25">
      <c r="A8" s="113" t="s">
        <v>156</v>
      </c>
      <c r="B8" s="113" t="s">
        <v>152</v>
      </c>
      <c r="C8" s="176" t="s">
        <v>307</v>
      </c>
      <c r="D8" s="176"/>
      <c r="E8" s="176"/>
      <c r="F8" s="176"/>
      <c r="G8" s="176"/>
    </row>
    <row r="9" spans="1:13" x14ac:dyDescent="0.25">
      <c r="A9" s="129"/>
      <c r="B9" s="129"/>
      <c r="C9" s="184"/>
      <c r="D9" s="184"/>
      <c r="E9" s="184"/>
      <c r="F9" s="184"/>
      <c r="G9" s="184"/>
    </row>
    <row r="10" spans="1:13" x14ac:dyDescent="0.25">
      <c r="A10" s="129"/>
      <c r="B10" s="129"/>
      <c r="C10" s="184"/>
      <c r="D10" s="184"/>
      <c r="E10" s="184"/>
      <c r="F10" s="184"/>
      <c r="G10" s="184"/>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t="s">
        <v>153</v>
      </c>
      <c r="E17" s="183"/>
      <c r="F17" s="183"/>
      <c r="G17" s="183"/>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2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25">
      <c r="A28" s="1" t="s">
        <v>289</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2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253</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25">
      <c r="A47" s="1" t="s">
        <v>290</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2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2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2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2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25">
      <c r="A52" t="str">
        <f t="shared" si="16"/>
        <v/>
      </c>
      <c r="B52" s="135"/>
      <c r="C52" s="108"/>
      <c r="D52" s="108"/>
      <c r="E52" s="108"/>
      <c r="F52" s="108"/>
      <c r="G52" s="108"/>
      <c r="H52" s="108"/>
      <c r="I52" s="108"/>
      <c r="J52" s="108"/>
      <c r="K52" s="108"/>
      <c r="L52" s="108"/>
      <c r="M52" s="29"/>
      <c r="N52" s="29"/>
    </row>
    <row r="53" spans="1:14" x14ac:dyDescent="0.25">
      <c r="A53" t="str">
        <f t="shared" si="16"/>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2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2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2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2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2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2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2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2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2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32"/>
      <c r="D93" s="132"/>
      <c r="E93" s="132"/>
      <c r="F93" s="132"/>
      <c r="G93" s="132"/>
      <c r="H93" s="132"/>
      <c r="I93" s="132"/>
      <c r="J93" s="132"/>
      <c r="K93" s="132"/>
      <c r="L93" s="132"/>
      <c r="N93" t="str">
        <f t="shared" si="43"/>
        <v/>
      </c>
    </row>
    <row r="94" spans="1:14" x14ac:dyDescent="0.2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2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32"/>
      <c r="D101" s="132"/>
      <c r="E101" s="132"/>
      <c r="F101" s="132"/>
      <c r="G101" s="132"/>
      <c r="H101" s="132"/>
      <c r="I101" s="132"/>
      <c r="J101" s="132"/>
      <c r="K101" s="132"/>
      <c r="L101" s="132"/>
      <c r="N101" t="str">
        <f t="shared" si="47"/>
        <v/>
      </c>
    </row>
    <row r="102" spans="1:14" x14ac:dyDescent="0.2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2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2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2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2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2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2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2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2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2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2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2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25">
      <c r="A120" s="1" t="s">
        <v>138</v>
      </c>
      <c r="B120" s="1"/>
      <c r="D120" s="2"/>
      <c r="E120" s="2"/>
      <c r="F120" s="2"/>
      <c r="G120" s="2"/>
      <c r="H120" s="2"/>
      <c r="I120" s="2"/>
      <c r="J120" s="2"/>
      <c r="K120" s="2"/>
      <c r="L120" s="2"/>
    </row>
    <row r="121" spans="1:12" x14ac:dyDescent="0.2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2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2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2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2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2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2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196</v>
      </c>
      <c r="B128" s="1"/>
      <c r="C128" s="68">
        <v>0.5</v>
      </c>
      <c r="D128" s="68">
        <v>0.5</v>
      </c>
      <c r="E128" s="68">
        <v>0.5</v>
      </c>
      <c r="F128" s="68">
        <v>0.5</v>
      </c>
      <c r="G128" s="68">
        <v>0.5</v>
      </c>
      <c r="H128" s="68"/>
      <c r="I128" s="68"/>
      <c r="J128" s="68"/>
      <c r="K128" s="68"/>
      <c r="L128" s="68"/>
    </row>
    <row r="129" spans="1:14" x14ac:dyDescent="0.2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2" t="s">
        <v>266</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25">
      <c r="A132" s="32" t="s">
        <v>267</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25">
      <c r="A133" s="1" t="s">
        <v>279</v>
      </c>
      <c r="B133" s="1"/>
    </row>
    <row r="134" spans="1:14" x14ac:dyDescent="0.25">
      <c r="A134" s="32" t="s">
        <v>280</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2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285</v>
      </c>
    </row>
    <row r="136" spans="1:14" s="85" customFormat="1" ht="62.45" customHeight="1" x14ac:dyDescent="0.2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 customHeight="1" x14ac:dyDescent="0.2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25">
      <c r="C138" s="29"/>
    </row>
    <row r="139" spans="1:14" x14ac:dyDescent="0.2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2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7" t="s">
        <v>150</v>
      </c>
      <c r="B3" s="177"/>
      <c r="C3" s="177"/>
      <c r="D3" s="177"/>
      <c r="E3" s="177"/>
      <c r="F3" s="177"/>
      <c r="G3" s="177"/>
      <c r="H3" s="114"/>
      <c r="I3" s="114"/>
      <c r="J3" s="114"/>
      <c r="K3" s="114"/>
    </row>
    <row r="4" spans="1:13" x14ac:dyDescent="0.25">
      <c r="A4" s="53" t="s">
        <v>38</v>
      </c>
      <c r="B4" s="53" t="s">
        <v>42</v>
      </c>
      <c r="C4" s="178" t="s">
        <v>43</v>
      </c>
      <c r="D4" s="179"/>
      <c r="E4" s="179"/>
      <c r="F4" s="179"/>
      <c r="G4" s="180"/>
      <c r="M4" s="1" t="s">
        <v>305</v>
      </c>
    </row>
    <row r="5" spans="1:13" x14ac:dyDescent="0.25">
      <c r="A5" s="129" t="s">
        <v>39</v>
      </c>
      <c r="B5" s="129"/>
      <c r="C5" s="181" t="s">
        <v>151</v>
      </c>
      <c r="D5" s="182"/>
      <c r="E5" s="182"/>
      <c r="F5" s="182"/>
      <c r="G5" s="182"/>
      <c r="M5" t="s">
        <v>306</v>
      </c>
    </row>
    <row r="6" spans="1:13" x14ac:dyDescent="0.25">
      <c r="A6" s="129" t="s">
        <v>40</v>
      </c>
      <c r="B6" s="129"/>
      <c r="C6" s="181" t="s">
        <v>151</v>
      </c>
      <c r="D6" s="182"/>
      <c r="E6" s="182"/>
      <c r="F6" s="182"/>
      <c r="G6" s="182"/>
      <c r="M6" t="s">
        <v>311</v>
      </c>
    </row>
    <row r="7" spans="1:13" x14ac:dyDescent="0.25">
      <c r="A7" s="129" t="s">
        <v>41</v>
      </c>
      <c r="B7" s="129"/>
      <c r="C7" s="181" t="s">
        <v>151</v>
      </c>
      <c r="D7" s="182"/>
      <c r="E7" s="182"/>
      <c r="F7" s="182"/>
      <c r="G7" s="182"/>
      <c r="M7" t="s">
        <v>312</v>
      </c>
    </row>
    <row r="8" spans="1:13" x14ac:dyDescent="0.25">
      <c r="A8" s="113" t="s">
        <v>156</v>
      </c>
      <c r="B8" s="113"/>
      <c r="C8" s="176" t="s">
        <v>316</v>
      </c>
      <c r="D8" s="176"/>
      <c r="E8" s="176"/>
      <c r="F8" s="176"/>
      <c r="G8" s="176"/>
    </row>
    <row r="9" spans="1:13" x14ac:dyDescent="0.25">
      <c r="A9" s="129"/>
      <c r="B9" s="129"/>
      <c r="C9" s="184"/>
      <c r="D9" s="184"/>
      <c r="E9" s="184"/>
      <c r="F9" s="184"/>
      <c r="G9" s="184"/>
    </row>
    <row r="10" spans="1:13" x14ac:dyDescent="0.25">
      <c r="A10" s="129"/>
      <c r="B10" s="129"/>
      <c r="C10" s="184"/>
      <c r="D10" s="184"/>
      <c r="E10" s="184"/>
      <c r="F10" s="184"/>
      <c r="G10" s="184"/>
    </row>
    <row r="11" spans="1:13" x14ac:dyDescent="0.25">
      <c r="A11" s="16"/>
      <c r="B11" s="2"/>
      <c r="C11"/>
    </row>
    <row r="12" spans="1:13" x14ac:dyDescent="0.25">
      <c r="A12" s="19" t="s">
        <v>45</v>
      </c>
      <c r="B12" s="183" t="s">
        <v>197</v>
      </c>
      <c r="C12" s="183"/>
      <c r="D12" s="183"/>
      <c r="E12" s="183"/>
      <c r="F12" s="183"/>
    </row>
    <row r="13" spans="1:13" x14ac:dyDescent="0.25">
      <c r="B13" s="185" t="s">
        <v>326</v>
      </c>
      <c r="C13" s="186"/>
      <c r="D13" s="186"/>
      <c r="E13" s="186"/>
      <c r="F13" s="186"/>
    </row>
    <row r="14" spans="1:13" x14ac:dyDescent="0.25">
      <c r="B14" s="187" t="s">
        <v>314</v>
      </c>
      <c r="C14" s="188"/>
      <c r="D14" s="188"/>
      <c r="E14" s="188"/>
      <c r="F14" s="188"/>
    </row>
    <row r="15" spans="1:13" x14ac:dyDescent="0.25">
      <c r="B15" s="189" t="s">
        <v>46</v>
      </c>
      <c r="C15" s="189"/>
      <c r="D15" s="189"/>
      <c r="E15" s="189"/>
      <c r="F15" s="189"/>
    </row>
    <row r="17" spans="1:14" x14ac:dyDescent="0.25">
      <c r="A17" s="1" t="s">
        <v>53</v>
      </c>
      <c r="D17" s="183" t="s">
        <v>153</v>
      </c>
      <c r="E17" s="183"/>
      <c r="F17" s="183"/>
      <c r="G17" s="183"/>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289</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253</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25">
      <c r="A47" s="1" t="s">
        <v>290</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2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2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2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2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25">
      <c r="A52" t="str">
        <f t="shared" si="16"/>
        <v/>
      </c>
      <c r="B52" s="135"/>
      <c r="C52" s="108"/>
      <c r="D52" s="108"/>
      <c r="E52" s="108"/>
      <c r="F52" s="108"/>
      <c r="G52" s="108"/>
      <c r="H52" s="108"/>
      <c r="I52" s="108"/>
      <c r="J52" s="108"/>
      <c r="K52" s="108"/>
      <c r="L52" s="108"/>
      <c r="M52" s="29"/>
      <c r="N52" s="29"/>
    </row>
    <row r="53" spans="1:14" x14ac:dyDescent="0.25">
      <c r="A53" t="str">
        <f t="shared" si="16"/>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2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2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2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2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2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2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2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2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32"/>
      <c r="D93" s="132"/>
      <c r="E93" s="132"/>
      <c r="F93" s="132"/>
      <c r="G93" s="132"/>
      <c r="H93" s="132"/>
      <c r="I93" s="132"/>
      <c r="J93" s="132"/>
      <c r="K93" s="132"/>
      <c r="L93" s="132"/>
      <c r="N93" t="str">
        <f t="shared" si="38"/>
        <v/>
      </c>
    </row>
    <row r="94" spans="1:14" x14ac:dyDescent="0.2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2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32"/>
      <c r="D101" s="132"/>
      <c r="E101" s="132"/>
      <c r="F101" s="132"/>
      <c r="G101" s="132"/>
      <c r="H101" s="132"/>
      <c r="I101" s="132"/>
      <c r="J101" s="132"/>
      <c r="K101" s="132"/>
      <c r="L101" s="132"/>
      <c r="N101" t="str">
        <f t="shared" si="42"/>
        <v/>
      </c>
    </row>
    <row r="102" spans="1:14" x14ac:dyDescent="0.2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2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2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2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2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2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2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2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2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2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2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2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25">
      <c r="A120" s="1" t="s">
        <v>138</v>
      </c>
      <c r="B120" s="1"/>
      <c r="D120" s="2"/>
      <c r="E120" s="2"/>
      <c r="F120" s="2"/>
      <c r="G120" s="2"/>
      <c r="H120" s="2"/>
      <c r="I120" s="2"/>
      <c r="J120" s="2"/>
      <c r="K120" s="2"/>
      <c r="L120" s="2"/>
    </row>
    <row r="121" spans="1:12" x14ac:dyDescent="0.2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2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2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2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2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2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2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2" t="s">
        <v>266</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25">
      <c r="A132" s="32" t="s">
        <v>267</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25">
      <c r="A133" s="1" t="s">
        <v>279</v>
      </c>
      <c r="B133" s="1"/>
    </row>
    <row r="134" spans="1:14" x14ac:dyDescent="0.25">
      <c r="A134" s="32" t="s">
        <v>280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25">
      <c r="A135" s="32" t="s">
        <v>294</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285</v>
      </c>
    </row>
    <row r="136" spans="1:14" s="85" customFormat="1" ht="62.45" customHeight="1" x14ac:dyDescent="0.25">
      <c r="A136" s="117" t="s">
        <v>295</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301</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2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2021-09-21T00:07:41Z</dcterms:modified>
</cp:coreProperties>
</file>