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37FE003-5525-47A6-A71B-E8E9D8FFF0BE}"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47" l="1"/>
  <c r="A60" i="47"/>
  <c r="A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C49" i="47" l="1"/>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N112" i="47"/>
  <c r="N113" i="47"/>
  <c r="F127" i="47"/>
  <c r="I128" i="47"/>
  <c r="K111" i="52"/>
  <c r="K33" i="47"/>
  <c r="K42" i="47"/>
  <c r="C46" i="47"/>
  <c r="K111" i="47"/>
  <c r="E113" i="47"/>
  <c r="L127" i="47"/>
  <c r="C33" i="47"/>
  <c r="H42" i="47"/>
  <c r="C113" i="47"/>
  <c r="L42" i="47"/>
  <c r="D46" i="47"/>
  <c r="L111" i="47"/>
  <c r="F113" i="47"/>
  <c r="G111" i="52"/>
  <c r="E111" i="52"/>
  <c r="E112" i="52" s="1"/>
  <c r="I34" i="52"/>
  <c r="G46" i="47"/>
  <c r="N111" i="47"/>
  <c r="D108" i="47"/>
  <c r="C111" i="47"/>
  <c r="I113" i="47"/>
  <c r="H34" i="52"/>
  <c r="F34" i="52"/>
  <c r="H111" i="52"/>
  <c r="H46" i="47"/>
  <c r="H47" i="47"/>
  <c r="L108" i="47"/>
  <c r="D111" i="47"/>
  <c r="K113" i="47"/>
  <c r="F47" i="48"/>
  <c r="N109"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9" i="47"/>
  <c r="N67" i="47" s="1"/>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0" i="47"/>
  <c r="N68" i="47" s="1"/>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87" i="47" l="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N94" i="47"/>
  <c r="N102" i="47" s="1"/>
  <c r="N62" i="47"/>
  <c r="N70" i="47" s="1"/>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3" i="47"/>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<sst xmlns="http://schemas.openxmlformats.org/spreadsheetml/2006/main" count="1154" uniqueCount="430">
  <si>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</si>
  <si>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</si>
  <si>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</si>
  <si>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</si>
  <si>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</si>
  <si>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</si>
  <si>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</si>
  <si>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</si>
  <si>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</si>
  <si>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</si>
  <si>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</si>
  <si>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</si>
  <si>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</si>
  <si>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</si>
  <si>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</si>
  <si>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</si>
  <si>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</si>
  <si>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</si>
  <si>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</si>
  <si>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</si>
  <si>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</si>
  <si>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</si>
  <si>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</si>
  <si>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</si>
  <si>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</si>
  <si>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</si>
  <si>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</si>
  <si>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</si>
  <si>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</si>
  <si>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</si>
  <si>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</si>
  <si>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</si>
  <si>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</si>
  <si>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</si>
  <si>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</si>
  <si>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</si>
  <si>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</si>
  <si>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</si>
  <si>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</si>
  <si>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</si>
  <si>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</si>
  <si>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</si>
  <si>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</si>
  <si>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</si>
  <si>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</si>
  <si>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</si>
  <si>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</si>
  <si>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</si>
  <si>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</si>
  <si>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</si>
  <si>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</si>
  <si>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</si>
  <si>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</si>
  <si>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</si>
  <si>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</si>
  <si>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</si>
  <si>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</si>
  <si>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</si>
  <si>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</si>
  <si>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</si>
  <si>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</si>
  <si>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</si>
  <si>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</si>
  <si>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</si>
  <si>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</si>
  <si>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</si>
  <si>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</si>
  <si>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</si>
  <si>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</si>
  <si>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</si>
  <si>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</si>
  <si>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</si>
  <si>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</si>
  <si>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</si>
  <si>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</si>
  <si>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</si>
  <si>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</si>
  <si>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</si>
  <si>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</si>
  <si>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</si>
  <si>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</si>
  <si>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</si>
  <si>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</si>
  <si>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</si>
  <si>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</si>
  <si>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</si>
  <si>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</si>
  <si>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</si>
  <si>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</si>
  <si>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</si>
  <si>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</si>
  <si>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</si>
  <si>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</si>
  <si>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</si>
  <si>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</si>
  <si>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</si>
  <si>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</si>
  <si>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</si>
  <si>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</si>
  <si>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</si>
  <si>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</si>
  <si>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</si>
  <si>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</si>
  <si>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</si>
  <si>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</si>
  <si>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</si>
  <si>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</si>
  <si>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</si>
  <si>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</si>
  <si>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</si>
  <si>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</si>
  <si>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</si>
  <si>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</si>
  <si>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</si>
  <si>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</si>
  <si>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</si>
  <si>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</si>
  <si>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</si>
  <si>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</si>
  <si>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</si>
  <si>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</si>
  <si>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</si>
  <si>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</si>
  <si>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</si>
  <si>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</si>
  <si>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</si>
  <si>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</si>
  <si>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</si>
  <si>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</si>
  <si>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</si>
  <si>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</si>
  <si>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</si>
  <si>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</si>
  <si>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</si>
  <si>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</si>
  <si>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</si>
  <si>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</si>
  <si>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</si>
  <si>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</si>
  <si>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</si>
  <si>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</si>
  <si>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</si>
  <si>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</si>
  <si>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</si>
  <si>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</si>
  <si>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</si>
  <si>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</si>
  <si>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</si>
  <si>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</si>
  <si>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</si>
  <si>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</si>
  <si>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</si>
  <si>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</si>
  <si>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</si>
  <si>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</si>
  <si>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</si>
  <si>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</si>
  <si>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</si>
  <si>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</si>
  <si>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</si>
  <si>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</si>
  <si>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</si>
  <si>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</si>
  <si>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</si>
  <si>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</si>
  <si>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</si>
  <si>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</si>
  <si>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</si>
  <si>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</si>
  <si>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</si>
  <si>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</si>
  <si>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</si>
  <si>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</si>
  <si>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</si>
  <si>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</si>
  <si>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</si>
  <si>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</si>
  <si>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</si>
  <si>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</si>
  <si>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</si>
  <si>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</si>
  <si>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</si>
  <si>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</si>
  <si>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</si>
  <si>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</si>
  <si>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</si>
  <si>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</si>
  <si>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</si>
  <si>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</si>
  <si>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</si>
  <si>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</si>
  <si>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</si>
  <si>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</si>
  <si>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</si>
  <si>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</si>
  <si>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</si>
  <si>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</si>
  <si>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</si>
  <si>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</si>
  <si>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</si>
  <si>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</si>
  <si>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</si>
  <si>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</si>
  <si>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</si>
  <si>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</si>
  <si>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</si>
  <si>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</si>
  <si>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</si>
  <si>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</si>
  <si>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</si>
  <si>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</si>
  <si>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</si>
  <si>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</si>
  <si>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</si>
  <si>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</si>
  <si>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</si>
  <si>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</si>
  <si>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</si>
  <si>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</si>
  <si>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</si>
  <si>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</si>
  <si>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</si>
  <si>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</si>
  <si>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</si>
  <si>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</si>
  <si>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</si>
  <si>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</si>
  <si>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</si>
  <si>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</si>
  <si>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</si>
  <si>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</si>
  <si>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</si>
  <si>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</si>
  <si>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</si>
  <si>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</si>
  <si>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</si>
  <si>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</si>
  <si>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</si>
  <si>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</si>
  <si>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</si>
  <si>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</si>
  <si>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</si>
  <si>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</si>
  <si>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</si>
  <si>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</si>
  <si>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</si>
  <si>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</si>
  <si>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</si>
  <si>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</si>
  <si>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</si>
  <si>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</si>
  <si>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</si>
  <si>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</si>
  <si>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</si>
  <si>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</si>
  <si>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</si>
  <si>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</si>
  <si>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</si>
  <si>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</si>
  <si>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</si>
  <si>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</si>
  <si>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</si>
  <si>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</si>
  <si>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</si>
  <si>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</si>
  <si>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</si>
  <si>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</si>
  <si>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</si>
  <si>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</si>
  <si>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</si>
  <si>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</si>
  <si>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</si>
  <si>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</si>
  <si>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</si>
  <si>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</si>
  <si>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</si>
  <si>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</si>
  <si>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</si>
  <si>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</si>
  <si>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</si>
  <si>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</si>
  <si>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</si>
  <si>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</si>
  <si>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</si>
  <si>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</si>
  <si>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</si>
  <si>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</si>
  <si>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</si>
  <si>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</si>
  <si>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</si>
  <si>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</si>
  <si>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</si>
  <si>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</si>
  <si>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</si>
  <si>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</si>
  <si>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</si>
  <si>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</si>
  <si>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</si>
  <si>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</si>
  <si>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</si>
  <si>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</si>
  <si>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</si>
  <si>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</si>
  <si>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</si>
  <si>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</si>
  <si>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</si>
  <si>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</si>
  <si>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</si>
  <si>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</si>
  <si>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</si>
  <si>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</si>
  <si>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</si>
  <si>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</si>
  <si>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</si>
  <si>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</si>
  <si>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</si>
  <si>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</si>
  <si>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</si>
  <si>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</si>
  <si>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</si>
  <si>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</si>
  <si>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</si>
  <si>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</si>
  <si>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</si>
  <si>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</si>
  <si>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</si>
  <si>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</si>
  <si>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</si>
  <si>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</si>
  <si>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</si>
  <si>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</si>
  <si>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</si>
  <si>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</si>
  <si>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</si>
  <si>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</si>
  <si>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</si>
  <si>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</si>
  <si>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</si>
  <si>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</si>
  <si>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</si>
  <si>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</si>
  <si>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</si>
  <si>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</si>
  <si>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</si>
  <si>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</si>
  <si>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</si>
  <si>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</si>
  <si>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</si>
  <si>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</si>
  <si>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</si>
  <si>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</si>
  <si>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</si>
  <si>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</si>
  <si>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</si>
  <si>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</si>
  <si>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</si>
  <si>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</si>
  <si>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</si>
  <si>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</si>
  <si>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</si>
  <si>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</si>
  <si>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</si>
  <si>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</si>
  <si>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</si>
  <si>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</si>
  <si>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</si>
  <si>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</si>
  <si>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</si>
  <si>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</si>
  <si>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</si>
  <si>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</si>
  <si>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</si>
  <si>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</si>
  <si>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</si>
  <si>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</si>
  <si>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</si>
  <si>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</si>
  <si>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</si>
  <si>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</si>
  <si>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</si>
  <si>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</si>
  <si>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</si>
  <si>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</si>
  <si>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</si>
  <si>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</si>
  <si>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</si>
  <si>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</si>
  <si>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</si>
  <si>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</si>
  <si>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</si>
  <si>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</si>
  <si>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</si>
  <si>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</si>
  <si>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</si>
  <si>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</si>
  <si>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1. Define the Parties, person playing, and each party's strategy in Cells A5 to C11 (Up to 5 players):</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</si>
  <si>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</si>
  <si>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</si>
  <si>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</si>
  <si>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</si>
  <si>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</si>
  <si>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</si>
  <si>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</si>
  <si>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</si>
  <si>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</si>
  <si>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A party's strategy including decisions such as conservation, consumption, sales, purchages from a party's flex account.</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</si>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</sst>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13" fillId="0" borderId="0" xfId="0" applyFont="1"/>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zoomScale="150" zoomScaleNormal="150" workbookViewId="0">
      <selection activeCell="C54" sqref="C5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5" t="s">
        <v>203</v>
      </c>
      <c r="B1" s="195"/>
      <c r="C1" s="195"/>
      <c r="D1" s="195"/>
      <c r="E1" s="195"/>
      <c r="F1" s="195"/>
      <c r="G1" s="195"/>
      <c r="H1" s="195"/>
      <c r="I1" s="195"/>
      <c r="J1" s="195"/>
      <c r="K1" s="195"/>
      <c r="L1" s="195"/>
    </row>
    <row r="2" spans="1:18" x14ac:dyDescent="0.35">
      <c r="A2" s="1"/>
      <c r="B2" s="1"/>
      <c r="C2" s="2"/>
      <c r="D2"/>
    </row>
    <row r="3" spans="1:18" x14ac:dyDescent="0.35">
      <c r="A3" s="1" t="s">
        <v>231</v>
      </c>
      <c r="B3" s="1"/>
      <c r="C3" s="2"/>
      <c r="D3"/>
      <c r="N3" s="1" t="s">
        <v>315</v>
      </c>
    </row>
    <row r="4" spans="1:18" s="79" customFormat="1" ht="66" customHeight="1" x14ac:dyDescent="0.35">
      <c r="A4" s="198" t="s">
        <v>358</v>
      </c>
      <c r="B4" s="198"/>
      <c r="C4" s="198"/>
      <c r="D4" s="198"/>
      <c r="E4" s="198"/>
      <c r="F4" s="198"/>
      <c r="G4" s="198"/>
      <c r="H4" s="198"/>
      <c r="I4" s="198"/>
      <c r="J4" s="198"/>
      <c r="K4" s="198"/>
      <c r="L4" s="198"/>
      <c r="N4" s="197" t="s">
        <v>316</v>
      </c>
      <c r="O4" s="197"/>
      <c r="P4" s="197"/>
      <c r="Q4" s="197"/>
      <c r="R4" s="197"/>
    </row>
    <row r="5" spans="1:18" s="32" customFormat="1" ht="16" customHeight="1" x14ac:dyDescent="0.35">
      <c r="A5" s="198" t="s">
        <v>359</v>
      </c>
      <c r="B5" s="198"/>
      <c r="C5" s="198"/>
      <c r="D5" s="198"/>
      <c r="E5" s="198"/>
      <c r="F5" s="198"/>
      <c r="G5" s="198"/>
      <c r="H5" s="198"/>
      <c r="I5" s="198"/>
      <c r="J5" s="198"/>
      <c r="K5" s="198"/>
      <c r="L5" s="198"/>
    </row>
    <row r="6" spans="1:18" s="32" customFormat="1" ht="32.5" customHeight="1" x14ac:dyDescent="0.35">
      <c r="A6" s="196" t="s">
        <v>228</v>
      </c>
      <c r="B6" s="196"/>
      <c r="C6" s="196"/>
      <c r="D6" s="196"/>
      <c r="E6" s="196"/>
      <c r="F6" s="196"/>
      <c r="G6" s="196"/>
      <c r="H6" s="196"/>
      <c r="I6" s="196"/>
      <c r="J6" s="196"/>
      <c r="K6" s="196"/>
      <c r="L6" s="196"/>
      <c r="N6" s="143" t="s">
        <v>317</v>
      </c>
    </row>
    <row r="7" spans="1:18" s="32" customFormat="1" ht="20.25" customHeight="1" x14ac:dyDescent="0.35">
      <c r="A7" s="196" t="s">
        <v>360</v>
      </c>
      <c r="B7" s="196"/>
      <c r="C7" s="196"/>
      <c r="D7" s="196"/>
      <c r="E7" s="196"/>
      <c r="F7" s="196"/>
      <c r="G7" s="196"/>
      <c r="H7" s="196"/>
      <c r="I7" s="196"/>
      <c r="J7" s="196"/>
      <c r="K7" s="196"/>
      <c r="L7" s="196"/>
    </row>
    <row r="8" spans="1:18" s="32" customFormat="1" ht="16.5" customHeight="1" x14ac:dyDescent="0.35">
      <c r="A8" s="196" t="s">
        <v>361</v>
      </c>
      <c r="B8" s="196"/>
      <c r="C8" s="196"/>
      <c r="D8" s="196"/>
      <c r="E8" s="196"/>
      <c r="F8" s="196"/>
      <c r="G8" s="196"/>
      <c r="H8" s="196"/>
      <c r="I8" s="196"/>
      <c r="J8" s="196"/>
      <c r="K8" s="196"/>
      <c r="L8" s="196"/>
      <c r="N8" s="69" t="s">
        <v>362</v>
      </c>
    </row>
    <row r="9" spans="1:18" s="32" customFormat="1" ht="15" customHeight="1" x14ac:dyDescent="0.35">
      <c r="A9" s="196" t="s">
        <v>363</v>
      </c>
      <c r="B9" s="196"/>
      <c r="C9" s="196"/>
      <c r="D9" s="196"/>
      <c r="E9" s="196"/>
      <c r="F9" s="196"/>
      <c r="G9" s="196"/>
      <c r="H9" s="196"/>
      <c r="I9" s="196"/>
      <c r="J9" s="196"/>
      <c r="K9" s="196"/>
      <c r="L9" s="196"/>
    </row>
    <row r="10" spans="1:18" s="32" customFormat="1" ht="32.15" customHeight="1" x14ac:dyDescent="0.35">
      <c r="A10" s="196" t="s">
        <v>389</v>
      </c>
      <c r="B10" s="196"/>
      <c r="C10" s="196"/>
      <c r="D10" s="196"/>
      <c r="E10" s="196"/>
      <c r="F10" s="196"/>
      <c r="G10" s="196"/>
      <c r="H10" s="196"/>
      <c r="I10" s="196"/>
      <c r="J10" s="196"/>
      <c r="K10" s="196"/>
      <c r="L10" s="196"/>
      <c r="N10" s="32" t="s">
        <v>364</v>
      </c>
    </row>
    <row r="11" spans="1:18" ht="15" customHeight="1" x14ac:dyDescent="0.35">
      <c r="A11" s="196" t="s">
        <v>390</v>
      </c>
      <c r="B11" s="196"/>
      <c r="C11" s="196"/>
      <c r="D11" s="196"/>
      <c r="E11" s="196"/>
      <c r="F11" s="196"/>
      <c r="G11" s="196"/>
      <c r="H11" s="196"/>
      <c r="I11" s="196"/>
      <c r="J11" s="196"/>
      <c r="K11" s="196"/>
      <c r="L11" s="196"/>
    </row>
    <row r="12" spans="1:18" ht="17.25" customHeight="1" x14ac:dyDescent="0.35">
      <c r="A12" s="196" t="s">
        <v>391</v>
      </c>
      <c r="B12" s="196"/>
      <c r="C12" s="196"/>
      <c r="D12" s="196"/>
      <c r="E12" s="196"/>
      <c r="F12" s="196"/>
      <c r="G12" s="196"/>
      <c r="H12" s="196"/>
      <c r="I12" s="196"/>
      <c r="J12" s="196"/>
      <c r="K12" s="196"/>
      <c r="L12" s="196"/>
    </row>
    <row r="13" spans="1:18" ht="20.25" customHeight="1" x14ac:dyDescent="0.35">
      <c r="A13" s="154"/>
      <c r="B13" s="154"/>
      <c r="C13" s="154"/>
      <c r="D13" s="154"/>
      <c r="E13" s="154"/>
      <c r="F13" s="154"/>
      <c r="G13" s="154"/>
      <c r="H13" s="154"/>
      <c r="I13" s="154"/>
      <c r="J13" s="154"/>
      <c r="K13" s="154"/>
      <c r="L13" s="154"/>
    </row>
    <row r="14" spans="1:18" ht="50.5" customHeight="1" x14ac:dyDescent="0.35">
      <c r="A14" s="196" t="s">
        <v>365</v>
      </c>
      <c r="B14" s="196"/>
      <c r="C14" s="196"/>
      <c r="D14" s="196"/>
      <c r="E14" s="196"/>
      <c r="F14" s="196"/>
      <c r="G14" s="196"/>
      <c r="H14" s="196"/>
      <c r="I14" s="196"/>
      <c r="J14" s="196"/>
      <c r="K14" s="196"/>
      <c r="L14" s="196"/>
    </row>
    <row r="15" spans="1:18" ht="48.65" customHeight="1" x14ac:dyDescent="0.35">
      <c r="A15" s="196" t="s">
        <v>200</v>
      </c>
      <c r="B15" s="196"/>
      <c r="C15" s="196"/>
      <c r="D15" s="196"/>
      <c r="E15" s="196"/>
      <c r="F15" s="196"/>
      <c r="G15" s="196"/>
      <c r="H15" s="196"/>
      <c r="I15" s="196"/>
      <c r="J15" s="196"/>
      <c r="K15" s="196"/>
      <c r="L15" s="196"/>
    </row>
    <row r="16" spans="1:18" ht="15.65" customHeight="1" x14ac:dyDescent="0.35">
      <c r="A16" s="196" t="s">
        <v>331</v>
      </c>
      <c r="B16" s="196"/>
      <c r="C16" s="196"/>
      <c r="D16" s="196"/>
      <c r="E16" s="196"/>
      <c r="F16" s="196"/>
      <c r="G16" s="196"/>
      <c r="H16" s="196"/>
      <c r="I16" s="196"/>
      <c r="J16" s="196"/>
      <c r="K16" s="196"/>
      <c r="L16" s="196"/>
    </row>
    <row r="17" spans="1:12" x14ac:dyDescent="0.35">
      <c r="B17" s="15"/>
      <c r="C17" s="15"/>
      <c r="D17" s="15"/>
      <c r="E17" s="15"/>
      <c r="F17" s="15"/>
      <c r="G17" s="15"/>
      <c r="H17" s="15"/>
      <c r="I17" s="15"/>
      <c r="J17" s="15"/>
      <c r="K17" s="15"/>
      <c r="L17" s="15"/>
    </row>
    <row r="18" spans="1:12" ht="16.5" customHeight="1" x14ac:dyDescent="0.35">
      <c r="A18" s="186" t="s">
        <v>201</v>
      </c>
      <c r="B18" s="187"/>
      <c r="C18" s="187"/>
      <c r="D18" s="187"/>
      <c r="E18" s="187"/>
      <c r="F18" s="187"/>
      <c r="G18" s="187"/>
      <c r="H18" s="187"/>
      <c r="I18" s="187"/>
      <c r="J18" s="187"/>
      <c r="K18" s="187"/>
      <c r="L18" s="188"/>
    </row>
    <row r="19" spans="1:12" ht="16.5" customHeight="1" x14ac:dyDescent="0.35">
      <c r="A19" s="28">
        <v>1</v>
      </c>
      <c r="B19" s="189" t="s">
        <v>141</v>
      </c>
      <c r="C19" s="189"/>
      <c r="D19" s="189"/>
      <c r="E19" s="189"/>
      <c r="F19" s="189"/>
      <c r="G19" s="189"/>
      <c r="H19" s="189"/>
      <c r="I19" s="189"/>
      <c r="J19" s="189"/>
      <c r="K19" s="189"/>
      <c r="L19" s="190"/>
    </row>
    <row r="20" spans="1:12" ht="16.5" customHeight="1" x14ac:dyDescent="0.35">
      <c r="A20" s="28">
        <v>2</v>
      </c>
      <c r="B20" s="189" t="s">
        <v>202</v>
      </c>
      <c r="C20" s="189"/>
      <c r="D20" s="189"/>
      <c r="E20" s="189"/>
      <c r="F20" s="189"/>
      <c r="G20" s="189"/>
      <c r="H20" s="189"/>
      <c r="I20" s="189"/>
      <c r="J20" s="189"/>
      <c r="K20" s="189"/>
      <c r="L20" s="190"/>
    </row>
    <row r="21" spans="1:12" ht="34.5" customHeight="1" x14ac:dyDescent="0.35">
      <c r="A21" s="28">
        <v>3</v>
      </c>
      <c r="B21" s="189" t="s">
        <v>345</v>
      </c>
      <c r="C21" s="189"/>
      <c r="D21" s="189"/>
      <c r="E21" s="189"/>
      <c r="F21" s="189"/>
      <c r="G21" s="189"/>
      <c r="H21" s="189"/>
      <c r="I21" s="189"/>
      <c r="J21" s="189"/>
      <c r="K21" s="189"/>
      <c r="L21" s="190"/>
    </row>
    <row r="22" spans="1:12" ht="32.5" customHeight="1" x14ac:dyDescent="0.35">
      <c r="A22" s="28">
        <v>4</v>
      </c>
      <c r="B22" s="189" t="s">
        <v>344</v>
      </c>
      <c r="C22" s="189"/>
      <c r="D22" s="189"/>
      <c r="E22" s="189"/>
      <c r="F22" s="189"/>
      <c r="G22" s="189"/>
      <c r="H22" s="189"/>
      <c r="I22" s="189"/>
      <c r="J22" s="189"/>
      <c r="K22" s="189"/>
      <c r="L22" s="190"/>
    </row>
    <row r="23" spans="1:12" ht="30" customHeight="1" x14ac:dyDescent="0.35">
      <c r="A23" s="28">
        <v>5</v>
      </c>
      <c r="B23" s="189" t="s">
        <v>335</v>
      </c>
      <c r="C23" s="189"/>
      <c r="D23" s="189"/>
      <c r="E23" s="189"/>
      <c r="F23" s="189"/>
      <c r="G23" s="189"/>
      <c r="H23" s="189"/>
      <c r="I23" s="189"/>
      <c r="J23" s="189"/>
      <c r="K23" s="189"/>
      <c r="L23" s="190"/>
    </row>
    <row r="24" spans="1:12" ht="47" customHeight="1" x14ac:dyDescent="0.35">
      <c r="A24" s="28">
        <v>6</v>
      </c>
      <c r="B24" s="189" t="s">
        <v>411</v>
      </c>
      <c r="C24" s="189"/>
      <c r="D24" s="189"/>
      <c r="E24" s="189"/>
      <c r="F24" s="189"/>
      <c r="G24" s="189"/>
      <c r="H24" s="189"/>
      <c r="I24" s="189"/>
      <c r="J24" s="189"/>
      <c r="K24" s="189"/>
      <c r="L24" s="190"/>
    </row>
    <row r="25" spans="1:12" ht="31.5" customHeight="1" x14ac:dyDescent="0.35">
      <c r="A25" s="28">
        <v>7</v>
      </c>
      <c r="B25" s="189" t="s">
        <v>412</v>
      </c>
      <c r="C25" s="189"/>
      <c r="D25" s="189"/>
      <c r="E25" s="189"/>
      <c r="F25" s="189"/>
      <c r="G25" s="189"/>
      <c r="H25" s="189"/>
      <c r="I25" s="189"/>
      <c r="J25" s="189"/>
      <c r="K25" s="189"/>
      <c r="L25" s="190"/>
    </row>
    <row r="26" spans="1:12" ht="60.65" customHeight="1" x14ac:dyDescent="0.35">
      <c r="A26" s="28">
        <v>8</v>
      </c>
      <c r="B26" s="189" t="s">
        <v>413</v>
      </c>
      <c r="C26" s="189"/>
      <c r="D26" s="189"/>
      <c r="E26" s="189"/>
      <c r="F26" s="189"/>
      <c r="G26" s="189"/>
      <c r="H26" s="189"/>
      <c r="I26" s="189"/>
      <c r="J26" s="189"/>
      <c r="K26" s="189"/>
      <c r="L26" s="190"/>
    </row>
    <row r="27" spans="1:12" ht="16.5" customHeight="1" x14ac:dyDescent="0.35">
      <c r="A27" s="28">
        <v>9</v>
      </c>
      <c r="B27" s="189" t="s">
        <v>414</v>
      </c>
      <c r="C27" s="189"/>
      <c r="D27" s="189"/>
      <c r="E27" s="189"/>
      <c r="F27" s="189"/>
      <c r="G27" s="189"/>
      <c r="H27" s="189"/>
      <c r="I27" s="189"/>
      <c r="J27" s="189"/>
      <c r="K27" s="189"/>
      <c r="L27" s="190"/>
    </row>
    <row r="28" spans="1:12" ht="16.5" customHeight="1" x14ac:dyDescent="0.35">
      <c r="A28" s="28">
        <v>10</v>
      </c>
      <c r="B28" s="189" t="s">
        <v>415</v>
      </c>
      <c r="C28" s="189"/>
      <c r="D28" s="189"/>
      <c r="E28" s="189"/>
      <c r="F28" s="189"/>
      <c r="G28" s="189"/>
      <c r="H28" s="189"/>
      <c r="I28" s="189"/>
      <c r="J28" s="189"/>
      <c r="K28" s="189"/>
      <c r="L28" s="190"/>
    </row>
    <row r="29" spans="1:12" ht="32.15" customHeight="1" x14ac:dyDescent="0.35">
      <c r="A29" s="28">
        <v>11</v>
      </c>
      <c r="B29" s="189" t="s">
        <v>416</v>
      </c>
      <c r="C29" s="189"/>
      <c r="D29" s="189"/>
      <c r="E29" s="189"/>
      <c r="F29" s="189"/>
      <c r="G29" s="189"/>
      <c r="H29" s="189"/>
      <c r="I29" s="189"/>
      <c r="J29" s="189"/>
      <c r="K29" s="189"/>
      <c r="L29" s="190"/>
    </row>
    <row r="30" spans="1:12" ht="17.5" customHeight="1" x14ac:dyDescent="0.35">
      <c r="A30" s="28">
        <v>12</v>
      </c>
      <c r="B30" s="189" t="s">
        <v>417</v>
      </c>
      <c r="C30" s="189"/>
      <c r="D30" s="189"/>
      <c r="E30" s="189"/>
      <c r="F30" s="189"/>
      <c r="G30" s="189"/>
      <c r="H30" s="189"/>
      <c r="I30" s="189"/>
      <c r="J30" s="189"/>
      <c r="K30" s="189"/>
      <c r="L30" s="190"/>
    </row>
    <row r="31" spans="1:12" ht="30" customHeight="1" x14ac:dyDescent="0.35">
      <c r="A31" s="28">
        <v>13</v>
      </c>
      <c r="B31" s="189" t="s">
        <v>418</v>
      </c>
      <c r="C31" s="189"/>
      <c r="D31" s="189"/>
      <c r="E31" s="189"/>
      <c r="F31" s="189"/>
      <c r="G31" s="189"/>
      <c r="H31" s="189"/>
      <c r="I31" s="189"/>
      <c r="J31" s="189"/>
      <c r="K31" s="189"/>
      <c r="L31" s="190"/>
    </row>
    <row r="32" spans="1:12" ht="16.5" customHeight="1" x14ac:dyDescent="0.35">
      <c r="A32" s="28">
        <v>14</v>
      </c>
      <c r="B32" s="191" t="s">
        <v>419</v>
      </c>
      <c r="C32" s="191"/>
      <c r="D32" s="191"/>
      <c r="E32" s="191"/>
      <c r="F32" s="191"/>
      <c r="G32" s="191"/>
      <c r="H32" s="191"/>
      <c r="I32" s="191"/>
      <c r="J32" s="191"/>
      <c r="K32" s="191"/>
      <c r="L32" s="192"/>
    </row>
    <row r="33" spans="1:12" ht="32.15" customHeight="1" x14ac:dyDescent="0.35">
      <c r="A33" s="28">
        <v>15</v>
      </c>
      <c r="B33" s="189" t="s">
        <v>420</v>
      </c>
      <c r="C33" s="189"/>
      <c r="D33" s="189"/>
      <c r="E33" s="189"/>
      <c r="F33" s="189"/>
      <c r="G33" s="189"/>
      <c r="H33" s="189"/>
      <c r="I33" s="189"/>
      <c r="J33" s="189"/>
      <c r="K33" s="189"/>
      <c r="L33" s="190"/>
    </row>
    <row r="34" spans="1:12" ht="31" customHeight="1" x14ac:dyDescent="0.35">
      <c r="A34" s="28">
        <v>16</v>
      </c>
      <c r="B34" s="193" t="s">
        <v>205</v>
      </c>
      <c r="C34" s="193"/>
      <c r="D34" s="193"/>
      <c r="E34" s="193"/>
      <c r="F34" s="193"/>
      <c r="G34" s="193"/>
      <c r="H34" s="193"/>
      <c r="I34" s="193"/>
      <c r="J34" s="193"/>
      <c r="K34" s="193"/>
      <c r="L34" s="194"/>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422</v>
      </c>
      <c r="C53" t="s">
        <v>423</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85" t="s">
        <v>229</v>
      </c>
      <c r="B65" s="185"/>
      <c r="C65" s="185"/>
      <c r="D65" s="185"/>
      <c r="E65" s="185"/>
      <c r="F65" s="185"/>
      <c r="G65" s="185"/>
      <c r="H65" s="185"/>
      <c r="I65" s="185"/>
      <c r="J65" s="185"/>
      <c r="K65" s="185"/>
      <c r="L65" s="185"/>
    </row>
  </sheetData>
  <mergeCells count="32">
    <mergeCell ref="N4:R4"/>
    <mergeCell ref="A10:L10"/>
    <mergeCell ref="A9:L9"/>
    <mergeCell ref="A4:L4"/>
    <mergeCell ref="B25:L25"/>
    <mergeCell ref="A5:L5"/>
    <mergeCell ref="A11:L11"/>
    <mergeCell ref="A16:L16"/>
    <mergeCell ref="A15:L15"/>
    <mergeCell ref="A14:L14"/>
    <mergeCell ref="A6:L6"/>
    <mergeCell ref="A8:L8"/>
    <mergeCell ref="B22:L22"/>
    <mergeCell ref="A1:L1"/>
    <mergeCell ref="A12:L12"/>
    <mergeCell ref="B30:L30"/>
    <mergeCell ref="B28:L28"/>
    <mergeCell ref="B23:L23"/>
    <mergeCell ref="A7:L7"/>
    <mergeCell ref="B24:L24"/>
    <mergeCell ref="A65:L65"/>
    <mergeCell ref="A18:L18"/>
    <mergeCell ref="B19:L19"/>
    <mergeCell ref="B21:L21"/>
    <mergeCell ref="B26:L26"/>
    <mergeCell ref="B27:L27"/>
    <mergeCell ref="B31:L31"/>
    <mergeCell ref="B32:L32"/>
    <mergeCell ref="B34:L34"/>
    <mergeCell ref="B33:L33"/>
    <mergeCell ref="B20:L20"/>
    <mergeCell ref="B29:L29"/>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114"/>
      <c r="I3" s="114"/>
      <c r="J3" s="114"/>
      <c r="K3" s="114"/>
    </row>
    <row r="4" spans="1:13" x14ac:dyDescent="0.35">
      <c r="A4" s="53" t="s">
        <v>38</v>
      </c>
      <c r="B4" s="53" t="s">
        <v>42</v>
      </c>
      <c r="C4" s="222" t="s">
        <v>43</v>
      </c>
      <c r="D4" s="223"/>
      <c r="E4" s="223"/>
      <c r="F4" s="223"/>
      <c r="G4" s="224"/>
      <c r="M4" s="1" t="s">
        <v>303</v>
      </c>
    </row>
    <row r="5" spans="1:13" x14ac:dyDescent="0.35">
      <c r="A5" s="124" t="s">
        <v>39</v>
      </c>
      <c r="B5" s="124"/>
      <c r="C5" s="212" t="s">
        <v>213</v>
      </c>
      <c r="D5" s="207"/>
      <c r="E5" s="207"/>
      <c r="F5" s="207"/>
      <c r="G5" s="207"/>
      <c r="M5" t="s">
        <v>304</v>
      </c>
    </row>
    <row r="6" spans="1:13" x14ac:dyDescent="0.35">
      <c r="A6" s="124" t="s">
        <v>40</v>
      </c>
      <c r="B6" s="124"/>
      <c r="C6" s="212" t="s">
        <v>214</v>
      </c>
      <c r="D6" s="207"/>
      <c r="E6" s="207"/>
      <c r="F6" s="207"/>
      <c r="G6" s="207"/>
      <c r="M6" t="s">
        <v>309</v>
      </c>
    </row>
    <row r="7" spans="1:13" x14ac:dyDescent="0.35">
      <c r="A7" s="124" t="s">
        <v>41</v>
      </c>
      <c r="B7" s="124"/>
      <c r="C7" s="212" t="s">
        <v>151</v>
      </c>
      <c r="D7" s="207"/>
      <c r="E7" s="207"/>
      <c r="F7" s="207"/>
      <c r="G7" s="207"/>
      <c r="M7" t="s">
        <v>310</v>
      </c>
    </row>
    <row r="8" spans="1:13" x14ac:dyDescent="0.35">
      <c r="A8" s="113" t="s">
        <v>156</v>
      </c>
      <c r="B8" s="113"/>
      <c r="C8" s="214" t="s">
        <v>314</v>
      </c>
      <c r="D8" s="214"/>
      <c r="E8" s="214"/>
      <c r="F8" s="214"/>
      <c r="G8" s="214"/>
    </row>
    <row r="9" spans="1:13" x14ac:dyDescent="0.35">
      <c r="A9" s="124"/>
      <c r="B9" s="124"/>
      <c r="C9" s="213"/>
      <c r="D9" s="213"/>
      <c r="E9" s="213"/>
      <c r="F9" s="213"/>
      <c r="G9" s="213"/>
    </row>
    <row r="10" spans="1:13" x14ac:dyDescent="0.35">
      <c r="A10" s="124"/>
      <c r="B10" s="124"/>
      <c r="C10" s="213"/>
      <c r="D10" s="213"/>
      <c r="E10" s="213"/>
      <c r="F10" s="213"/>
      <c r="G10" s="213"/>
    </row>
    <row r="11" spans="1:13" x14ac:dyDescent="0.35">
      <c r="A11" s="16"/>
      <c r="B11" s="2"/>
      <c r="C11"/>
    </row>
    <row r="12" spans="1:13" x14ac:dyDescent="0.35">
      <c r="A12" s="19" t="s">
        <v>45</v>
      </c>
      <c r="B12" s="225" t="s">
        <v>197</v>
      </c>
      <c r="C12" s="225"/>
      <c r="D12" s="225"/>
      <c r="E12" s="225"/>
      <c r="F12" s="225"/>
    </row>
    <row r="13" spans="1:13" x14ac:dyDescent="0.35">
      <c r="B13" s="226" t="s">
        <v>324</v>
      </c>
      <c r="C13" s="227"/>
      <c r="D13" s="227"/>
      <c r="E13" s="227"/>
      <c r="F13" s="227"/>
    </row>
    <row r="14" spans="1:13" x14ac:dyDescent="0.35">
      <c r="B14" s="228" t="s">
        <v>312</v>
      </c>
      <c r="C14" s="229"/>
      <c r="D14" s="229"/>
      <c r="E14" s="229"/>
      <c r="F14" s="229"/>
    </row>
    <row r="15" spans="1:13" x14ac:dyDescent="0.35">
      <c r="B15" s="230" t="s">
        <v>46</v>
      </c>
      <c r="C15" s="230"/>
      <c r="D15" s="230"/>
      <c r="E15" s="230"/>
      <c r="F15" s="230"/>
    </row>
    <row r="17" spans="1:14" x14ac:dyDescent="0.35">
      <c r="A17" s="1" t="s">
        <v>53</v>
      </c>
      <c r="D17" s="225" t="s">
        <v>153</v>
      </c>
      <c r="E17" s="225"/>
      <c r="F17" s="225"/>
      <c r="G17" s="225"/>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1" t="s">
        <v>40</v>
      </c>
      <c r="Q1" s="231"/>
      <c r="R1" s="231"/>
      <c r="S1" s="231"/>
      <c r="T1" s="231"/>
      <c r="U1" s="231"/>
      <c r="V1" s="231"/>
      <c r="W1" s="231"/>
      <c r="X1" s="231"/>
      <c r="Y1" s="231"/>
      <c r="AA1" s="231" t="s">
        <v>206</v>
      </c>
      <c r="AB1" s="231"/>
      <c r="AC1" s="231"/>
      <c r="AD1" s="231"/>
      <c r="AE1" s="231"/>
      <c r="AF1" s="231"/>
      <c r="AG1" s="231"/>
      <c r="AH1" s="231"/>
      <c r="AI1" s="231"/>
      <c r="AJ1" s="231"/>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114"/>
      <c r="I3" s="114"/>
      <c r="J3" s="114"/>
      <c r="K3" s="114"/>
    </row>
    <row r="4" spans="1:13" x14ac:dyDescent="0.35">
      <c r="A4" s="53" t="s">
        <v>38</v>
      </c>
      <c r="B4" s="53" t="s">
        <v>42</v>
      </c>
      <c r="C4" s="222" t="s">
        <v>43</v>
      </c>
      <c r="D4" s="223"/>
      <c r="E4" s="223"/>
      <c r="F4" s="223"/>
      <c r="G4" s="224"/>
      <c r="M4" s="1" t="s">
        <v>303</v>
      </c>
    </row>
    <row r="5" spans="1:13" x14ac:dyDescent="0.35">
      <c r="A5" s="124" t="s">
        <v>39</v>
      </c>
      <c r="B5" s="124"/>
      <c r="C5" s="212" t="s">
        <v>213</v>
      </c>
      <c r="D5" s="207"/>
      <c r="E5" s="207"/>
      <c r="F5" s="207"/>
      <c r="G5" s="207"/>
      <c r="M5" t="s">
        <v>304</v>
      </c>
    </row>
    <row r="6" spans="1:13" x14ac:dyDescent="0.35">
      <c r="A6" s="124" t="s">
        <v>40</v>
      </c>
      <c r="B6" s="124"/>
      <c r="C6" s="212" t="s">
        <v>214</v>
      </c>
      <c r="D6" s="207"/>
      <c r="E6" s="207"/>
      <c r="F6" s="207"/>
      <c r="G6" s="207"/>
      <c r="M6" t="s">
        <v>309</v>
      </c>
    </row>
    <row r="7" spans="1:13" x14ac:dyDescent="0.35">
      <c r="A7" s="124" t="s">
        <v>41</v>
      </c>
      <c r="B7" s="124"/>
      <c r="C7" s="212" t="s">
        <v>151</v>
      </c>
      <c r="D7" s="207"/>
      <c r="E7" s="207"/>
      <c r="F7" s="207"/>
      <c r="G7" s="207"/>
      <c r="M7" t="s">
        <v>310</v>
      </c>
    </row>
    <row r="8" spans="1:13" x14ac:dyDescent="0.35">
      <c r="A8" s="113" t="s">
        <v>156</v>
      </c>
      <c r="B8" s="113"/>
      <c r="C8" s="214" t="s">
        <v>314</v>
      </c>
      <c r="D8" s="214"/>
      <c r="E8" s="214"/>
      <c r="F8" s="214"/>
      <c r="G8" s="214"/>
    </row>
    <row r="9" spans="1:13" x14ac:dyDescent="0.35">
      <c r="A9" s="128" t="s">
        <v>147</v>
      </c>
      <c r="B9" s="124"/>
      <c r="C9" s="207" t="s">
        <v>215</v>
      </c>
      <c r="D9" s="207"/>
      <c r="E9" s="207"/>
      <c r="F9" s="207"/>
      <c r="G9" s="207"/>
    </row>
    <row r="10" spans="1:13" x14ac:dyDescent="0.35">
      <c r="A10" s="124"/>
      <c r="B10" s="124"/>
      <c r="C10" s="213"/>
      <c r="D10" s="213"/>
      <c r="E10" s="213"/>
      <c r="F10" s="213"/>
      <c r="G10" s="213"/>
    </row>
    <row r="11" spans="1:13" x14ac:dyDescent="0.35">
      <c r="A11" s="16"/>
      <c r="B11" s="2"/>
      <c r="C11"/>
    </row>
    <row r="12" spans="1:13" x14ac:dyDescent="0.35">
      <c r="A12" s="19" t="s">
        <v>45</v>
      </c>
      <c r="B12" s="225" t="s">
        <v>197</v>
      </c>
      <c r="C12" s="225"/>
      <c r="D12" s="225"/>
      <c r="E12" s="225"/>
      <c r="F12" s="225"/>
    </row>
    <row r="13" spans="1:13" x14ac:dyDescent="0.35">
      <c r="B13" s="226" t="s">
        <v>311</v>
      </c>
      <c r="C13" s="227"/>
      <c r="D13" s="227"/>
      <c r="E13" s="227"/>
      <c r="F13" s="227"/>
    </row>
    <row r="14" spans="1:13" x14ac:dyDescent="0.35">
      <c r="B14" s="228" t="s">
        <v>312</v>
      </c>
      <c r="C14" s="229"/>
      <c r="D14" s="229"/>
      <c r="E14" s="229"/>
      <c r="F14" s="229"/>
    </row>
    <row r="15" spans="1:13" x14ac:dyDescent="0.35">
      <c r="B15" s="230" t="s">
        <v>46</v>
      </c>
      <c r="C15" s="230"/>
      <c r="D15" s="230"/>
      <c r="E15" s="230"/>
      <c r="F15" s="230"/>
    </row>
    <row r="17" spans="1:14" x14ac:dyDescent="0.35">
      <c r="A17" s="1" t="s">
        <v>53</v>
      </c>
      <c r="D17" s="225" t="s">
        <v>153</v>
      </c>
      <c r="E17" s="225"/>
      <c r="F17" s="225"/>
      <c r="G17" s="225"/>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2" t="s">
        <v>233</v>
      </c>
      <c r="E3" s="232"/>
      <c r="F3" s="232" t="s">
        <v>234</v>
      </c>
      <c r="G3" s="232"/>
      <c r="H3" s="232"/>
      <c r="I3" s="232" t="s">
        <v>235</v>
      </c>
      <c r="J3" s="232"/>
      <c r="K3" s="232"/>
      <c r="M3" s="232" t="s">
        <v>41</v>
      </c>
      <c r="N3" s="232"/>
      <c r="O3" s="232"/>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E1"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266</v>
      </c>
    </row>
    <row r="2" spans="1:7" x14ac:dyDescent="0.35">
      <c r="A2" s="85" t="s">
        <v>267</v>
      </c>
    </row>
    <row r="4" spans="1:7" s="78" customFormat="1" ht="43.5" x14ac:dyDescent="0.35">
      <c r="A4" s="56" t="s">
        <v>268</v>
      </c>
      <c r="B4" s="56" t="s">
        <v>273</v>
      </c>
      <c r="C4" s="56" t="s">
        <v>274</v>
      </c>
      <c r="D4" s="57" t="s">
        <v>269</v>
      </c>
      <c r="E4" s="56" t="s">
        <v>294</v>
      </c>
      <c r="F4" s="56" t="s">
        <v>295</v>
      </c>
      <c r="G4" s="165" t="s">
        <v>366</v>
      </c>
    </row>
    <row r="5" spans="1:7"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7"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7" s="78" customFormat="1" ht="58" x14ac:dyDescent="0.35">
      <c r="A7" s="93">
        <v>3490</v>
      </c>
      <c r="B7" s="94" t="s">
        <v>282</v>
      </c>
      <c r="C7" s="94" t="s">
        <v>275</v>
      </c>
      <c r="D7" s="95" t="s">
        <v>272</v>
      </c>
      <c r="E7" s="120" t="str">
        <f>E6</f>
        <v>Highly uncertain</v>
      </c>
      <c r="F7" s="119" t="s">
        <v>296</v>
      </c>
      <c r="G7" s="166">
        <f>VLOOKUP(A7,'Powell-Elevation-Area'!$A$5:$B$689,2)/1000000</f>
        <v>3.9971625</v>
      </c>
    </row>
    <row r="8" spans="1:7" ht="72.5" x14ac:dyDescent="0.35">
      <c r="A8" s="96">
        <v>3525</v>
      </c>
      <c r="B8" s="97" t="s">
        <v>281</v>
      </c>
      <c r="C8" s="97" t="s">
        <v>275</v>
      </c>
      <c r="D8" s="98" t="s">
        <v>271</v>
      </c>
      <c r="E8" s="121" t="s">
        <v>298</v>
      </c>
      <c r="F8" s="121" t="s">
        <v>301</v>
      </c>
      <c r="G8" s="167">
        <f>VLOOKUP(A8,'Powell-Elevation-Area'!$A$5:$B$689,2)/1000000</f>
        <v>5.9265762500000001</v>
      </c>
    </row>
    <row r="9" spans="1:7" ht="43.5" x14ac:dyDescent="0.35">
      <c r="A9" s="99">
        <v>3600</v>
      </c>
      <c r="B9" s="100" t="s">
        <v>280</v>
      </c>
      <c r="C9" s="100" t="s">
        <v>275</v>
      </c>
      <c r="D9" s="101" t="s">
        <v>290</v>
      </c>
      <c r="E9" s="122" t="s">
        <v>291</v>
      </c>
      <c r="F9" s="122" t="str">
        <f>F8</f>
        <v>Help grow + incubate</v>
      </c>
      <c r="G9" s="168">
        <f>VLOOKUP(A9,'Powell-Elevation-Area'!$A$5:$B$689,2)/1000000</f>
        <v>11.750075000000001</v>
      </c>
    </row>
    <row r="10" spans="1:7" ht="101.5" x14ac:dyDescent="0.35">
      <c r="A10" s="102">
        <v>3675</v>
      </c>
      <c r="B10" s="103" t="s">
        <v>279</v>
      </c>
      <c r="C10" s="103" t="s">
        <v>275</v>
      </c>
      <c r="D10" s="104" t="s">
        <v>270</v>
      </c>
      <c r="E10" s="123" t="s">
        <v>300</v>
      </c>
      <c r="F10" s="123" t="s">
        <v>302</v>
      </c>
      <c r="G10" s="169">
        <f>VLOOKUP(A10,'Powell-Elevation-Area'!$A$5:$B$689,2)/1000000</f>
        <v>20.539037499999999</v>
      </c>
    </row>
    <row r="11" spans="1:7"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3"/>
      <c r="D5" s="233"/>
      <c r="E5" s="233"/>
      <c r="F5" s="233"/>
      <c r="G5" s="233"/>
      <c r="H5" s="233"/>
    </row>
    <row r="6" spans="1:11" x14ac:dyDescent="0.35">
      <c r="A6" s="16" t="s">
        <v>39</v>
      </c>
      <c r="B6" s="46"/>
      <c r="C6" s="233"/>
      <c r="D6" s="233"/>
      <c r="E6" s="233"/>
      <c r="F6" s="233"/>
      <c r="G6" s="233"/>
      <c r="H6" s="233"/>
    </row>
    <row r="7" spans="1:11" x14ac:dyDescent="0.35">
      <c r="A7" s="16" t="s">
        <v>40</v>
      </c>
      <c r="B7" s="46"/>
      <c r="C7" s="233"/>
      <c r="D7" s="233"/>
      <c r="E7" s="233"/>
      <c r="F7" s="233"/>
      <c r="G7" s="233"/>
      <c r="H7" s="233"/>
    </row>
    <row r="8" spans="1:11" x14ac:dyDescent="0.35">
      <c r="A8" s="16" t="s">
        <v>41</v>
      </c>
      <c r="B8" s="46"/>
      <c r="C8" s="233"/>
      <c r="D8" s="233"/>
      <c r="E8" s="233"/>
      <c r="F8" s="233"/>
      <c r="G8" s="233"/>
      <c r="H8" s="233"/>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zoomScale="280" zoomScaleNormal="280" workbookViewId="0">
      <selection activeCell="A2" sqref="A2"/>
    </sheetView>
  </sheetViews>
  <sheetFormatPr defaultRowHeight="14.5" x14ac:dyDescent="0.35"/>
  <cols>
    <col min="1" max="3" width="8.7265625" style="85"/>
    <col min="4" max="4" width="46.6328125" style="85" customWidth="1"/>
  </cols>
  <sheetData>
    <row r="1" spans="1:4" x14ac:dyDescent="0.35">
      <c r="A1" s="85" t="s">
        <v>421</v>
      </c>
    </row>
    <row r="3" spans="1:4" s="1" customFormat="1" x14ac:dyDescent="0.35">
      <c r="A3" s="238" t="s">
        <v>408</v>
      </c>
      <c r="B3" s="238"/>
      <c r="C3" s="238"/>
      <c r="D3" s="182" t="s">
        <v>407</v>
      </c>
    </row>
    <row r="4" spans="1:4" ht="29" x14ac:dyDescent="0.35">
      <c r="A4" s="234" t="s">
        <v>399</v>
      </c>
      <c r="B4" s="234"/>
      <c r="C4" s="234"/>
      <c r="D4" s="58" t="s">
        <v>406</v>
      </c>
    </row>
    <row r="5" spans="1:4" ht="43.5" x14ac:dyDescent="0.35">
      <c r="A5" s="235" t="s">
        <v>400</v>
      </c>
      <c r="B5" s="235"/>
      <c r="C5" s="235"/>
      <c r="D5" s="58" t="s">
        <v>405</v>
      </c>
    </row>
    <row r="6" spans="1:4" ht="58" x14ac:dyDescent="0.35">
      <c r="A6" s="236" t="s">
        <v>401</v>
      </c>
      <c r="B6" s="236"/>
      <c r="C6" s="236"/>
      <c r="D6" s="58" t="s">
        <v>404</v>
      </c>
    </row>
    <row r="7" spans="1:4" ht="29" x14ac:dyDescent="0.35">
      <c r="A7" s="237" t="s">
        <v>46</v>
      </c>
      <c r="B7" s="237"/>
      <c r="C7" s="237"/>
      <c r="D7" s="58" t="s">
        <v>403</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424</v>
      </c>
      <c r="D3" s="80" t="s">
        <v>152</v>
      </c>
      <c r="E3" s="80" t="s">
        <v>152</v>
      </c>
      <c r="F3" s="82"/>
      <c r="H3" s="58" t="s">
        <v>367</v>
      </c>
      <c r="I3" s="58" t="s">
        <v>152</v>
      </c>
      <c r="J3" s="60"/>
    </row>
    <row r="4" spans="1:10" ht="57" customHeight="1" x14ac:dyDescent="0.35">
      <c r="A4" s="80">
        <v>3.6</v>
      </c>
      <c r="B4" s="82">
        <v>44463</v>
      </c>
      <c r="C4" s="81" t="s">
        <v>388</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zoomScale="150" zoomScaleNormal="150" workbookViewId="0"/>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392</v>
      </c>
      <c r="B2" s="1"/>
      <c r="N2"/>
    </row>
    <row r="3" spans="1:14" ht="32.15" customHeight="1" x14ac:dyDescent="0.35">
      <c r="A3" s="208" t="s">
        <v>395</v>
      </c>
      <c r="B3" s="208"/>
      <c r="C3" s="208"/>
      <c r="D3" s="208"/>
      <c r="E3" s="208"/>
      <c r="F3" s="208"/>
      <c r="G3" s="208"/>
      <c r="H3" s="114"/>
      <c r="I3" s="114"/>
      <c r="J3" s="114"/>
      <c r="K3" s="114"/>
      <c r="N3" s="181" t="s">
        <v>402</v>
      </c>
    </row>
    <row r="4" spans="1:14" x14ac:dyDescent="0.35">
      <c r="A4" s="173" t="s">
        <v>396</v>
      </c>
      <c r="B4" s="173" t="s">
        <v>42</v>
      </c>
      <c r="C4" s="209" t="s">
        <v>43</v>
      </c>
      <c r="D4" s="210"/>
      <c r="E4" s="210"/>
      <c r="F4" s="210"/>
      <c r="G4" s="211"/>
    </row>
    <row r="5" spans="1:14" x14ac:dyDescent="0.35">
      <c r="A5" s="124" t="s">
        <v>39</v>
      </c>
      <c r="B5" s="124"/>
      <c r="C5" s="212"/>
      <c r="D5" s="207"/>
      <c r="E5" s="207"/>
      <c r="F5" s="207"/>
      <c r="G5" s="207"/>
    </row>
    <row r="6" spans="1:14" x14ac:dyDescent="0.35">
      <c r="A6" s="124" t="s">
        <v>40</v>
      </c>
      <c r="B6" s="124"/>
      <c r="C6" s="212"/>
      <c r="D6" s="207"/>
      <c r="E6" s="207"/>
      <c r="F6" s="207"/>
      <c r="G6" s="207"/>
    </row>
    <row r="7" spans="1:14" x14ac:dyDescent="0.35">
      <c r="A7" s="124" t="s">
        <v>41</v>
      </c>
      <c r="B7" s="124"/>
      <c r="C7" s="212"/>
      <c r="D7" s="207"/>
      <c r="E7" s="207"/>
      <c r="F7" s="207"/>
      <c r="G7" s="207"/>
    </row>
    <row r="8" spans="1:14" x14ac:dyDescent="0.35">
      <c r="A8" s="156" t="s">
        <v>147</v>
      </c>
      <c r="B8" s="155"/>
      <c r="C8" s="207"/>
      <c r="D8" s="207"/>
      <c r="E8" s="207"/>
      <c r="F8" s="207"/>
      <c r="G8" s="207"/>
    </row>
    <row r="9" spans="1:14" x14ac:dyDescent="0.35">
      <c r="A9" s="124"/>
      <c r="B9" s="124"/>
      <c r="C9" s="213"/>
      <c r="D9" s="213"/>
      <c r="E9" s="213"/>
      <c r="F9" s="213"/>
      <c r="G9" s="213"/>
    </row>
    <row r="10" spans="1:14" x14ac:dyDescent="0.35">
      <c r="A10" s="157" t="s">
        <v>156</v>
      </c>
      <c r="B10" s="157"/>
      <c r="C10" s="214"/>
      <c r="D10" s="214"/>
      <c r="E10" s="214"/>
      <c r="F10" s="214"/>
      <c r="G10" s="214"/>
    </row>
    <row r="11" spans="1:14" x14ac:dyDescent="0.35">
      <c r="A11" s="16"/>
      <c r="B11" s="2"/>
      <c r="C11"/>
    </row>
    <row r="12" spans="1:14" x14ac:dyDescent="0.35">
      <c r="A12" s="19" t="s">
        <v>397</v>
      </c>
      <c r="B12" s="215" t="s">
        <v>399</v>
      </c>
      <c r="C12" s="216"/>
      <c r="D12" s="217"/>
    </row>
    <row r="13" spans="1:14" x14ac:dyDescent="0.35">
      <c r="B13" s="218" t="s">
        <v>400</v>
      </c>
      <c r="C13" s="219"/>
      <c r="D13" s="220"/>
    </row>
    <row r="14" spans="1:14" x14ac:dyDescent="0.35">
      <c r="B14" s="199" t="s">
        <v>401</v>
      </c>
      <c r="C14" s="200"/>
      <c r="D14" s="201"/>
    </row>
    <row r="15" spans="1:14" x14ac:dyDescent="0.35">
      <c r="B15" s="202" t="s">
        <v>46</v>
      </c>
      <c r="C15" s="203"/>
      <c r="D15" s="204"/>
    </row>
    <row r="17" spans="1:14" x14ac:dyDescent="0.35">
      <c r="A17" s="1" t="s">
        <v>398</v>
      </c>
      <c r="B17" s="1" t="s">
        <v>109</v>
      </c>
      <c r="C17" s="13" t="s">
        <v>110</v>
      </c>
    </row>
    <row r="18" spans="1:14" x14ac:dyDescent="0.35">
      <c r="A18" t="s">
        <v>108</v>
      </c>
      <c r="B18" s="150">
        <v>5.73</v>
      </c>
      <c r="C18" s="150">
        <v>6</v>
      </c>
      <c r="D18" s="23" t="s">
        <v>111</v>
      </c>
    </row>
    <row r="19" spans="1:14" x14ac:dyDescent="0.35">
      <c r="A19" t="s">
        <v>140</v>
      </c>
      <c r="B19" s="150">
        <v>7.2</v>
      </c>
      <c r="C19" s="150">
        <v>9</v>
      </c>
      <c r="D19" s="183" t="s">
        <v>410</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426</v>
      </c>
      <c r="B22" s="150">
        <f>78.1</f>
        <v>78.099999999999994</v>
      </c>
      <c r="C22"/>
      <c r="D22" s="152"/>
      <c r="E22" s="45"/>
    </row>
    <row r="23" spans="1:14" x14ac:dyDescent="0.35">
      <c r="A23" t="s">
        <v>427</v>
      </c>
      <c r="B23" s="184">
        <v>0.17</v>
      </c>
      <c r="C23"/>
      <c r="D23" s="152"/>
      <c r="E23" s="45"/>
    </row>
    <row r="24" spans="1:14" x14ac:dyDescent="0.35">
      <c r="A24" t="s">
        <v>425</v>
      </c>
      <c r="B24" s="150">
        <f>10*(7.5+1.5/2)-B22-B23</f>
        <v>4.2300000000000058</v>
      </c>
      <c r="C24"/>
      <c r="D24" s="152"/>
      <c r="E24" s="45"/>
    </row>
    <row r="25" spans="1:14" x14ac:dyDescent="0.35">
      <c r="B25" s="45"/>
    </row>
    <row r="26" spans="1:14" s="1" customFormat="1" x14ac:dyDescent="0.35">
      <c r="A26" s="137" t="s">
        <v>382</v>
      </c>
      <c r="B26" s="138" t="s">
        <v>48</v>
      </c>
      <c r="C26" s="138" t="s">
        <v>5</v>
      </c>
      <c r="D26" s="138" t="s">
        <v>6</v>
      </c>
      <c r="E26" s="138" t="s">
        <v>7</v>
      </c>
      <c r="F26" s="138" t="s">
        <v>8</v>
      </c>
      <c r="G26" s="138" t="s">
        <v>9</v>
      </c>
      <c r="H26" s="138" t="s">
        <v>10</v>
      </c>
      <c r="I26" s="138" t="s">
        <v>11</v>
      </c>
      <c r="J26" s="138" t="s">
        <v>12</v>
      </c>
      <c r="K26" s="138" t="s">
        <v>36</v>
      </c>
      <c r="L26" s="138" t="s">
        <v>37</v>
      </c>
      <c r="M26" s="138" t="s">
        <v>106</v>
      </c>
      <c r="N26" s="175" t="s">
        <v>171</v>
      </c>
    </row>
    <row r="27" spans="1:14" x14ac:dyDescent="0.35">
      <c r="A27" s="170" t="s">
        <v>378</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333</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287</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70" t="s">
        <v>379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B19-B21</f>
        <v>1.2734237500000001</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4" t="s">
        <v>176</v>
      </c>
    </row>
    <row r="33" spans="1:14" x14ac:dyDescent="0.35">
      <c r="A33" t="str">
        <f t="shared" si="4"/>
        <v xml:space="preserve">    Lower Basin Balance</v>
      </c>
      <c r="B33" s="111">
        <f>C19-C21-B34</f>
        <v>3.1614070000000001</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4"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s="17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row>
    <row r="37" spans="1:14" x14ac:dyDescent="0.35">
      <c r="A37" t="str">
        <f t="shared" si="4"/>
        <v xml:space="preserve">    Shared, Reserve Balance</v>
      </c>
      <c r="B37" s="111">
        <f>SUM(B21:C21)</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4" t="s">
        <v>175</v>
      </c>
    </row>
    <row r="38" spans="1:14" x14ac:dyDescent="0.35">
      <c r="A38" s="1" t="s">
        <v>393</v>
      </c>
      <c r="C38"/>
      <c r="N38" s="174" t="s">
        <v>394</v>
      </c>
    </row>
    <row r="39" spans="1:14" x14ac:dyDescent="0.35">
      <c r="A39" t="s">
        <v>112</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s="1" t="s">
        <v>380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35">
      <c r="A48" s="1" t="s">
        <v>381</v>
      </c>
      <c r="B48" s="74"/>
      <c r="C48" s="49" t="str">
        <f>IF(C$27&lt;&gt;"",1.5-0.21/9/2-VLOOKUP(C40,MandatoryConservation!$C$5:$P$13,13),"")</f>
        <v/>
      </c>
      <c r="D48" s="49" t="str">
        <f>IF(D$27&lt;&gt;"",1.5-0.21/9/2-VLOOKUP(D40,MandatoryConservation!$C$5:$P$13,13),"")</f>
        <v/>
      </c>
      <c r="E48" s="49" t="str">
        <f>IF(E$27&lt;&gt;"",1.5-0.21/9/2-VLOOKUP(E40,MandatoryConservation!$C$5:$P$13,13),"")</f>
        <v/>
      </c>
      <c r="F48" s="49" t="str">
        <f>IF(F$27&lt;&gt;"",1.5-0.21/9/2-VLOOKUP(F40,MandatoryConservation!$C$5:$P$13,13),"")</f>
        <v/>
      </c>
      <c r="G48" s="49" t="str">
        <f>IF(G$27&lt;&gt;"",1.5-0.21/9/2-VLOOKUP(G40,MandatoryConservation!$C$5:$P$13,13),"")</f>
        <v/>
      </c>
      <c r="H48" s="49" t="str">
        <f>IF(H$27&lt;&gt;"",1.5-0.21/9/2-VLOOKUP(H40,MandatoryConservation!$C$5:$P$13,13),"")</f>
        <v/>
      </c>
      <c r="I48" s="49" t="str">
        <f>IF(I$27&lt;&gt;"",1.5-0.21/9/2-VLOOKUP(I40,MandatoryConservation!$C$5:$P$13,13),"")</f>
        <v/>
      </c>
      <c r="J48" s="49" t="str">
        <f>IF(J$27&lt;&gt;"",1.5-0.21/9/2-VLOOKUP(J40,MandatoryConservation!$C$5:$P$13,13),"")</f>
        <v/>
      </c>
      <c r="K48" s="49" t="str">
        <f>IF(K$27&lt;&gt;"",1.5-0.21/9/2-VLOOKUP(K40,MandatoryConservation!$C$5:$P$13,13),"")</f>
        <v/>
      </c>
      <c r="L48" s="49" t="str">
        <f>IF(L$27&lt;&gt;"",1.5-0.21/9/2-VLOOKUP(L40,MandatoryConservation!$C$5:$P$13,13),"")</f>
        <v/>
      </c>
      <c r="N48" s="174" t="s">
        <v>341</v>
      </c>
    </row>
    <row r="49" spans="1:14" x14ac:dyDescent="0.35">
      <c r="A49" s="170" t="s">
        <v>428</v>
      </c>
      <c r="B49" s="1"/>
      <c r="C49" s="51" t="str">
        <f>IF(C27="","",SUM(C27:C29)-C30)</f>
        <v/>
      </c>
      <c r="D49" s="51" t="str">
        <f t="shared" ref="D49:L49" si="17">IF(D27="","",SUM(D27:D29)-D30)</f>
        <v/>
      </c>
      <c r="E49" s="51" t="str">
        <f t="shared" si="17"/>
        <v/>
      </c>
      <c r="F49" s="51" t="str">
        <f t="shared" si="17"/>
        <v/>
      </c>
      <c r="G49" s="51" t="str">
        <f t="shared" si="17"/>
        <v/>
      </c>
      <c r="H49" s="51" t="str">
        <f t="shared" si="17"/>
        <v/>
      </c>
      <c r="I49" s="51" t="str">
        <f t="shared" si="17"/>
        <v/>
      </c>
      <c r="J49" s="51" t="str">
        <f t="shared" si="17"/>
        <v/>
      </c>
      <c r="K49" s="51" t="str">
        <f t="shared" si="17"/>
        <v/>
      </c>
      <c r="L49" s="51" t="str">
        <f t="shared" si="17"/>
        <v/>
      </c>
      <c r="M49" s="45"/>
      <c r="N49" s="176"/>
    </row>
    <row r="50" spans="1:14" x14ac:dyDescent="0.35">
      <c r="A50" t="str">
        <f t="shared" ref="A50:A55" si="18">IF(A5="","","    To "&amp;A5)</f>
        <v xml:space="preserve">    To Upper Basin</v>
      </c>
      <c r="B50" s="129" t="s">
        <v>146</v>
      </c>
      <c r="C50" s="108" t="str">
        <f>IF(OR(C$27="",$A50=""),"",MAX(C27-($B$24)-C55*$B$21/SUM($B$21:$C$21),0))</f>
        <v/>
      </c>
      <c r="D50" s="108" t="str">
        <f>IF(OR(D$27="",$A50=""),"",MAX(0,D27-$B$51-D48/2-D55*$B$21/SUM($B$21:$C$21)))</f>
        <v/>
      </c>
      <c r="E50" s="108" t="str">
        <f t="shared" ref="E50:L50" si="19">IF(OR(E$27="",$A50=""),"",MAX(0,E27-$B$51-E48/2-E55*$B$21/SUM($B$21:$C$21)))</f>
        <v/>
      </c>
      <c r="F50" s="108" t="str">
        <f t="shared" si="19"/>
        <v/>
      </c>
      <c r="G50" s="108" t="str">
        <f t="shared" si="19"/>
        <v/>
      </c>
      <c r="H50" s="108" t="str">
        <f t="shared" si="19"/>
        <v/>
      </c>
      <c r="I50" s="108" t="str">
        <f t="shared" si="19"/>
        <v/>
      </c>
      <c r="J50" s="108" t="str">
        <f t="shared" si="19"/>
        <v/>
      </c>
      <c r="K50" s="108" t="str">
        <f t="shared" si="19"/>
        <v/>
      </c>
      <c r="L50" s="108" t="str">
        <f t="shared" si="19"/>
        <v/>
      </c>
      <c r="M50" s="29"/>
      <c r="N50" s="177" t="s">
        <v>352</v>
      </c>
    </row>
    <row r="51" spans="1:14" x14ac:dyDescent="0.35">
      <c r="A51" t="str">
        <f t="shared" si="18"/>
        <v xml:space="preserve">    To Lower Basin</v>
      </c>
      <c r="B51" s="130">
        <f>7.5</f>
        <v>7.5</v>
      </c>
      <c r="C51" s="108" t="str">
        <f>IF(OR(C$27="",$A51=""),"",C28+C29-C30-C55*$C$21/SUM($B$21:$C$21)-C52+MIN($B$24,C27))</f>
        <v/>
      </c>
      <c r="D51" s="108" t="str">
        <f>IF(OR(D$27="",$A51=""),"",D28+D29-D30-D55*IF($B51&lt;D27-D52/2,$C$21/SUM($B$21:$C$21),1)-D52/2+MIN($B51,D27-D52/2))</f>
        <v/>
      </c>
      <c r="E51" s="108" t="str">
        <f>IF(OR(E$27="",$A51=""),"",E28+E29-E30-E55*IF($B51&lt;E27-E52/2,$C$21/SUM($B$21:$C$21),1)-E52/2+MIN($B51,E27-E52/2))</f>
        <v/>
      </c>
      <c r="F51" s="108" t="str">
        <f t="shared" ref="F51:L51" si="20">IF(OR(F$27="",$A51=""),"",F28+F29-F30-F55*IF($B51&lt;F27-F52/2,$C$21/SUM($B$21:$C$21),1)-F52/2+MIN($B51,F27-F52/2))</f>
        <v/>
      </c>
      <c r="G51" s="108" t="str">
        <f t="shared" si="20"/>
        <v/>
      </c>
      <c r="H51" s="108" t="str">
        <f t="shared" si="20"/>
        <v/>
      </c>
      <c r="I51" s="108" t="str">
        <f t="shared" si="20"/>
        <v/>
      </c>
      <c r="J51" s="108" t="str">
        <f t="shared" si="20"/>
        <v/>
      </c>
      <c r="K51" s="108" t="str">
        <f t="shared" si="20"/>
        <v/>
      </c>
      <c r="L51" s="108" t="str">
        <f t="shared" si="20"/>
        <v/>
      </c>
      <c r="M51" s="29"/>
      <c r="N51" s="178"/>
    </row>
    <row r="52" spans="1:14" x14ac:dyDescent="0.35">
      <c r="A52" t="str">
        <f t="shared" si="18"/>
        <v xml:space="preserve">    To Mexico</v>
      </c>
      <c r="B52" s="130" t="s">
        <v>340</v>
      </c>
      <c r="C52" s="108" t="str">
        <f>IF(OR(C$27="",$A52=""),"",IF(C$49&gt;SUM(C53:C55,C48),C48,C$49-SUM(C53:C55)))</f>
        <v/>
      </c>
      <c r="D52" s="108" t="str">
        <f>IF(OR(D$27="",$A52=""),"",IF(D$49&gt;SUM(D53:D55,D48),D48,D$49-SUM(D53:D55)))</f>
        <v/>
      </c>
      <c r="E52" s="108" t="str">
        <f t="shared" ref="E52:L52" si="21">IF(OR(E$27="",$A52=""),"",IF(E$49&gt;SUM(E53:E55,E48),E48,E$49-SUM(E53:E54)))</f>
        <v/>
      </c>
      <c r="F52" s="108" t="str">
        <f t="shared" si="21"/>
        <v/>
      </c>
      <c r="G52" s="108" t="str">
        <f t="shared" si="21"/>
        <v/>
      </c>
      <c r="H52" s="108" t="str">
        <f t="shared" si="21"/>
        <v/>
      </c>
      <c r="I52" s="108" t="str">
        <f t="shared" si="21"/>
        <v/>
      </c>
      <c r="J52" s="108" t="str">
        <f t="shared" si="21"/>
        <v/>
      </c>
      <c r="K52" s="108" t="str">
        <f t="shared" si="21"/>
        <v/>
      </c>
      <c r="L52" s="108" t="str">
        <f t="shared" si="21"/>
        <v/>
      </c>
      <c r="M52" s="29"/>
      <c r="N52" s="177" t="s">
        <v>342</v>
      </c>
    </row>
    <row r="53" spans="1:14" x14ac:dyDescent="0.35">
      <c r="A53" t="str">
        <f t="shared" si="18"/>
        <v xml:space="preserve">    To Colorado River Delta</v>
      </c>
      <c r="B53" s="139">
        <f>0.21/9*(2/3)</f>
        <v>1.5555555555555553E-2</v>
      </c>
      <c r="C53" s="140" t="str">
        <f>IF(OR(C$27="",$A53=""),"",MIN($B53,C$49-SUM(C54:C55)))</f>
        <v/>
      </c>
      <c r="D53" s="140" t="str">
        <f t="shared" ref="D53:L53" si="22">IF(OR(D$27="",$A53=""),"",MIN($B53,D$49-SUM(D54:D55)))</f>
        <v/>
      </c>
      <c r="E53" s="140" t="str">
        <f t="shared" si="22"/>
        <v/>
      </c>
      <c r="F53" s="140" t="str">
        <f t="shared" si="22"/>
        <v/>
      </c>
      <c r="G53" s="140" t="str">
        <f t="shared" si="22"/>
        <v/>
      </c>
      <c r="H53" s="140" t="str">
        <f t="shared" si="22"/>
        <v/>
      </c>
      <c r="I53" s="140" t="str">
        <f t="shared" si="22"/>
        <v/>
      </c>
      <c r="J53" s="140" t="str">
        <f t="shared" si="22"/>
        <v/>
      </c>
      <c r="K53" s="140" t="str">
        <f t="shared" si="22"/>
        <v/>
      </c>
      <c r="L53" s="140" t="str">
        <f t="shared" si="22"/>
        <v/>
      </c>
      <c r="M53" s="29"/>
      <c r="N53" s="177" t="s">
        <v>339</v>
      </c>
    </row>
    <row r="54" spans="1:14" x14ac:dyDescent="0.35">
      <c r="A54" t="str">
        <f t="shared" si="18"/>
        <v/>
      </c>
      <c r="B54" s="130"/>
      <c r="C54" s="108"/>
      <c r="D54" s="108"/>
      <c r="E54" s="108"/>
      <c r="F54" s="108"/>
      <c r="G54" s="108"/>
      <c r="H54" s="108"/>
      <c r="I54" s="108"/>
      <c r="J54" s="108"/>
      <c r="K54" s="108"/>
      <c r="L54" s="108"/>
      <c r="M54" s="29"/>
      <c r="N54" s="178"/>
    </row>
    <row r="55" spans="1:14" x14ac:dyDescent="0.35">
      <c r="A55" t="str">
        <f t="shared" si="18"/>
        <v xml:space="preserve">    To Shared, Reserve</v>
      </c>
      <c r="B55" s="130" t="s">
        <v>353</v>
      </c>
      <c r="C55" s="108" t="str">
        <f>IF(OR(C$27="",$A55=""),"",IF(C$49&gt;C47,C47,C49))</f>
        <v/>
      </c>
      <c r="D55" s="108" t="str">
        <f>IF(OR(D$27="",$A55=""),"",IF(D$49&gt;D47,D47,D49))</f>
        <v/>
      </c>
      <c r="E55" s="108" t="str">
        <f t="shared" ref="E55:L55" si="23">IF(OR(E$27="",$A55=""),"",IF(E$49&gt;E47,E47,E49))</f>
        <v/>
      </c>
      <c r="F55" s="108" t="str">
        <f t="shared" si="23"/>
        <v/>
      </c>
      <c r="G55" s="108" t="str">
        <f t="shared" si="23"/>
        <v/>
      </c>
      <c r="H55" s="108" t="str">
        <f t="shared" si="23"/>
        <v/>
      </c>
      <c r="I55" s="108" t="str">
        <f t="shared" si="23"/>
        <v/>
      </c>
      <c r="J55" s="108" t="str">
        <f t="shared" si="23"/>
        <v/>
      </c>
      <c r="K55" s="108" t="str">
        <f t="shared" si="23"/>
        <v/>
      </c>
      <c r="L55" s="108" t="str">
        <f t="shared" si="23"/>
        <v/>
      </c>
      <c r="M55" s="29"/>
      <c r="N55" s="178"/>
    </row>
    <row r="56" spans="1:14" x14ac:dyDescent="0.35">
      <c r="B56" s="159"/>
      <c r="C56" s="29"/>
      <c r="D56" s="29"/>
      <c r="E56" s="29"/>
      <c r="F56" s="159"/>
      <c r="G56" s="45"/>
    </row>
    <row r="57" spans="1:14" x14ac:dyDescent="0.35">
      <c r="A57" s="136" t="s">
        <v>429</v>
      </c>
      <c r="B57" s="133"/>
      <c r="C57" s="133"/>
      <c r="D57" s="133"/>
      <c r="E57" s="133"/>
      <c r="F57" s="133"/>
      <c r="G57" s="133"/>
      <c r="H57" s="133"/>
      <c r="I57" s="133"/>
      <c r="J57" s="133"/>
      <c r="K57" s="133"/>
      <c r="L57" s="133"/>
      <c r="M57" s="133"/>
    </row>
    <row r="58" spans="1:14" x14ac:dyDescent="0.35">
      <c r="A58" s="162" t="str">
        <f>IF(A$5="[Unused]","",A5)</f>
        <v>Upper Basin</v>
      </c>
      <c r="B58" s="134"/>
      <c r="C58" s="134"/>
      <c r="D58" s="134"/>
      <c r="E58" s="134"/>
      <c r="F58" s="134"/>
      <c r="G58" s="134"/>
      <c r="H58" s="134"/>
      <c r="I58" s="134"/>
      <c r="J58" s="134"/>
      <c r="K58" s="134"/>
      <c r="L58" s="134"/>
      <c r="M58" s="135" t="s">
        <v>106</v>
      </c>
      <c r="N58" s="174" t="s">
        <v>171</v>
      </c>
    </row>
    <row r="59" spans="1:14" x14ac:dyDescent="0.35">
      <c r="A59" s="171" t="str">
        <f>IF(A58="[Unused]","","   Enter volume to Buy(+) or Sell(-) [maf]")</f>
        <v xml:space="preserve">   Enter volume to Buy(+) or Sell(-) [maf]</v>
      </c>
      <c r="C59" s="125"/>
      <c r="D59" s="125"/>
      <c r="E59" s="125"/>
      <c r="F59" s="125"/>
      <c r="G59" s="125"/>
      <c r="H59" s="125"/>
      <c r="I59" s="125"/>
      <c r="J59" s="125"/>
      <c r="K59" s="125"/>
      <c r="L59" s="125"/>
      <c r="M59" s="67">
        <f>SUM(C59:L59)</f>
        <v>0</v>
      </c>
      <c r="N59" s="174" t="str">
        <f>IF(A59="","","Add if multiple transactions, e.g.: 0.5 + 0.25")</f>
        <v>Add if multiple transactions, e.g.: 0.5 + 0.25</v>
      </c>
    </row>
    <row r="60" spans="1:14" x14ac:dyDescent="0.35">
      <c r="A60" s="171" t="str">
        <f>IF(A59="","","   Enter compensation to Pay(-) or Receive(+) [$ Mill]")</f>
        <v xml:space="preserve">   Enter compensation to Pay(-) or Receive(+) [$ Mill]</v>
      </c>
      <c r="C60" s="126"/>
      <c r="D60" s="126"/>
      <c r="E60" s="126"/>
      <c r="F60" s="125"/>
      <c r="G60" s="126"/>
      <c r="H60" s="126"/>
      <c r="I60" s="126"/>
      <c r="J60" s="126"/>
      <c r="K60" s="126"/>
      <c r="L60" s="126"/>
      <c r="M60" s="65">
        <f>SUM(C60:L60)</f>
        <v>0</v>
      </c>
      <c r="N60" s="174" t="str">
        <f>IF(A60="","","Add if multiple transactions, e.g.: $350*0.5 + $450*0.25")</f>
        <v>Add if multiple transactions, e.g.: $350*0.5 + $450*0.25</v>
      </c>
    </row>
    <row r="61" spans="1:14" x14ac:dyDescent="0.35">
      <c r="A61" s="32" t="str">
        <f>IF(A60="","","   Net trade volume all players (should be zero)")</f>
        <v xml:space="preserve">   Net trade volume all players (should be zero)</v>
      </c>
      <c r="C61" s="67" t="str">
        <f t="shared" ref="C61:M61" si="24">IF(OR(C$27="",$A61=""),"",C$114)</f>
        <v/>
      </c>
      <c r="D61" s="67" t="str">
        <f t="shared" si="24"/>
        <v/>
      </c>
      <c r="E61" s="67" t="str">
        <f t="shared" si="24"/>
        <v/>
      </c>
      <c r="F61" s="67" t="str">
        <f t="shared" si="24"/>
        <v/>
      </c>
      <c r="G61" s="67" t="str">
        <f t="shared" si="24"/>
        <v/>
      </c>
      <c r="H61" s="67" t="str">
        <f t="shared" si="24"/>
        <v/>
      </c>
      <c r="I61" s="67" t="str">
        <f t="shared" si="24"/>
        <v/>
      </c>
      <c r="J61" s="67" t="str">
        <f t="shared" si="24"/>
        <v/>
      </c>
      <c r="K61" s="67" t="str">
        <f t="shared" si="24"/>
        <v/>
      </c>
      <c r="L61" s="67" t="str">
        <f t="shared" si="24"/>
        <v/>
      </c>
      <c r="M61" t="str">
        <f t="shared" si="24"/>
        <v/>
      </c>
      <c r="N61" s="174"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4" t="str">
        <f>IF(A62="","","Available water = Account Balance + Available Inflow - Evaporation + Sales - Purchases")</f>
        <v>Available water = Account Balance + Available Inflow - Evaporation + Sales - Purchases</v>
      </c>
    </row>
    <row r="63" spans="1:14" x14ac:dyDescent="0.35">
      <c r="A63" s="170" t="str">
        <f>IF(A62="","","   Enter withdraw [maf] within available water")</f>
        <v xml:space="preserve">   Enter withdraw [maf] within available water</v>
      </c>
      <c r="C63" s="127"/>
      <c r="D63" s="127"/>
      <c r="E63" s="127"/>
      <c r="F63" s="127"/>
      <c r="G63" s="127"/>
      <c r="H63" s="127"/>
      <c r="I63" s="127"/>
      <c r="J63" s="127"/>
      <c r="K63" s="127"/>
      <c r="L63" s="127"/>
      <c r="N63" s="174"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6">IF(OR(D$27="",$A64=""),"",D62-D63)</f>
        <v/>
      </c>
      <c r="E64" s="66" t="str">
        <f t="shared" si="26"/>
        <v/>
      </c>
      <c r="F64" s="66" t="str">
        <f t="shared" si="26"/>
        <v/>
      </c>
      <c r="G64" s="66" t="str">
        <f t="shared" si="26"/>
        <v/>
      </c>
      <c r="H64" s="66" t="str">
        <f t="shared" si="26"/>
        <v/>
      </c>
      <c r="I64" s="66" t="str">
        <f t="shared" si="26"/>
        <v/>
      </c>
      <c r="J64" s="66" t="str">
        <f t="shared" si="26"/>
        <v/>
      </c>
      <c r="K64" s="66" t="str">
        <f t="shared" si="26"/>
        <v/>
      </c>
      <c r="L64" s="66" t="str">
        <f t="shared" si="26"/>
        <v/>
      </c>
      <c r="N64" s="17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74" t="s">
        <v>171</v>
      </c>
    </row>
    <row r="67" spans="1:14" x14ac:dyDescent="0.35">
      <c r="A67" s="171" t="str">
        <f>IF(A66="[Unused]","",$A$59)</f>
        <v xml:space="preserve">   Enter volume to Buy(+) or Sell(-) [maf]</v>
      </c>
      <c r="C67" s="125"/>
      <c r="D67" s="125"/>
      <c r="E67" s="125"/>
      <c r="F67" s="125"/>
      <c r="G67" s="125"/>
      <c r="H67" s="125"/>
      <c r="I67" s="125"/>
      <c r="J67" s="125"/>
      <c r="K67" s="125"/>
      <c r="L67" s="125"/>
      <c r="M67" s="67">
        <f>SUM(C67:L67)</f>
        <v>0</v>
      </c>
      <c r="N67" s="174" t="str">
        <f>IF(A67="","",N59)</f>
        <v>Add if multiple transactions, e.g.: 0.5 + 0.25</v>
      </c>
    </row>
    <row r="68" spans="1:14" x14ac:dyDescent="0.35">
      <c r="A68" s="171" t="str">
        <f>IF(A67="","",$A$60)</f>
        <v xml:space="preserve">   Enter compensation to Pay(-) or Receive(+) [$ Mill]</v>
      </c>
      <c r="C68" s="126"/>
      <c r="D68" s="126"/>
      <c r="E68" s="126"/>
      <c r="F68" s="126"/>
      <c r="G68" s="126"/>
      <c r="H68" s="126"/>
      <c r="I68" s="126"/>
      <c r="J68" s="126"/>
      <c r="K68" s="126"/>
      <c r="L68" s="126"/>
      <c r="M68" s="65">
        <f>SUM(C68:L68)</f>
        <v>0</v>
      </c>
      <c r="N68" s="174" t="str">
        <f t="shared" ref="N68:N72" si="27">IF(A68="","",N60)</f>
        <v>Add if multiple transactions, e.g.: $350*0.5 + $450*0.25</v>
      </c>
    </row>
    <row r="69" spans="1:14" x14ac:dyDescent="0.35">
      <c r="A69" s="239" t="str">
        <f>IF(A68="","",$A$61)</f>
        <v xml:space="preserve">   Net trade volume all players (should be zero)</v>
      </c>
      <c r="C69" s="67" t="str">
        <f t="shared" ref="C69:M69" si="28">IF(OR(C$27="",$A69=""),"",C$114)</f>
        <v/>
      </c>
      <c r="D69" s="67" t="str">
        <f t="shared" si="28"/>
        <v/>
      </c>
      <c r="E69" s="67" t="str">
        <f t="shared" si="28"/>
        <v/>
      </c>
      <c r="F69" s="67" t="str">
        <f t="shared" si="28"/>
        <v/>
      </c>
      <c r="G69" s="67" t="str">
        <f t="shared" si="28"/>
        <v/>
      </c>
      <c r="H69" s="67" t="str">
        <f t="shared" si="28"/>
        <v/>
      </c>
      <c r="I69" s="67" t="str">
        <f t="shared" si="28"/>
        <v/>
      </c>
      <c r="J69" s="67" t="str">
        <f t="shared" si="28"/>
        <v/>
      </c>
      <c r="K69" s="67" t="str">
        <f t="shared" si="28"/>
        <v/>
      </c>
      <c r="L69" s="67" t="str">
        <f t="shared" si="28"/>
        <v/>
      </c>
      <c r="M69" t="str">
        <f t="shared" si="28"/>
        <v/>
      </c>
      <c r="N69" s="174" t="str">
        <f t="shared" si="27"/>
        <v>If non-zero, players need to change amount(s)</v>
      </c>
    </row>
    <row r="70" spans="1:14" x14ac:dyDescent="0.3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4" t="str">
        <f t="shared" si="27"/>
        <v>Available water = Account Balance + Available Inflow - Evaporation + Sales - Purchases</v>
      </c>
    </row>
    <row r="71" spans="1:14" x14ac:dyDescent="0.35">
      <c r="A71" s="170" t="str">
        <f>IF(A70="","",$A$63)</f>
        <v xml:space="preserve">   Enter withdraw [maf] within available water</v>
      </c>
      <c r="C71" s="127"/>
      <c r="D71" s="127"/>
      <c r="E71" s="127"/>
      <c r="F71" s="127"/>
      <c r="G71" s="127"/>
      <c r="H71" s="127"/>
      <c r="I71" s="127"/>
      <c r="J71" s="127"/>
      <c r="K71" s="127"/>
      <c r="L71" s="127"/>
      <c r="N71" s="174" t="str">
        <f t="shared" si="27"/>
        <v>Must be less than Available water</v>
      </c>
    </row>
    <row r="72" spans="1:14" x14ac:dyDescent="0.35">
      <c r="A72" s="32" t="str">
        <f>IF(A71="","","   End of Year Balance [maf]")</f>
        <v xml:space="preserve">   End of Year Balance [maf]</v>
      </c>
      <c r="C72" s="66" t="str">
        <f>IF(OR(C$27="",$A72=""),"",C70-C71)</f>
        <v/>
      </c>
      <c r="D72" s="66" t="str">
        <f t="shared" ref="D72:L72" si="30">IF(OR(D$27="",$A72=""),"",D70-D71)</f>
        <v/>
      </c>
      <c r="E72" s="66" t="str">
        <f t="shared" si="30"/>
        <v/>
      </c>
      <c r="F72" s="66" t="str">
        <f t="shared" si="30"/>
        <v/>
      </c>
      <c r="G72" s="66" t="str">
        <f t="shared" si="30"/>
        <v/>
      </c>
      <c r="H72" s="66" t="str">
        <f t="shared" si="30"/>
        <v/>
      </c>
      <c r="I72" s="66" t="str">
        <f t="shared" si="30"/>
        <v/>
      </c>
      <c r="J72" s="66" t="str">
        <f t="shared" si="30"/>
        <v/>
      </c>
      <c r="K72" s="66" t="str">
        <f t="shared" si="30"/>
        <v/>
      </c>
      <c r="L72" s="66" t="str">
        <f t="shared" si="30"/>
        <v/>
      </c>
      <c r="N72" s="174" t="str">
        <f t="shared" si="27"/>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74" t="s">
        <v>171</v>
      </c>
    </row>
    <row r="75" spans="1:14" x14ac:dyDescent="0.35">
      <c r="A75" s="171" t="str">
        <f>IF(A74="[Unused]","",$A$59)</f>
        <v xml:space="preserve">   Enter volume to Buy(+) or Sell(-) [maf]</v>
      </c>
      <c r="C75" s="125"/>
      <c r="D75" s="125"/>
      <c r="E75" s="125"/>
      <c r="F75" s="125"/>
      <c r="G75" s="125"/>
      <c r="H75" s="125"/>
      <c r="I75" s="125"/>
      <c r="J75" s="125"/>
      <c r="K75" s="125"/>
      <c r="L75" s="125"/>
      <c r="M75" s="67">
        <f>SUM(C75:L75)</f>
        <v>0</v>
      </c>
      <c r="N75" s="174" t="str">
        <f>IF(A75="","",N67)</f>
        <v>Add if multiple transactions, e.g.: 0.5 + 0.25</v>
      </c>
    </row>
    <row r="76" spans="1:14" x14ac:dyDescent="0.35">
      <c r="A76" s="171" t="str">
        <f>IF(A75="","",$A$60)</f>
        <v xml:space="preserve">   Enter compensation to Pay(-) or Receive(+) [$ Mill]</v>
      </c>
      <c r="C76" s="126"/>
      <c r="D76" s="126"/>
      <c r="E76" s="126"/>
      <c r="F76" s="126"/>
      <c r="G76" s="126"/>
      <c r="H76" s="126"/>
      <c r="I76" s="126"/>
      <c r="J76" s="126"/>
      <c r="K76" s="126"/>
      <c r="L76" s="126"/>
      <c r="M76" s="65">
        <f>SUM(C76:L76)</f>
        <v>0</v>
      </c>
      <c r="N76" s="174" t="str">
        <f t="shared" ref="N76:N80" si="31">IF(A76="","",N68)</f>
        <v>Add if multiple transactions, e.g.: $350*0.5 + $450*0.25</v>
      </c>
    </row>
    <row r="77" spans="1:14" x14ac:dyDescent="0.35">
      <c r="A77" s="239" t="str">
        <f>IF(A76="","",$A$61)</f>
        <v xml:space="preserve">   Net trade volume all players (should be zero)</v>
      </c>
      <c r="C77" s="67" t="str">
        <f t="shared" ref="C77:M77" si="32">IF(OR(C$27="",$A77=""),"",C$114)</f>
        <v/>
      </c>
      <c r="D77" s="67" t="str">
        <f t="shared" si="32"/>
        <v/>
      </c>
      <c r="E77" s="67" t="str">
        <f t="shared" si="32"/>
        <v/>
      </c>
      <c r="F77" s="67" t="str">
        <f t="shared" si="32"/>
        <v/>
      </c>
      <c r="G77" s="67" t="str">
        <f t="shared" si="32"/>
        <v/>
      </c>
      <c r="H77" s="67" t="str">
        <f t="shared" si="32"/>
        <v/>
      </c>
      <c r="I77" s="67" t="str">
        <f t="shared" si="32"/>
        <v/>
      </c>
      <c r="J77" s="67" t="str">
        <f t="shared" si="32"/>
        <v/>
      </c>
      <c r="K77" s="67" t="str">
        <f t="shared" si="32"/>
        <v/>
      </c>
      <c r="L77" s="67" t="str">
        <f t="shared" si="32"/>
        <v/>
      </c>
      <c r="M77" t="str">
        <f t="shared" si="32"/>
        <v/>
      </c>
      <c r="N77" s="174" t="str">
        <f t="shared" si="31"/>
        <v>If non-zero, players need to change amount(s)</v>
      </c>
    </row>
    <row r="78" spans="1:14" x14ac:dyDescent="0.3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4" t="str">
        <f t="shared" si="31"/>
        <v>Available water = Account Balance + Available Inflow - Evaporation + Sales - Purchases</v>
      </c>
    </row>
    <row r="79" spans="1:14" x14ac:dyDescent="0.35">
      <c r="A79" s="170" t="str">
        <f>IF(A78="","",$A$63)</f>
        <v xml:space="preserve">   Enter withdraw [maf] within available water</v>
      </c>
      <c r="C79" s="127"/>
      <c r="D79" s="127"/>
      <c r="E79" s="127"/>
      <c r="F79" s="127"/>
      <c r="G79" s="127"/>
      <c r="H79" s="127"/>
      <c r="I79" s="127"/>
      <c r="J79" s="127"/>
      <c r="K79" s="127"/>
      <c r="L79" s="127"/>
      <c r="N79" s="174" t="str">
        <f t="shared" si="31"/>
        <v>Must be less than Available water</v>
      </c>
    </row>
    <row r="80" spans="1:14" x14ac:dyDescent="0.35">
      <c r="A80" s="32" t="str">
        <f>IF(A79="","","   End of Year Balance [maf]")</f>
        <v xml:space="preserve">   End of Year Balance [maf]</v>
      </c>
      <c r="C80" s="66" t="str">
        <f>IF(OR(C$27="",$A80=""),"",C78-C79)</f>
        <v/>
      </c>
      <c r="D80" s="66" t="str">
        <f t="shared" ref="D80:L80" si="34">IF(OR(D$27="",$A80=""),"",D78-D79)</f>
        <v/>
      </c>
      <c r="E80" s="66" t="str">
        <f t="shared" si="34"/>
        <v/>
      </c>
      <c r="F80" s="66" t="str">
        <f t="shared" si="34"/>
        <v/>
      </c>
      <c r="G80" s="66" t="str">
        <f t="shared" si="34"/>
        <v/>
      </c>
      <c r="H80" s="66" t="str">
        <f t="shared" si="34"/>
        <v/>
      </c>
      <c r="I80" s="66" t="str">
        <f t="shared" si="34"/>
        <v/>
      </c>
      <c r="J80" s="66" t="str">
        <f t="shared" si="34"/>
        <v/>
      </c>
      <c r="K80" s="66" t="str">
        <f t="shared" si="34"/>
        <v/>
      </c>
      <c r="L80" s="66" t="str">
        <f t="shared" si="34"/>
        <v/>
      </c>
      <c r="N80" s="174" t="str">
        <f t="shared" si="31"/>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74" t="s">
        <v>171</v>
      </c>
    </row>
    <row r="83" spans="1:14" x14ac:dyDescent="0.35">
      <c r="A83" s="171" t="str">
        <f>IF(A82="[Unused]","",$A$59)</f>
        <v xml:space="preserve">   Enter volume to Buy(+) or Sell(-) [maf]</v>
      </c>
      <c r="C83" s="125"/>
      <c r="D83" s="125"/>
      <c r="E83" s="125"/>
      <c r="F83" s="125"/>
      <c r="G83" s="125"/>
      <c r="H83" s="125"/>
      <c r="I83" s="125"/>
      <c r="J83" s="125"/>
      <c r="K83" s="125"/>
      <c r="L83" s="125"/>
      <c r="M83" s="67">
        <f>SUM(C83:L83)</f>
        <v>0</v>
      </c>
      <c r="N83" s="174" t="str">
        <f>IF(A83="","",N75)</f>
        <v>Add if multiple transactions, e.g.: 0.5 + 0.25</v>
      </c>
    </row>
    <row r="84" spans="1:14" x14ac:dyDescent="0.35">
      <c r="A84" s="171" t="str">
        <f>IF(A83="","",$A$60)</f>
        <v xml:space="preserve">   Enter compensation to Pay(-) or Receive(+) [$ Mill]</v>
      </c>
      <c r="C84" s="126"/>
      <c r="D84" s="126"/>
      <c r="E84" s="126"/>
      <c r="F84" s="126"/>
      <c r="G84" s="126"/>
      <c r="H84" s="126"/>
      <c r="I84" s="126"/>
      <c r="J84" s="126"/>
      <c r="K84" s="126"/>
      <c r="L84" s="126"/>
      <c r="M84" s="65">
        <f>SUM(C84:L84)</f>
        <v>0</v>
      </c>
      <c r="N84" s="174" t="str">
        <f>IF(A84="","","Parties may choose to make these transactions without money to help poor, struggling parties")</f>
        <v>Parties may choose to make these transactions without money to help poor, struggling parties</v>
      </c>
    </row>
    <row r="85" spans="1:14" x14ac:dyDescent="0.35">
      <c r="A85" s="239" t="str">
        <f>IF(A84="","",$A$61)</f>
        <v xml:space="preserve">   Net trade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s="174" t="str">
        <f t="shared" ref="N85:N88" si="36">IF(A85="","",N77)</f>
        <v>If non-zero, players need to change amount(s)</v>
      </c>
    </row>
    <row r="86" spans="1:14" x14ac:dyDescent="0.35">
      <c r="A86" s="1" t="str">
        <f>IF(A84="","","   Available Water [maf]")</f>
        <v xml:space="preserve">   Available Water [maf]</v>
      </c>
      <c r="C86" s="160" t="str">
        <f>IF(OR(C$27="",$A86=""),"",C35+C53-C45+C83)</f>
        <v/>
      </c>
      <c r="D86" s="160" t="str">
        <f t="shared" ref="D86:L86" si="37">IF(OR(D$27="",$A86=""),"",D35+D53-D45+D83)</f>
        <v/>
      </c>
      <c r="E86" s="160" t="str">
        <f t="shared" si="37"/>
        <v/>
      </c>
      <c r="F86" s="160" t="str">
        <f t="shared" si="37"/>
        <v/>
      </c>
      <c r="G86" s="160" t="str">
        <f t="shared" si="37"/>
        <v/>
      </c>
      <c r="H86" s="160" t="str">
        <f t="shared" si="37"/>
        <v/>
      </c>
      <c r="I86" s="160" t="str">
        <f t="shared" si="37"/>
        <v/>
      </c>
      <c r="J86" s="160" t="str">
        <f t="shared" si="37"/>
        <v/>
      </c>
      <c r="K86" s="160" t="str">
        <f t="shared" si="37"/>
        <v/>
      </c>
      <c r="L86" s="160" t="str">
        <f t="shared" si="37"/>
        <v/>
      </c>
      <c r="N86" s="174" t="str">
        <f t="shared" si="36"/>
        <v>Available water = Account Balance + Available Inflow - Evaporation + Sales - Purchases</v>
      </c>
    </row>
    <row r="87" spans="1:14" x14ac:dyDescent="0.35">
      <c r="A87" s="170" t="str">
        <f>IF(A86="","",$A$63)</f>
        <v xml:space="preserve">   Enter withdraw [maf] within available water</v>
      </c>
      <c r="C87" s="161"/>
      <c r="D87" s="161"/>
      <c r="E87" s="161"/>
      <c r="F87" s="161"/>
      <c r="G87" s="161"/>
      <c r="H87" s="161"/>
      <c r="I87" s="161"/>
      <c r="J87" s="161"/>
      <c r="K87" s="161"/>
      <c r="L87" s="161"/>
      <c r="N87" s="174" t="str">
        <f t="shared" si="36"/>
        <v>Must be less than Available water</v>
      </c>
    </row>
    <row r="88" spans="1:14" x14ac:dyDescent="0.35">
      <c r="A88" s="32" t="str">
        <f>IF(A87="","","   End of Year Balance [maf]")</f>
        <v xml:space="preserve">   End of Year Balance [maf]</v>
      </c>
      <c r="C88" s="66" t="str">
        <f>IF(OR(C$27="",$A88=""),"",C86-C87)</f>
        <v/>
      </c>
      <c r="D88" s="66" t="str">
        <f t="shared" ref="D88:L88" si="38">IF(OR(D$27="",$A88=""),"",D86-D87)</f>
        <v/>
      </c>
      <c r="E88" s="66" t="str">
        <f t="shared" si="38"/>
        <v/>
      </c>
      <c r="F88" s="66" t="str">
        <f t="shared" si="38"/>
        <v/>
      </c>
      <c r="G88" s="66" t="str">
        <f t="shared" si="38"/>
        <v/>
      </c>
      <c r="H88" s="66" t="str">
        <f t="shared" si="38"/>
        <v/>
      </c>
      <c r="I88" s="66" t="str">
        <f t="shared" si="38"/>
        <v/>
      </c>
      <c r="J88" s="66" t="str">
        <f t="shared" si="38"/>
        <v/>
      </c>
      <c r="K88" s="66" t="str">
        <f t="shared" si="38"/>
        <v/>
      </c>
      <c r="L88" s="66" t="str">
        <f t="shared" si="38"/>
        <v/>
      </c>
      <c r="N88" s="174" t="str">
        <f t="shared" si="36"/>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74" t="s">
        <v>171</v>
      </c>
    </row>
    <row r="91" spans="1:14" x14ac:dyDescent="0.35">
      <c r="A91" s="32" t="str">
        <f>IF(A90="[Unused]","",$A$59)</f>
        <v/>
      </c>
      <c r="C91" s="125"/>
      <c r="D91" s="125"/>
      <c r="E91" s="125"/>
      <c r="F91" s="125"/>
      <c r="G91" s="125"/>
      <c r="H91" s="125"/>
      <c r="I91" s="125"/>
      <c r="J91" s="125"/>
      <c r="K91" s="125"/>
      <c r="L91" s="125"/>
      <c r="M91" s="67">
        <f>SUM(C91:L91)</f>
        <v>0</v>
      </c>
      <c r="N91" s="174" t="str">
        <f>IF(A91="","",N83)</f>
        <v/>
      </c>
    </row>
    <row r="92" spans="1:14" x14ac:dyDescent="0.35">
      <c r="A92" s="32" t="str">
        <f>IF(A91="","",$A$60)</f>
        <v/>
      </c>
      <c r="C92" s="126"/>
      <c r="D92" s="126"/>
      <c r="E92" s="126"/>
      <c r="F92" s="126"/>
      <c r="G92" s="126"/>
      <c r="H92" s="126"/>
      <c r="I92" s="126"/>
      <c r="J92" s="126"/>
      <c r="K92" s="126"/>
      <c r="L92" s="126"/>
      <c r="M92" s="65">
        <f>SUM(C92:L92)</f>
        <v>0</v>
      </c>
      <c r="N92" s="174" t="str">
        <f t="shared" ref="N92:N96" si="39">IF(A92="","",N84)</f>
        <v/>
      </c>
    </row>
    <row r="93" spans="1:14" x14ac:dyDescent="0.35">
      <c r="A93" s="239" t="str">
        <f>IF(A92="","",$A$61)</f>
        <v/>
      </c>
      <c r="C93" s="67" t="str">
        <f t="shared" ref="C93:M93" si="40">IF(OR(C$27="",$A93=""),"",C$114)</f>
        <v/>
      </c>
      <c r="D93" s="67" t="str">
        <f t="shared" si="40"/>
        <v/>
      </c>
      <c r="E93" s="67" t="str">
        <f t="shared" si="40"/>
        <v/>
      </c>
      <c r="F93" s="67" t="str">
        <f t="shared" si="40"/>
        <v/>
      </c>
      <c r="G93" s="67" t="str">
        <f t="shared" si="40"/>
        <v/>
      </c>
      <c r="H93" s="67" t="str">
        <f t="shared" si="40"/>
        <v/>
      </c>
      <c r="I93" s="67" t="str">
        <f t="shared" si="40"/>
        <v/>
      </c>
      <c r="J93" s="67" t="str">
        <f t="shared" si="40"/>
        <v/>
      </c>
      <c r="K93" s="67" t="str">
        <f t="shared" si="40"/>
        <v/>
      </c>
      <c r="L93" s="67" t="str">
        <f t="shared" si="40"/>
        <v/>
      </c>
      <c r="M93" t="str">
        <f t="shared" si="40"/>
        <v/>
      </c>
      <c r="N93" s="174" t="str">
        <f t="shared" si="39"/>
        <v/>
      </c>
    </row>
    <row r="94" spans="1:14" x14ac:dyDescent="0.3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4" t="str">
        <f t="shared" si="39"/>
        <v/>
      </c>
    </row>
    <row r="95" spans="1:14" x14ac:dyDescent="0.35">
      <c r="A95" s="170" t="str">
        <f>IF(A94="","",$A$63)</f>
        <v/>
      </c>
      <c r="C95" s="127"/>
      <c r="D95" s="127"/>
      <c r="E95" s="127"/>
      <c r="F95" s="127"/>
      <c r="G95" s="127"/>
      <c r="H95" s="127"/>
      <c r="I95" s="127"/>
      <c r="J95" s="127"/>
      <c r="K95" s="127"/>
      <c r="L95" s="127"/>
      <c r="N95" s="174" t="str">
        <f t="shared" si="39"/>
        <v/>
      </c>
    </row>
    <row r="96" spans="1:14" x14ac:dyDescent="0.35">
      <c r="A96" s="32" t="str">
        <f>IF(A95="","","   End of Year Balance [maf]")</f>
        <v/>
      </c>
      <c r="C96" s="66" t="str">
        <f>IF(OR(C$27="",$A96=""),"",C94-C95)</f>
        <v/>
      </c>
      <c r="D96" s="66" t="str">
        <f t="shared" ref="D96:L96" si="42">IF(OR(D$27="",$A96=""),"",D94-D95)</f>
        <v/>
      </c>
      <c r="E96" s="66" t="str">
        <f t="shared" si="42"/>
        <v/>
      </c>
      <c r="F96" s="66" t="str">
        <f t="shared" si="42"/>
        <v/>
      </c>
      <c r="G96" s="66" t="str">
        <f t="shared" si="42"/>
        <v/>
      </c>
      <c r="H96" s="66" t="str">
        <f t="shared" si="42"/>
        <v/>
      </c>
      <c r="I96" s="66" t="str">
        <f t="shared" si="42"/>
        <v/>
      </c>
      <c r="J96" s="66" t="str">
        <f t="shared" si="42"/>
        <v/>
      </c>
      <c r="K96" s="66" t="str">
        <f t="shared" si="42"/>
        <v/>
      </c>
      <c r="L96" s="66" t="str">
        <f t="shared" si="42"/>
        <v/>
      </c>
      <c r="N96" s="174" t="str">
        <f t="shared" si="39"/>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74" t="s">
        <v>171</v>
      </c>
    </row>
    <row r="99" spans="1:14" x14ac:dyDescent="0.35">
      <c r="A99" s="171" t="str">
        <f>IF(A98="[Unused]","",$A$59)</f>
        <v xml:space="preserve">   Enter volume to Buy(+) or Sell(-) [maf]</v>
      </c>
      <c r="C99" s="25"/>
      <c r="D99" s="25"/>
      <c r="E99" s="25"/>
      <c r="F99" s="25"/>
      <c r="G99" s="25"/>
      <c r="H99" s="25"/>
      <c r="I99" s="25"/>
      <c r="J99" s="25"/>
      <c r="K99" s="25"/>
      <c r="L99" s="25"/>
      <c r="M99" s="67">
        <f>SUM(C99:L99)</f>
        <v>0</v>
      </c>
      <c r="N99" s="174" t="str">
        <f>IF(A99="","",N91)</f>
        <v/>
      </c>
    </row>
    <row r="100" spans="1:14" x14ac:dyDescent="0.35">
      <c r="A100" s="171" t="str">
        <f>IF(A99="","",$A$60)</f>
        <v xml:space="preserve">   Enter compensation to Pay(-) or Receive(+) [$ Mill]</v>
      </c>
      <c r="C100" s="153"/>
      <c r="D100" s="153"/>
      <c r="E100" s="153"/>
      <c r="F100" s="153"/>
      <c r="G100" s="153"/>
      <c r="H100" s="153"/>
      <c r="I100" s="153"/>
      <c r="J100" s="153"/>
      <c r="K100" s="153"/>
      <c r="L100" s="153"/>
      <c r="M100" s="65">
        <f>SUM(C100:L100)</f>
        <v>0</v>
      </c>
      <c r="N100" s="174" t="str">
        <f t="shared" ref="N100:N104" si="43">IF(A100="","",N92)</f>
        <v/>
      </c>
    </row>
    <row r="101" spans="1:14" x14ac:dyDescent="0.35">
      <c r="A101" s="239" t="str">
        <f>IF(A100="","",$A$61)</f>
        <v xml:space="preserve">   Net trade volume all players (should be zero)</v>
      </c>
      <c r="C101" s="67" t="str">
        <f t="shared" ref="C101:M101" si="44">IF(OR(C$27="",$A101=""),"",C$114)</f>
        <v/>
      </c>
      <c r="D101" s="67" t="str">
        <f t="shared" si="44"/>
        <v/>
      </c>
      <c r="E101" s="67" t="str">
        <f t="shared" si="44"/>
        <v/>
      </c>
      <c r="F101" s="67" t="str">
        <f t="shared" si="44"/>
        <v/>
      </c>
      <c r="G101" s="67" t="str">
        <f t="shared" si="44"/>
        <v/>
      </c>
      <c r="H101" s="67" t="str">
        <f t="shared" si="44"/>
        <v/>
      </c>
      <c r="I101" s="67" t="str">
        <f t="shared" si="44"/>
        <v/>
      </c>
      <c r="J101" s="67" t="str">
        <f t="shared" si="44"/>
        <v/>
      </c>
      <c r="K101" s="67" t="str">
        <f t="shared" si="44"/>
        <v/>
      </c>
      <c r="L101" s="67" t="str">
        <f t="shared" si="44"/>
        <v/>
      </c>
      <c r="M101" t="str">
        <f t="shared" si="44"/>
        <v/>
      </c>
      <c r="N101" s="174" t="str">
        <f t="shared" si="43"/>
        <v/>
      </c>
    </row>
    <row r="102" spans="1:14" x14ac:dyDescent="0.3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4" t="str">
        <f t="shared" si="43"/>
        <v/>
      </c>
    </row>
    <row r="103" spans="1:14" x14ac:dyDescent="0.35">
      <c r="A103" s="170" t="str">
        <f>IF(A102="","",$A$63)</f>
        <v xml:space="preserve">   Enter withdraw [maf] within available water</v>
      </c>
      <c r="C103" s="43"/>
      <c r="D103" s="43"/>
      <c r="E103" s="43"/>
      <c r="F103" s="43"/>
      <c r="G103" s="43"/>
      <c r="H103" s="43"/>
      <c r="I103" s="43"/>
      <c r="J103" s="43"/>
      <c r="K103" s="43"/>
      <c r="L103" s="43"/>
      <c r="N103" s="174" t="str">
        <f t="shared" si="43"/>
        <v/>
      </c>
    </row>
    <row r="104" spans="1:14" x14ac:dyDescent="0.35">
      <c r="A104" s="32" t="str">
        <f>IF(A103="","","   End of Year Balance [maf]")</f>
        <v xml:space="preserve">   End of Year Balance [maf]</v>
      </c>
      <c r="C104" s="66" t="str">
        <f>IF(OR(C$27="",$A104=""),"",C102-C103)</f>
        <v/>
      </c>
      <c r="D104" s="66" t="str">
        <f t="shared" ref="D104:L104" si="46">IF(OR(D$27="",$A104=""),"",D102-D103)</f>
        <v/>
      </c>
      <c r="E104" s="66" t="str">
        <f t="shared" si="46"/>
        <v/>
      </c>
      <c r="F104" s="66" t="str">
        <f t="shared" si="46"/>
        <v/>
      </c>
      <c r="G104" s="66" t="str">
        <f t="shared" si="46"/>
        <v/>
      </c>
      <c r="H104" s="66" t="str">
        <f t="shared" si="46"/>
        <v/>
      </c>
      <c r="I104" s="66" t="str">
        <f t="shared" si="46"/>
        <v/>
      </c>
      <c r="J104" s="66" t="str">
        <f t="shared" si="46"/>
        <v/>
      </c>
      <c r="K104" s="66" t="str">
        <f t="shared" si="46"/>
        <v/>
      </c>
      <c r="L104" s="66" t="str">
        <f t="shared" si="46"/>
        <v/>
      </c>
      <c r="N104" s="174" t="str">
        <f t="shared" si="43"/>
        <v/>
      </c>
    </row>
    <row r="105" spans="1:14" x14ac:dyDescent="0.35">
      <c r="C105"/>
    </row>
    <row r="106" spans="1:14" x14ac:dyDescent="0.35">
      <c r="A106" s="136" t="s">
        <v>182</v>
      </c>
      <c r="B106" s="136"/>
      <c r="C106" s="136"/>
      <c r="D106" s="136"/>
      <c r="E106" s="136"/>
      <c r="F106" s="136"/>
      <c r="G106" s="136"/>
      <c r="H106" s="136"/>
      <c r="I106" s="136"/>
      <c r="J106" s="136"/>
      <c r="K106" s="136"/>
      <c r="L106" s="136"/>
      <c r="M106" s="136"/>
    </row>
    <row r="107" spans="1:14" x14ac:dyDescent="0.35">
      <c r="A107" s="1" t="s">
        <v>370</v>
      </c>
      <c r="C107"/>
      <c r="M107" t="s">
        <v>181</v>
      </c>
      <c r="N107" s="174" t="s">
        <v>149</v>
      </c>
    </row>
    <row r="108" spans="1:14" x14ac:dyDescent="0.35">
      <c r="A108" t="str">
        <f t="shared" ref="A108:A113" si="47">IF(A5="","","    "&amp;A5)</f>
        <v xml:space="preserve">    Upper Basin</v>
      </c>
      <c r="B108" s="1"/>
      <c r="C108" s="67" t="str">
        <f t="shared" ref="C108:L108" ca="1" si="48">IF(OR(C$27="",$A108=""),"",OFFSET(C$59,8*(ROW(B108)-ROW(B$108)),0))</f>
        <v/>
      </c>
      <c r="D108" s="67" t="str">
        <f t="shared" ca="1" si="48"/>
        <v/>
      </c>
      <c r="E108" s="67" t="str">
        <f t="shared" ca="1" si="48"/>
        <v/>
      </c>
      <c r="F108" s="67" t="str">
        <f t="shared" ca="1" si="48"/>
        <v/>
      </c>
      <c r="G108" s="67" t="str">
        <f t="shared" ca="1" si="48"/>
        <v/>
      </c>
      <c r="H108" s="67" t="str">
        <f t="shared" ca="1" si="48"/>
        <v/>
      </c>
      <c r="I108" s="67" t="str">
        <f t="shared" ca="1" si="48"/>
        <v/>
      </c>
      <c r="J108" s="67" t="str">
        <f t="shared" ca="1" si="48"/>
        <v/>
      </c>
      <c r="K108" s="67" t="str">
        <f t="shared" ca="1" si="48"/>
        <v/>
      </c>
      <c r="L108" s="67" t="str">
        <f t="shared" ca="1" si="48"/>
        <v/>
      </c>
      <c r="M108" s="67">
        <f ca="1">IF(OR($A108=""),"",SUM(C108:L108))</f>
        <v>0</v>
      </c>
      <c r="N108" s="179">
        <f>IF(OR($A108=""),"",M60)</f>
        <v>0</v>
      </c>
    </row>
    <row r="109" spans="1:14" x14ac:dyDescent="0.35">
      <c r="A109" t="str">
        <f t="shared" si="47"/>
        <v xml:space="preserve">    Lower Basin</v>
      </c>
      <c r="B109" s="1"/>
      <c r="C109" s="67" t="str">
        <f t="shared" ref="C109:L109" ca="1" si="49">IF(OR(C$27="",$A109=""),"",OFFSET(C$59,8*(ROW(B109)-ROW(B$108)),0))</f>
        <v/>
      </c>
      <c r="D109" s="67" t="str">
        <f t="shared" ca="1" si="49"/>
        <v/>
      </c>
      <c r="E109" s="67" t="str">
        <f t="shared" ca="1" si="49"/>
        <v/>
      </c>
      <c r="F109" s="67" t="str">
        <f t="shared" ca="1" si="49"/>
        <v/>
      </c>
      <c r="G109" s="67" t="str">
        <f t="shared" ca="1" si="49"/>
        <v/>
      </c>
      <c r="H109" s="67" t="str">
        <f t="shared" ca="1" si="49"/>
        <v/>
      </c>
      <c r="I109" s="67" t="str">
        <f t="shared" ca="1" si="49"/>
        <v/>
      </c>
      <c r="J109" s="67" t="str">
        <f t="shared" ca="1" si="49"/>
        <v/>
      </c>
      <c r="K109" s="67" t="str">
        <f t="shared" ca="1" si="49"/>
        <v/>
      </c>
      <c r="L109" s="67" t="str">
        <f t="shared" ca="1" si="49"/>
        <v/>
      </c>
      <c r="M109" s="67">
        <f t="shared" ref="M109:M113" ca="1" si="50">IF(OR($A109=""),"",SUM(C109:L109))</f>
        <v>0</v>
      </c>
      <c r="N109" s="179">
        <f>IF(OR($A109=""),"",M68)</f>
        <v>0</v>
      </c>
    </row>
    <row r="110" spans="1:14" x14ac:dyDescent="0.35">
      <c r="A110" t="str">
        <f t="shared" si="47"/>
        <v xml:space="preserve">    Mexico</v>
      </c>
      <c r="B110" s="1"/>
      <c r="C110" s="67" t="str">
        <f t="shared" ref="C110:L110" ca="1" si="51">IF(OR(C$27="",$A110=""),"",OFFSET(C$59,8*(ROW(B110)-ROW(B$108)),0))</f>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f t="shared" ca="1" si="50"/>
        <v>0</v>
      </c>
      <c r="N110" s="179">
        <f>IF(OR($A110=""),"",M76)</f>
        <v>0</v>
      </c>
    </row>
    <row r="111" spans="1:14" x14ac:dyDescent="0.35">
      <c r="A111" t="str">
        <f t="shared" si="47"/>
        <v xml:space="preserve">    Colorado River Delta</v>
      </c>
      <c r="B111" s="1"/>
      <c r="C111" s="67" t="str">
        <f t="shared" ref="C111:L111" ca="1" si="52">IF(OR(C$27="",$A111=""),"",OFFSET(C$59,8*(ROW(B111)-ROW(B$108)),0))</f>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f t="shared" ca="1" si="50"/>
        <v>0</v>
      </c>
      <c r="N111" s="179">
        <f>IF(OR($A111=""),"",M84)</f>
        <v>0</v>
      </c>
    </row>
    <row r="112" spans="1:14" x14ac:dyDescent="0.35">
      <c r="A112" t="str">
        <f t="shared" si="47"/>
        <v/>
      </c>
      <c r="B112" s="1"/>
      <c r="C112" s="67" t="str">
        <f t="shared" ref="C112:L112" ca="1" si="53">IF(OR(C$27="",$A112=""),"",OFFSET(C$59,8*(ROW(B112)-ROW(B$108)),0))</f>
        <v/>
      </c>
      <c r="D112" s="67" t="str">
        <f t="shared" ca="1" si="53"/>
        <v/>
      </c>
      <c r="E112" s="67" t="str">
        <f t="shared" ca="1" si="53"/>
        <v/>
      </c>
      <c r="F112" s="67" t="str">
        <f t="shared" ca="1" si="53"/>
        <v/>
      </c>
      <c r="G112" s="67" t="str">
        <f t="shared" ca="1" si="53"/>
        <v/>
      </c>
      <c r="H112" s="67" t="str">
        <f t="shared" ca="1" si="53"/>
        <v/>
      </c>
      <c r="I112" s="67" t="str">
        <f t="shared" ca="1" si="53"/>
        <v/>
      </c>
      <c r="J112" s="67" t="str">
        <f t="shared" ca="1" si="53"/>
        <v/>
      </c>
      <c r="K112" s="67" t="str">
        <f t="shared" ca="1" si="53"/>
        <v/>
      </c>
      <c r="L112" s="67" t="str">
        <f t="shared" ca="1" si="53"/>
        <v/>
      </c>
      <c r="M112" s="67" t="str">
        <f t="shared" si="50"/>
        <v/>
      </c>
      <c r="N112" s="179" t="str">
        <f>IF(OR($A112=""),"",M92)</f>
        <v/>
      </c>
    </row>
    <row r="113" spans="1:14" x14ac:dyDescent="0.35">
      <c r="A113" t="str">
        <f t="shared" si="47"/>
        <v xml:space="preserve">    Shared, Reserve</v>
      </c>
      <c r="B113" s="1"/>
      <c r="C113" s="67" t="str">
        <f t="shared" ref="C113:L113" ca="1" si="54">IF(OR(C$27="",$A113=""),"",OFFSET(C$59,8*(ROW(B113)-ROW(B$108)),0))</f>
        <v/>
      </c>
      <c r="D113" s="67" t="str">
        <f t="shared" ca="1" si="54"/>
        <v/>
      </c>
      <c r="E113" s="67" t="str">
        <f t="shared" ca="1" si="54"/>
        <v/>
      </c>
      <c r="F113" s="67" t="str">
        <f t="shared" ca="1" si="54"/>
        <v/>
      </c>
      <c r="G113" s="67" t="str">
        <f t="shared" ca="1" si="54"/>
        <v/>
      </c>
      <c r="H113" s="67" t="str">
        <f t="shared" ca="1" si="54"/>
        <v/>
      </c>
      <c r="I113" s="67" t="str">
        <f t="shared" ca="1" si="54"/>
        <v/>
      </c>
      <c r="J113" s="67" t="str">
        <f t="shared" ca="1" si="54"/>
        <v/>
      </c>
      <c r="K113" s="67" t="str">
        <f t="shared" ca="1" si="54"/>
        <v/>
      </c>
      <c r="L113" s="67" t="str">
        <f t="shared" ca="1" si="54"/>
        <v/>
      </c>
      <c r="M113" s="67">
        <f t="shared" ca="1" si="50"/>
        <v>0</v>
      </c>
      <c r="N113" s="179">
        <f>IF(OR($A113=""),"",M100)</f>
        <v>0</v>
      </c>
    </row>
    <row r="114" spans="1:14" x14ac:dyDescent="0.35">
      <c r="A114" t="s">
        <v>145</v>
      </c>
      <c r="B114" s="1"/>
      <c r="C114" s="51" t="str">
        <f>IF(C$27&lt;&gt;"",SUM(C108:C113),"")</f>
        <v/>
      </c>
      <c r="D114" s="51" t="str">
        <f t="shared" ref="D114:L114" si="55">IF(D$27&lt;&gt;"",SUM(D108:D113),"")</f>
        <v/>
      </c>
      <c r="E114" s="115" t="str">
        <f t="shared" si="55"/>
        <v/>
      </c>
      <c r="F114" s="51" t="str">
        <f t="shared" si="55"/>
        <v/>
      </c>
      <c r="G114" s="51" t="str">
        <f t="shared" si="55"/>
        <v/>
      </c>
      <c r="H114" s="51" t="str">
        <f t="shared" si="55"/>
        <v/>
      </c>
      <c r="I114" s="51" t="str">
        <f t="shared" si="55"/>
        <v/>
      </c>
      <c r="J114" s="51" t="str">
        <f t="shared" si="55"/>
        <v/>
      </c>
      <c r="K114" s="51" t="str">
        <f t="shared" si="55"/>
        <v/>
      </c>
      <c r="L114" s="51" t="str">
        <f t="shared" si="55"/>
        <v/>
      </c>
      <c r="M114" s="34"/>
    </row>
    <row r="115" spans="1:14" x14ac:dyDescent="0.35">
      <c r="A115" s="1" t="s">
        <v>371</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56">IF(OR(C$27="",$A116=""),"",OFFSET(C$63,8*(ROW(B116)-ROW(B$116)),0))</f>
        <v/>
      </c>
      <c r="D116" s="67" t="str">
        <f t="shared" ca="1" si="56"/>
        <v/>
      </c>
      <c r="E116" s="67" t="str">
        <f t="shared" ca="1" si="56"/>
        <v/>
      </c>
      <c r="F116" s="67" t="str">
        <f t="shared" ca="1" si="56"/>
        <v/>
      </c>
      <c r="G116" s="67" t="str">
        <f t="shared" ca="1" si="56"/>
        <v/>
      </c>
      <c r="H116" s="67" t="str">
        <f t="shared" ca="1" si="56"/>
        <v/>
      </c>
      <c r="I116" s="67" t="str">
        <f t="shared" ca="1" si="56"/>
        <v/>
      </c>
      <c r="J116" s="67" t="str">
        <f t="shared" ca="1" si="56"/>
        <v/>
      </c>
      <c r="K116" s="67" t="str">
        <f t="shared" ca="1" si="56"/>
        <v/>
      </c>
      <c r="L116" s="67" t="str">
        <f t="shared" ca="1" si="56"/>
        <v/>
      </c>
    </row>
    <row r="117" spans="1:14" x14ac:dyDescent="0.35">
      <c r="A117" t="str">
        <f>IF(A6="","","    "&amp;A6&amp;" - Release from Mead")</f>
        <v xml:space="preserve">    Lower Basin - Release from Mead</v>
      </c>
      <c r="C117" s="67" t="str">
        <f t="shared" ref="C117:L117" ca="1" si="57">IF(OR(C$27="",$A117=""),"",OFFSET(C$63,8*(ROW(B117)-ROW(B$116)),0))</f>
        <v/>
      </c>
      <c r="D117" s="67" t="str">
        <f t="shared" ca="1" si="57"/>
        <v/>
      </c>
      <c r="E117" s="67" t="str">
        <f t="shared" ca="1" si="57"/>
        <v/>
      </c>
      <c r="F117" s="67" t="str">
        <f t="shared" ca="1" si="57"/>
        <v/>
      </c>
      <c r="G117" s="67" t="str">
        <f t="shared" ca="1" si="57"/>
        <v/>
      </c>
      <c r="H117" s="67" t="str">
        <f t="shared" ca="1" si="57"/>
        <v/>
      </c>
      <c r="I117" s="67" t="str">
        <f t="shared" ca="1" si="57"/>
        <v/>
      </c>
      <c r="J117" s="67" t="str">
        <f t="shared" ca="1" si="57"/>
        <v/>
      </c>
      <c r="K117" s="67" t="str">
        <f t="shared" ca="1" si="57"/>
        <v/>
      </c>
      <c r="L117" s="67" t="str">
        <f t="shared" ca="1" si="57"/>
        <v/>
      </c>
    </row>
    <row r="118" spans="1:14" x14ac:dyDescent="0.35">
      <c r="A118" t="str">
        <f>IF(A7="","","    "&amp;A7&amp;" - Release from Mead")</f>
        <v xml:space="preserve">    Mexico - Release from Mead</v>
      </c>
      <c r="C118" s="67" t="str">
        <f t="shared" ref="C118:L118" ca="1" si="58">IF(OR(C$27="",$A118=""),"",OFFSET(C$63,8*(ROW(B118)-ROW(B$116)),0))</f>
        <v/>
      </c>
      <c r="D118" s="67" t="str">
        <f t="shared" ca="1" si="58"/>
        <v/>
      </c>
      <c r="E118" s="67" t="str">
        <f t="shared" ca="1" si="58"/>
        <v/>
      </c>
      <c r="F118" s="67" t="str">
        <f t="shared" ca="1" si="58"/>
        <v/>
      </c>
      <c r="G118" s="67" t="str">
        <f t="shared" ca="1" si="58"/>
        <v/>
      </c>
      <c r="H118" s="67" t="str">
        <f t="shared" ca="1" si="58"/>
        <v/>
      </c>
      <c r="I118" s="67" t="str">
        <f t="shared" ca="1" si="58"/>
        <v/>
      </c>
      <c r="J118" s="67" t="str">
        <f t="shared" ca="1" si="58"/>
        <v/>
      </c>
      <c r="K118" s="67" t="str">
        <f t="shared" ca="1" si="58"/>
        <v/>
      </c>
      <c r="L118" s="67" t="str">
        <f t="shared" ca="1" si="58"/>
        <v/>
      </c>
    </row>
    <row r="119" spans="1:14" x14ac:dyDescent="0.35">
      <c r="A119" t="str">
        <f>IF(A8="","","    "&amp;A8&amp;" - Release from Mead")</f>
        <v xml:space="preserve">    Colorado River Delta - Release from Mead</v>
      </c>
      <c r="C119" s="67" t="str">
        <f t="shared" ref="C119:L119" ca="1" si="59">IF(OR(C$27="",$A119=""),"",OFFSET(C$63,8*(ROW(B119)-ROW(B$116)),0))</f>
        <v/>
      </c>
      <c r="D119" s="67" t="str">
        <f t="shared" ca="1" si="59"/>
        <v/>
      </c>
      <c r="E119" s="67" t="str">
        <f t="shared" ca="1" si="59"/>
        <v/>
      </c>
      <c r="F119" s="67" t="str">
        <f t="shared" ca="1" si="59"/>
        <v/>
      </c>
      <c r="G119" s="67" t="str">
        <f t="shared" ca="1" si="59"/>
        <v/>
      </c>
      <c r="H119" s="67" t="str">
        <f t="shared" ca="1" si="59"/>
        <v/>
      </c>
      <c r="I119" s="67" t="str">
        <f t="shared" ca="1" si="59"/>
        <v/>
      </c>
      <c r="J119" s="67" t="str">
        <f t="shared" ca="1" si="59"/>
        <v/>
      </c>
      <c r="K119" s="67" t="str">
        <f t="shared" ca="1" si="59"/>
        <v/>
      </c>
      <c r="L119" s="67" t="str">
        <f t="shared" ca="1" si="59"/>
        <v/>
      </c>
    </row>
    <row r="120" spans="1:14" x14ac:dyDescent="0.35">
      <c r="A120" t="str">
        <f>IF(A9="","","    "&amp;A9&amp;" - Release from Mead")</f>
        <v/>
      </c>
      <c r="C120" s="67" t="str">
        <f t="shared" ref="C120:L120" ca="1" si="60">IF(OR(C$27="",$A120=""),"",OFFSET(C$63,8*(ROW(B120)-ROW(B$116)),0))</f>
        <v/>
      </c>
      <c r="D120" s="67" t="str">
        <f t="shared" ca="1" si="60"/>
        <v/>
      </c>
      <c r="E120" s="67" t="str">
        <f t="shared" ca="1" si="60"/>
        <v/>
      </c>
      <c r="F120" s="67" t="str">
        <f t="shared" ca="1" si="60"/>
        <v/>
      </c>
      <c r="G120" s="67" t="str">
        <f t="shared" ca="1" si="60"/>
        <v/>
      </c>
      <c r="H120" s="67" t="str">
        <f t="shared" ca="1" si="60"/>
        <v/>
      </c>
      <c r="I120" s="67" t="str">
        <f t="shared" ca="1" si="60"/>
        <v/>
      </c>
      <c r="J120" s="67" t="str">
        <f t="shared" ca="1" si="60"/>
        <v/>
      </c>
      <c r="K120" s="67" t="str">
        <f t="shared" ca="1" si="60"/>
        <v/>
      </c>
      <c r="L120" s="67" t="str">
        <f t="shared" ca="1" si="60"/>
        <v/>
      </c>
    </row>
    <row r="121" spans="1:14" x14ac:dyDescent="0.35">
      <c r="A121" t="str">
        <f>IF(A10="","","    "&amp;A10&amp;" - Release from Mead")</f>
        <v xml:space="preserve">    Shared, Reserve - Release from Mead</v>
      </c>
      <c r="C121" s="67" t="str">
        <f t="shared" ref="C121:L121" ca="1" si="61">IF(OR(C$27="",$A121=""),"",OFFSET(C$63,8*(ROW(B121)-ROW(B$116)),0))</f>
        <v/>
      </c>
      <c r="D121" s="67" t="str">
        <f t="shared" ca="1" si="61"/>
        <v/>
      </c>
      <c r="E121" s="67" t="str">
        <f t="shared" ca="1" si="61"/>
        <v/>
      </c>
      <c r="F121" s="67" t="str">
        <f t="shared" ca="1" si="61"/>
        <v/>
      </c>
      <c r="G121" s="67" t="str">
        <f t="shared" ca="1" si="61"/>
        <v/>
      </c>
      <c r="H121" s="67" t="str">
        <f t="shared" ca="1" si="61"/>
        <v/>
      </c>
      <c r="I121" s="67" t="str">
        <f t="shared" ca="1" si="61"/>
        <v/>
      </c>
      <c r="J121" s="67" t="str">
        <f t="shared" ca="1" si="61"/>
        <v/>
      </c>
      <c r="K121" s="67" t="str">
        <f t="shared" ca="1" si="61"/>
        <v/>
      </c>
      <c r="L121" s="67" t="str">
        <f t="shared" ca="1" si="61"/>
        <v/>
      </c>
    </row>
    <row r="122" spans="1:14" x14ac:dyDescent="0.35">
      <c r="A122" s="1" t="s">
        <v>138</v>
      </c>
      <c r="B122" s="1"/>
      <c r="D122" s="2"/>
      <c r="E122" s="2"/>
      <c r="F122" s="2"/>
      <c r="G122" s="2"/>
      <c r="H122" s="2"/>
      <c r="I122" s="2"/>
      <c r="J122" s="2"/>
      <c r="K122" s="2"/>
      <c r="L122" s="2"/>
    </row>
    <row r="123" spans="1:14" x14ac:dyDescent="0.35">
      <c r="A123" t="str">
        <f t="shared" ref="A123:A128" si="62">IF(A5="","","    "&amp;A5)</f>
        <v xml:space="preserve">    Upper Basin</v>
      </c>
      <c r="C123" s="67" t="str">
        <f t="shared" ref="C123:L123" ca="1" si="63">IF(OR(C$27="",$A123=""),"",OFFSET(C$64,8*(ROW(B123)-ROW(B$123)),0))</f>
        <v/>
      </c>
      <c r="D123" s="67" t="str">
        <f t="shared" ca="1" si="63"/>
        <v/>
      </c>
      <c r="E123" s="67" t="str">
        <f t="shared" ca="1" si="63"/>
        <v/>
      </c>
      <c r="F123" s="67" t="str">
        <f t="shared" ca="1" si="63"/>
        <v/>
      </c>
      <c r="G123" s="67" t="str">
        <f t="shared" ca="1" si="63"/>
        <v/>
      </c>
      <c r="H123" s="67" t="str">
        <f t="shared" ca="1" si="63"/>
        <v/>
      </c>
      <c r="I123" s="67" t="str">
        <f t="shared" ca="1" si="63"/>
        <v/>
      </c>
      <c r="J123" s="67" t="str">
        <f t="shared" ca="1" si="63"/>
        <v/>
      </c>
      <c r="K123" s="67" t="str">
        <f t="shared" ca="1" si="63"/>
        <v/>
      </c>
      <c r="L123" s="67" t="str">
        <f t="shared" ca="1" si="63"/>
        <v/>
      </c>
    </row>
    <row r="124" spans="1:14" x14ac:dyDescent="0.35">
      <c r="A124" t="str">
        <f t="shared" si="62"/>
        <v xml:space="preserve">    Lower Basin</v>
      </c>
      <c r="C124" s="67" t="str">
        <f t="shared" ref="C124:L124" ca="1" si="64">IF(OR(C$27="",$A124=""),"",OFFSET(C$64,8*(ROW(B124)-ROW(B$123)),0))</f>
        <v/>
      </c>
      <c r="D124" s="67" t="str">
        <f t="shared" ca="1" si="64"/>
        <v/>
      </c>
      <c r="E124" s="67" t="str">
        <f t="shared" ca="1" si="64"/>
        <v/>
      </c>
      <c r="F124" s="67" t="str">
        <f t="shared" ca="1" si="64"/>
        <v/>
      </c>
      <c r="G124" s="67" t="str">
        <f t="shared" ca="1" si="64"/>
        <v/>
      </c>
      <c r="H124" s="67" t="str">
        <f t="shared" ca="1" si="64"/>
        <v/>
      </c>
      <c r="I124" s="67" t="str">
        <f t="shared" ca="1" si="64"/>
        <v/>
      </c>
      <c r="J124" s="67" t="str">
        <f t="shared" ca="1" si="64"/>
        <v/>
      </c>
      <c r="K124" s="67" t="str">
        <f t="shared" ca="1" si="64"/>
        <v/>
      </c>
      <c r="L124" s="67" t="str">
        <f t="shared" ca="1" si="64"/>
        <v/>
      </c>
    </row>
    <row r="125" spans="1:14" x14ac:dyDescent="0.35">
      <c r="A125" t="str">
        <f t="shared" si="62"/>
        <v xml:space="preserve">    Mexico</v>
      </c>
      <c r="C125" s="67" t="str">
        <f t="shared" ref="C125:L125" ca="1" si="65">IF(OR(C$27="",$A125=""),"",OFFSET(C$64,8*(ROW(B125)-ROW(B$123)),0))</f>
        <v/>
      </c>
      <c r="D125" s="67" t="str">
        <f t="shared" ca="1" si="65"/>
        <v/>
      </c>
      <c r="E125" s="67" t="str">
        <f t="shared" ca="1" si="65"/>
        <v/>
      </c>
      <c r="F125" s="67" t="str">
        <f t="shared" ca="1" si="65"/>
        <v/>
      </c>
      <c r="G125" s="67" t="str">
        <f t="shared" ca="1" si="65"/>
        <v/>
      </c>
      <c r="H125" s="67" t="str">
        <f t="shared" ca="1" si="65"/>
        <v/>
      </c>
      <c r="I125" s="67" t="str">
        <f t="shared" ca="1" si="65"/>
        <v/>
      </c>
      <c r="J125" s="67" t="str">
        <f t="shared" ca="1" si="65"/>
        <v/>
      </c>
      <c r="K125" s="67" t="str">
        <f t="shared" ca="1" si="65"/>
        <v/>
      </c>
      <c r="L125" s="67" t="str">
        <f t="shared" ca="1" si="65"/>
        <v/>
      </c>
    </row>
    <row r="126" spans="1:14" x14ac:dyDescent="0.35">
      <c r="A126" t="str">
        <f t="shared" si="62"/>
        <v xml:space="preserve">    Colorado River Delta</v>
      </c>
      <c r="C126" s="67" t="str">
        <f t="shared" ref="C126:L126" ca="1" si="66">IF(OR(C$27="",$A126=""),"",OFFSET(C$64,8*(ROW(B126)-ROW(B$123)),0))</f>
        <v/>
      </c>
      <c r="D126" s="67" t="str">
        <f t="shared" ca="1" si="66"/>
        <v/>
      </c>
      <c r="E126" s="67" t="str">
        <f t="shared" ca="1" si="66"/>
        <v/>
      </c>
      <c r="F126" s="67" t="str">
        <f t="shared" ca="1" si="66"/>
        <v/>
      </c>
      <c r="G126" s="67" t="str">
        <f t="shared" ca="1" si="66"/>
        <v/>
      </c>
      <c r="H126" s="67" t="str">
        <f t="shared" ca="1" si="66"/>
        <v/>
      </c>
      <c r="I126" s="67" t="str">
        <f t="shared" ca="1" si="66"/>
        <v/>
      </c>
      <c r="J126" s="67" t="str">
        <f t="shared" ca="1" si="66"/>
        <v/>
      </c>
      <c r="K126" s="67" t="str">
        <f t="shared" ca="1" si="66"/>
        <v/>
      </c>
      <c r="L126" s="67" t="str">
        <f t="shared" ca="1" si="66"/>
        <v/>
      </c>
    </row>
    <row r="127" spans="1:14" x14ac:dyDescent="0.35">
      <c r="A127" t="str">
        <f t="shared" si="62"/>
        <v/>
      </c>
      <c r="C127" s="67" t="str">
        <f t="shared" ref="C127:L127" ca="1" si="67">IF(OR(C$27="",$A127=""),"",OFFSET(C$64,8*(ROW(B127)-ROW(B$123)),0))</f>
        <v/>
      </c>
      <c r="D127" s="67" t="str">
        <f t="shared" ca="1" si="67"/>
        <v/>
      </c>
      <c r="E127" s="67" t="str">
        <f t="shared" ca="1" si="67"/>
        <v/>
      </c>
      <c r="F127" s="67" t="str">
        <f t="shared" ca="1" si="67"/>
        <v/>
      </c>
      <c r="G127" s="67" t="str">
        <f t="shared" ca="1" si="67"/>
        <v/>
      </c>
      <c r="H127" s="67" t="str">
        <f t="shared" ca="1" si="67"/>
        <v/>
      </c>
      <c r="I127" s="67" t="str">
        <f t="shared" ca="1" si="67"/>
        <v/>
      </c>
      <c r="J127" s="67" t="str">
        <f t="shared" ca="1" si="67"/>
        <v/>
      </c>
      <c r="K127" s="67" t="str">
        <f t="shared" ca="1" si="67"/>
        <v/>
      </c>
      <c r="L127" s="67" t="str">
        <f t="shared" ca="1" si="67"/>
        <v/>
      </c>
    </row>
    <row r="128" spans="1:14" x14ac:dyDescent="0.35">
      <c r="A128" t="str">
        <f t="shared" si="62"/>
        <v xml:space="preserve">    Shared, Reserve</v>
      </c>
      <c r="C128" s="67" t="str">
        <f t="shared" ref="C128:L128" ca="1" si="68">IF(OR(C$27="",$A128=""),"",OFFSET(C$64,8*(ROW(B128)-ROW(B$123)),0))</f>
        <v/>
      </c>
      <c r="D128" s="67" t="str">
        <f t="shared" ca="1" si="68"/>
        <v/>
      </c>
      <c r="E128" s="67" t="str">
        <f t="shared" ca="1" si="68"/>
        <v/>
      </c>
      <c r="F128" s="67" t="str">
        <f t="shared" ca="1" si="68"/>
        <v/>
      </c>
      <c r="G128" s="67" t="str">
        <f t="shared" ca="1" si="68"/>
        <v/>
      </c>
      <c r="H128" s="67" t="str">
        <f t="shared" ca="1" si="68"/>
        <v/>
      </c>
      <c r="I128" s="67" t="str">
        <f t="shared" ca="1" si="68"/>
        <v/>
      </c>
      <c r="J128" s="67" t="str">
        <f t="shared" ca="1" si="68"/>
        <v/>
      </c>
      <c r="K128" s="67" t="str">
        <f t="shared" ca="1" si="68"/>
        <v/>
      </c>
      <c r="L128" s="67" t="str">
        <f t="shared" ca="1" si="68"/>
        <v/>
      </c>
    </row>
    <row r="129" spans="1:14" x14ac:dyDescent="0.35">
      <c r="A129" s="1" t="s">
        <v>372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5" customHeight="1" x14ac:dyDescent="0.35">
      <c r="A130" s="205" t="s">
        <v>383</v>
      </c>
      <c r="B130" s="206"/>
      <c r="C130" s="172"/>
      <c r="D130" s="172"/>
      <c r="E130" s="172"/>
      <c r="F130" s="172"/>
      <c r="G130" s="172"/>
      <c r="H130" s="172"/>
      <c r="I130" s="172"/>
      <c r="J130" s="172"/>
      <c r="K130" s="172"/>
      <c r="L130" s="172"/>
    </row>
    <row r="131" spans="1:14" x14ac:dyDescent="0.35">
      <c r="A131" s="1" t="s">
        <v>384</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35">
      <c r="A132" s="1" t="s">
        <v>385</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35">
      <c r="A133" s="32" t="s">
        <v>264</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265</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386</v>
      </c>
      <c r="B135" s="1"/>
    </row>
    <row r="136" spans="1:14" x14ac:dyDescent="0.35">
      <c r="A136" s="32" t="s">
        <v>387</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4" t="s">
        <v>194</v>
      </c>
    </row>
    <row r="137" spans="1:14" x14ac:dyDescent="0.35">
      <c r="A137" s="32" t="s">
        <v>373</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s="174" t="s">
        <v>283</v>
      </c>
    </row>
    <row r="138" spans="1:14" s="85" customFormat="1" ht="62.5" customHeight="1" x14ac:dyDescent="0.35">
      <c r="A138" s="117" t="s">
        <v>374</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c r="N138" s="180"/>
    </row>
    <row r="139" spans="1:14" s="85" customFormat="1" ht="32.15" customHeight="1" x14ac:dyDescent="0.35">
      <c r="A139" s="117" t="s">
        <v>299</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c r="N139" s="180"/>
    </row>
    <row r="140" spans="1:14" x14ac:dyDescent="0.35">
      <c r="C140" s="29"/>
    </row>
    <row r="142" spans="1:14" x14ac:dyDescent="0.35">
      <c r="D142" s="18"/>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145"/>
      <c r="I3" s="145"/>
      <c r="J3" s="145"/>
      <c r="K3" s="145"/>
    </row>
    <row r="4" spans="1:13" x14ac:dyDescent="0.35">
      <c r="A4" s="53" t="s">
        <v>38</v>
      </c>
      <c r="B4" s="53" t="s">
        <v>42</v>
      </c>
      <c r="C4" s="222" t="s">
        <v>43</v>
      </c>
      <c r="D4" s="223"/>
      <c r="E4" s="223"/>
      <c r="F4" s="223"/>
      <c r="G4" s="224"/>
      <c r="M4" s="1" t="s">
        <v>303</v>
      </c>
    </row>
    <row r="5" spans="1:13" x14ac:dyDescent="0.35">
      <c r="A5" s="144" t="s">
        <v>39</v>
      </c>
      <c r="B5" s="144" t="str">
        <f>IF(Master!B5="","",Master!B5)</f>
        <v/>
      </c>
      <c r="C5" s="212" t="s">
        <v>313</v>
      </c>
      <c r="D5" s="207"/>
      <c r="E5" s="207"/>
      <c r="F5" s="207"/>
      <c r="G5" s="207"/>
      <c r="M5" t="s">
        <v>304</v>
      </c>
    </row>
    <row r="6" spans="1:13" x14ac:dyDescent="0.35">
      <c r="A6" s="144" t="s">
        <v>40</v>
      </c>
      <c r="B6" s="144" t="str">
        <f>IF(Master!B6="","",Master!B6)</f>
        <v/>
      </c>
      <c r="C6" s="212" t="s">
        <v>313</v>
      </c>
      <c r="D6" s="207"/>
      <c r="E6" s="207"/>
      <c r="F6" s="207"/>
      <c r="G6" s="207"/>
      <c r="M6" t="s">
        <v>309</v>
      </c>
    </row>
    <row r="7" spans="1:13" x14ac:dyDescent="0.35">
      <c r="A7" s="144" t="s">
        <v>41</v>
      </c>
      <c r="B7" s="144" t="str">
        <f>IF(Master!B7="","",Master!B7)</f>
        <v/>
      </c>
      <c r="C7" s="212" t="s">
        <v>313</v>
      </c>
      <c r="D7" s="207"/>
      <c r="E7" s="207"/>
      <c r="F7" s="207"/>
      <c r="G7" s="207"/>
      <c r="M7" t="s">
        <v>310</v>
      </c>
    </row>
    <row r="8" spans="1:13" x14ac:dyDescent="0.35">
      <c r="A8" s="156" t="s">
        <v>147</v>
      </c>
      <c r="B8" s="155" t="str">
        <f>IF(Master!B8="","",Master!B8)</f>
        <v/>
      </c>
      <c r="C8" s="212" t="s">
        <v>215</v>
      </c>
      <c r="D8" s="207"/>
      <c r="E8" s="207"/>
      <c r="F8" s="207"/>
      <c r="G8" s="207"/>
    </row>
    <row r="9" spans="1:13" x14ac:dyDescent="0.35">
      <c r="A9" s="144" t="str">
        <f>IF(Master!A9="","",Master!A9)</f>
        <v/>
      </c>
      <c r="B9" s="144" t="str">
        <f>IF(Master!B9="","",Master!B9)</f>
        <v/>
      </c>
      <c r="C9" s="213"/>
      <c r="D9" s="213"/>
      <c r="E9" s="213"/>
      <c r="F9" s="213"/>
      <c r="G9" s="213"/>
    </row>
    <row r="10" spans="1:13" x14ac:dyDescent="0.35">
      <c r="A10" s="157" t="s">
        <v>156</v>
      </c>
      <c r="B10" s="157" t="str">
        <f>IF(Master!B10="","",Master!B10)</f>
        <v/>
      </c>
      <c r="C10" s="214" t="s">
        <v>354</v>
      </c>
      <c r="D10" s="214"/>
      <c r="E10" s="214"/>
      <c r="F10" s="214"/>
      <c r="G10" s="214"/>
    </row>
    <row r="11" spans="1:13" x14ac:dyDescent="0.35">
      <c r="A11" s="16"/>
      <c r="B11" s="2"/>
      <c r="C11"/>
    </row>
    <row r="12" spans="1:13" x14ac:dyDescent="0.35">
      <c r="A12" s="19" t="s">
        <v>397</v>
      </c>
      <c r="B12" s="215" t="s">
        <v>399</v>
      </c>
      <c r="C12" s="216"/>
      <c r="D12" s="217"/>
    </row>
    <row r="13" spans="1:13" x14ac:dyDescent="0.35">
      <c r="B13" s="218" t="s">
        <v>400</v>
      </c>
      <c r="C13" s="219"/>
      <c r="D13" s="220"/>
    </row>
    <row r="14" spans="1:13" x14ac:dyDescent="0.35">
      <c r="B14" s="199" t="s">
        <v>401</v>
      </c>
      <c r="C14" s="200"/>
      <c r="D14" s="201"/>
    </row>
    <row r="15" spans="1:13" x14ac:dyDescent="0.35">
      <c r="B15" s="202" t="s">
        <v>46</v>
      </c>
      <c r="C15" s="203"/>
      <c r="D15" s="204"/>
    </row>
    <row r="17" spans="1:14" x14ac:dyDescent="0.35">
      <c r="A17" s="1" t="s">
        <v>409</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IF(Master!C27="","",Master!C27)</f>
        <v/>
      </c>
      <c r="D25" s="132" t="str">
        <f>IF(Master!D27="","",Master!D27)</f>
        <v/>
      </c>
      <c r="E25" s="132" t="str">
        <f>IF(Master!E27="","",Master!E27)</f>
        <v/>
      </c>
      <c r="F25" s="132" t="str">
        <f>IF(Master!F27="","",Master!F27)</f>
        <v/>
      </c>
      <c r="G25" s="132" t="str">
        <f>IF(Master!G27="","",Master!G27)</f>
        <v/>
      </c>
      <c r="H25" s="132" t="str">
        <f>IF(Master!H27="","",Master!H27)</f>
        <v/>
      </c>
      <c r="I25" s="132" t="str">
        <f>IF(Master!I27="","",Master!I27)</f>
        <v/>
      </c>
      <c r="J25" s="132" t="str">
        <f>IF(Master!J27="","",Master!J27)</f>
        <v/>
      </c>
      <c r="K25" s="132" t="str">
        <f>IF(Master!K27="","",Master!K27)</f>
        <v/>
      </c>
      <c r="L25" s="132" t="str">
        <f>IF(Master!L27="","",Master!L27)</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64"/>
      <c r="I3" s="64"/>
      <c r="J3" s="64"/>
      <c r="K3" s="64"/>
    </row>
    <row r="4" spans="1:13" x14ac:dyDescent="0.35">
      <c r="A4" s="53" t="s">
        <v>38</v>
      </c>
      <c r="B4" s="53" t="s">
        <v>42</v>
      </c>
      <c r="C4" s="222" t="s">
        <v>43</v>
      </c>
      <c r="D4" s="223"/>
      <c r="E4" s="223"/>
      <c r="F4" s="223"/>
      <c r="G4" s="224"/>
      <c r="M4" s="1" t="s">
        <v>303</v>
      </c>
    </row>
    <row r="5" spans="1:13" x14ac:dyDescent="0.35">
      <c r="A5" s="124" t="s">
        <v>39</v>
      </c>
      <c r="B5" s="124" t="s">
        <v>152</v>
      </c>
      <c r="C5" s="212" t="s">
        <v>306</v>
      </c>
      <c r="D5" s="207"/>
      <c r="E5" s="207"/>
      <c r="F5" s="207"/>
      <c r="G5" s="207"/>
      <c r="M5" t="s">
        <v>304</v>
      </c>
    </row>
    <row r="6" spans="1:13" x14ac:dyDescent="0.35">
      <c r="A6" s="124" t="s">
        <v>40</v>
      </c>
      <c r="B6" s="124" t="s">
        <v>152</v>
      </c>
      <c r="C6" s="212" t="s">
        <v>307</v>
      </c>
      <c r="D6" s="207"/>
      <c r="E6" s="207"/>
      <c r="F6" s="207"/>
      <c r="G6" s="207"/>
      <c r="M6" t="s">
        <v>309</v>
      </c>
    </row>
    <row r="7" spans="1:13" x14ac:dyDescent="0.35">
      <c r="A7" s="124" t="s">
        <v>41</v>
      </c>
      <c r="B7" s="124" t="s">
        <v>152</v>
      </c>
      <c r="C7" s="212" t="s">
        <v>308</v>
      </c>
      <c r="D7" s="207"/>
      <c r="E7" s="207"/>
      <c r="F7" s="207"/>
      <c r="G7" s="207"/>
      <c r="M7" t="s">
        <v>310</v>
      </c>
    </row>
    <row r="8" spans="1:13" x14ac:dyDescent="0.35">
      <c r="A8" s="107" t="s">
        <v>156</v>
      </c>
      <c r="B8" s="107" t="s">
        <v>152</v>
      </c>
      <c r="C8" s="214" t="s">
        <v>305</v>
      </c>
      <c r="D8" s="214"/>
      <c r="E8" s="214"/>
      <c r="F8" s="214"/>
      <c r="G8" s="214"/>
    </row>
    <row r="9" spans="1:13" x14ac:dyDescent="0.35">
      <c r="A9" s="124"/>
      <c r="B9" s="124"/>
      <c r="C9" s="213"/>
      <c r="D9" s="213"/>
      <c r="E9" s="213"/>
      <c r="F9" s="213"/>
      <c r="G9" s="213"/>
    </row>
    <row r="10" spans="1:13" x14ac:dyDescent="0.35">
      <c r="A10" s="124"/>
      <c r="B10" s="124"/>
      <c r="C10" s="213"/>
      <c r="D10" s="213"/>
      <c r="E10" s="213"/>
      <c r="F10" s="213"/>
      <c r="G10" s="213"/>
    </row>
    <row r="11" spans="1:13" x14ac:dyDescent="0.35">
      <c r="A11" s="16"/>
      <c r="B11" s="2"/>
      <c r="C11"/>
    </row>
    <row r="12" spans="1:13" x14ac:dyDescent="0.35">
      <c r="A12" s="19" t="s">
        <v>45</v>
      </c>
      <c r="B12" s="225" t="s">
        <v>197</v>
      </c>
      <c r="C12" s="225"/>
      <c r="D12" s="225"/>
      <c r="E12" s="225"/>
      <c r="F12" s="225"/>
    </row>
    <row r="13" spans="1:13" x14ac:dyDescent="0.35">
      <c r="B13" s="226" t="s">
        <v>324</v>
      </c>
      <c r="C13" s="227"/>
      <c r="D13" s="227"/>
      <c r="E13" s="227"/>
      <c r="F13" s="227"/>
    </row>
    <row r="14" spans="1:13" x14ac:dyDescent="0.35">
      <c r="B14" s="228" t="s">
        <v>312</v>
      </c>
      <c r="C14" s="229"/>
      <c r="D14" s="229"/>
      <c r="E14" s="229"/>
      <c r="F14" s="229"/>
    </row>
    <row r="15" spans="1:13" x14ac:dyDescent="0.35">
      <c r="B15" s="230" t="s">
        <v>46</v>
      </c>
      <c r="C15" s="230"/>
      <c r="D15" s="230"/>
      <c r="E15" s="230"/>
      <c r="F15" s="230"/>
    </row>
    <row r="17" spans="1:14" x14ac:dyDescent="0.35">
      <c r="A17" s="1" t="s">
        <v>53</v>
      </c>
      <c r="D17" s="225" t="s">
        <v>153</v>
      </c>
      <c r="E17" s="225"/>
      <c r="F17" s="225"/>
      <c r="G17" s="225"/>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114"/>
      <c r="I3" s="114"/>
      <c r="J3" s="114"/>
      <c r="K3" s="114"/>
    </row>
    <row r="4" spans="1:13" x14ac:dyDescent="0.35">
      <c r="A4" s="53" t="s">
        <v>38</v>
      </c>
      <c r="B4" s="53" t="s">
        <v>42</v>
      </c>
      <c r="C4" s="222" t="s">
        <v>43</v>
      </c>
      <c r="D4" s="223"/>
      <c r="E4" s="223"/>
      <c r="F4" s="223"/>
      <c r="G4" s="224"/>
      <c r="M4" s="1" t="s">
        <v>303</v>
      </c>
    </row>
    <row r="5" spans="1:13" x14ac:dyDescent="0.35">
      <c r="A5" s="124" t="s">
        <v>39</v>
      </c>
      <c r="B5" s="124" t="s">
        <v>152</v>
      </c>
      <c r="C5" s="212" t="s">
        <v>313</v>
      </c>
      <c r="D5" s="207"/>
      <c r="E5" s="207"/>
      <c r="F5" s="207"/>
      <c r="G5" s="207"/>
      <c r="M5" t="s">
        <v>304</v>
      </c>
    </row>
    <row r="6" spans="1:13" x14ac:dyDescent="0.35">
      <c r="A6" s="124" t="s">
        <v>40</v>
      </c>
      <c r="B6" s="124" t="s">
        <v>152</v>
      </c>
      <c r="C6" s="212" t="s">
        <v>313</v>
      </c>
      <c r="D6" s="207"/>
      <c r="E6" s="207"/>
      <c r="F6" s="207"/>
      <c r="G6" s="207"/>
      <c r="M6" t="s">
        <v>309</v>
      </c>
    </row>
    <row r="7" spans="1:13" x14ac:dyDescent="0.35">
      <c r="A7" s="124" t="s">
        <v>41</v>
      </c>
      <c r="B7" s="124" t="s">
        <v>152</v>
      </c>
      <c r="C7" s="212" t="s">
        <v>313</v>
      </c>
      <c r="D7" s="207"/>
      <c r="E7" s="207"/>
      <c r="F7" s="207"/>
      <c r="G7" s="207"/>
      <c r="M7" t="s">
        <v>310</v>
      </c>
    </row>
    <row r="8" spans="1:13" x14ac:dyDescent="0.35">
      <c r="A8" s="113" t="s">
        <v>156</v>
      </c>
      <c r="B8" s="113" t="s">
        <v>152</v>
      </c>
      <c r="C8" s="214" t="s">
        <v>305</v>
      </c>
      <c r="D8" s="214"/>
      <c r="E8" s="214"/>
      <c r="F8" s="214"/>
      <c r="G8" s="214"/>
    </row>
    <row r="9" spans="1:13" x14ac:dyDescent="0.35">
      <c r="A9" s="124"/>
      <c r="B9" s="124"/>
      <c r="C9" s="213"/>
      <c r="D9" s="213"/>
      <c r="E9" s="213"/>
      <c r="F9" s="213"/>
      <c r="G9" s="213"/>
    </row>
    <row r="10" spans="1:13" x14ac:dyDescent="0.35">
      <c r="A10" s="124"/>
      <c r="B10" s="124"/>
      <c r="C10" s="213"/>
      <c r="D10" s="213"/>
      <c r="E10" s="213"/>
      <c r="F10" s="213"/>
      <c r="G10" s="213"/>
    </row>
    <row r="11" spans="1:13" x14ac:dyDescent="0.35">
      <c r="A11" s="16"/>
      <c r="B11" s="2"/>
      <c r="C11"/>
    </row>
    <row r="12" spans="1:13" x14ac:dyDescent="0.35">
      <c r="A12" s="19" t="s">
        <v>45</v>
      </c>
      <c r="B12" s="225" t="s">
        <v>197</v>
      </c>
      <c r="C12" s="225"/>
      <c r="D12" s="225"/>
      <c r="E12" s="225"/>
      <c r="F12" s="225"/>
    </row>
    <row r="13" spans="1:13" x14ac:dyDescent="0.35">
      <c r="B13" s="226" t="s">
        <v>324</v>
      </c>
      <c r="C13" s="227"/>
      <c r="D13" s="227"/>
      <c r="E13" s="227"/>
      <c r="F13" s="227"/>
    </row>
    <row r="14" spans="1:13" x14ac:dyDescent="0.35">
      <c r="B14" s="228" t="s">
        <v>312</v>
      </c>
      <c r="C14" s="229"/>
      <c r="D14" s="229"/>
      <c r="E14" s="229"/>
      <c r="F14" s="229"/>
    </row>
    <row r="15" spans="1:13" x14ac:dyDescent="0.35">
      <c r="B15" s="230" t="s">
        <v>46</v>
      </c>
      <c r="C15" s="230"/>
      <c r="D15" s="230"/>
      <c r="E15" s="230"/>
      <c r="F15" s="230"/>
    </row>
    <row r="17" spans="1:14" x14ac:dyDescent="0.35">
      <c r="A17" s="1" t="s">
        <v>53</v>
      </c>
      <c r="D17" s="225" t="s">
        <v>153</v>
      </c>
      <c r="E17" s="225"/>
      <c r="F17" s="225"/>
      <c r="G17" s="225"/>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1" t="s">
        <v>150</v>
      </c>
      <c r="B3" s="221"/>
      <c r="C3" s="221"/>
      <c r="D3" s="221"/>
      <c r="E3" s="221"/>
      <c r="F3" s="221"/>
      <c r="G3" s="221"/>
      <c r="H3" s="114"/>
      <c r="I3" s="114"/>
      <c r="J3" s="114"/>
      <c r="K3" s="114"/>
    </row>
    <row r="4" spans="1:13" x14ac:dyDescent="0.35">
      <c r="A4" s="53" t="s">
        <v>38</v>
      </c>
      <c r="B4" s="53" t="s">
        <v>42</v>
      </c>
      <c r="C4" s="222" t="s">
        <v>43</v>
      </c>
      <c r="D4" s="223"/>
      <c r="E4" s="223"/>
      <c r="F4" s="223"/>
      <c r="G4" s="224"/>
      <c r="M4" s="1" t="s">
        <v>303</v>
      </c>
    </row>
    <row r="5" spans="1:13" x14ac:dyDescent="0.35">
      <c r="A5" s="124" t="s">
        <v>39</v>
      </c>
      <c r="B5" s="124"/>
      <c r="C5" s="212" t="s">
        <v>151</v>
      </c>
      <c r="D5" s="207"/>
      <c r="E5" s="207"/>
      <c r="F5" s="207"/>
      <c r="G5" s="207"/>
      <c r="M5" t="s">
        <v>304</v>
      </c>
    </row>
    <row r="6" spans="1:13" x14ac:dyDescent="0.35">
      <c r="A6" s="124" t="s">
        <v>40</v>
      </c>
      <c r="B6" s="124"/>
      <c r="C6" s="212" t="s">
        <v>151</v>
      </c>
      <c r="D6" s="207"/>
      <c r="E6" s="207"/>
      <c r="F6" s="207"/>
      <c r="G6" s="207"/>
      <c r="M6" t="s">
        <v>309</v>
      </c>
    </row>
    <row r="7" spans="1:13" x14ac:dyDescent="0.35">
      <c r="A7" s="124" t="s">
        <v>41</v>
      </c>
      <c r="B7" s="124"/>
      <c r="C7" s="212" t="s">
        <v>151</v>
      </c>
      <c r="D7" s="207"/>
      <c r="E7" s="207"/>
      <c r="F7" s="207"/>
      <c r="G7" s="207"/>
      <c r="M7" t="s">
        <v>310</v>
      </c>
    </row>
    <row r="8" spans="1:13" x14ac:dyDescent="0.35">
      <c r="A8" s="113" t="s">
        <v>156</v>
      </c>
      <c r="B8" s="113"/>
      <c r="C8" s="214" t="s">
        <v>314</v>
      </c>
      <c r="D8" s="214"/>
      <c r="E8" s="214"/>
      <c r="F8" s="214"/>
      <c r="G8" s="214"/>
    </row>
    <row r="9" spans="1:13" x14ac:dyDescent="0.35">
      <c r="A9" s="124"/>
      <c r="B9" s="124"/>
      <c r="C9" s="213"/>
      <c r="D9" s="213"/>
      <c r="E9" s="213"/>
      <c r="F9" s="213"/>
      <c r="G9" s="213"/>
    </row>
    <row r="10" spans="1:13" x14ac:dyDescent="0.35">
      <c r="A10" s="124"/>
      <c r="B10" s="124"/>
      <c r="C10" s="213"/>
      <c r="D10" s="213"/>
      <c r="E10" s="213"/>
      <c r="F10" s="213"/>
      <c r="G10" s="213"/>
    </row>
    <row r="11" spans="1:13" x14ac:dyDescent="0.35">
      <c r="A11" s="16"/>
      <c r="B11" s="2"/>
      <c r="C11"/>
    </row>
    <row r="12" spans="1:13" x14ac:dyDescent="0.35">
      <c r="A12" s="19" t="s">
        <v>45</v>
      </c>
      <c r="B12" s="225" t="s">
        <v>197</v>
      </c>
      <c r="C12" s="225"/>
      <c r="D12" s="225"/>
      <c r="E12" s="225"/>
      <c r="F12" s="225"/>
    </row>
    <row r="13" spans="1:13" x14ac:dyDescent="0.35">
      <c r="B13" s="226" t="s">
        <v>324</v>
      </c>
      <c r="C13" s="227"/>
      <c r="D13" s="227"/>
      <c r="E13" s="227"/>
      <c r="F13" s="227"/>
    </row>
    <row r="14" spans="1:13" x14ac:dyDescent="0.35">
      <c r="B14" s="228" t="s">
        <v>312</v>
      </c>
      <c r="C14" s="229"/>
      <c r="D14" s="229"/>
      <c r="E14" s="229"/>
      <c r="F14" s="229"/>
    </row>
    <row r="15" spans="1:13" x14ac:dyDescent="0.35">
      <c r="B15" s="230" t="s">
        <v>46</v>
      </c>
      <c r="C15" s="230"/>
      <c r="D15" s="230"/>
      <c r="E15" s="230"/>
      <c r="F15" s="230"/>
    </row>
    <row r="17" spans="1:14" x14ac:dyDescent="0.35">
      <c r="A17" s="1" t="s">
        <v>53</v>
      </c>
      <c r="D17" s="225" t="s">
        <v>153</v>
      </c>
      <c r="E17" s="225"/>
      <c r="F17" s="225"/>
      <c r="G17" s="225"/>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2021-10-09T02:49:25Z</dcterms:modified>
</cp:coreProperties>
</file>