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InflowSplit\"/>
    </mc:Choice>
  </mc:AlternateContent>
  <xr:revisionPtr revIDLastSave="0" documentId="13_ncr:1_{ABE541AC-5069-40FB-A8D8-71B082C55133}" xr6:coauthVersionLast="36" xr6:coauthVersionMax="36" xr10:uidLastSave="{00000000-0000-0000-0000-000000000000}"/>
  <bookViews>
    <workbookView xWindow="0" yWindow="0" windowWidth="19200" windowHeight="6650" firstSheet="2" activeTab="6"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58"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1" i="58" l="1"/>
  <c r="C41" i="58"/>
  <c r="C40" i="58" s="1"/>
  <c r="C48" i="58" s="1"/>
  <c r="C28" i="47"/>
  <c r="B57" i="58" l="1"/>
  <c r="B25" i="58"/>
  <c r="B25" i="47"/>
  <c r="H51" i="47" l="1"/>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D41" i="58"/>
  <c r="E41" i="58"/>
  <c r="G41" i="58"/>
  <c r="H41" i="58"/>
  <c r="I41" i="58"/>
  <c r="L41" i="58"/>
  <c r="B42" i="58"/>
  <c r="C46" i="58"/>
  <c r="B56" i="58" l="1"/>
  <c r="D40" i="58"/>
  <c r="E40" i="58"/>
  <c r="G40" i="58"/>
  <c r="H40" i="58"/>
  <c r="I40" i="58"/>
  <c r="H50" i="58"/>
  <c r="H42" i="58"/>
  <c r="I42" i="58"/>
  <c r="L42" i="58"/>
  <c r="D42" i="58"/>
  <c r="E42" i="58"/>
  <c r="D38" i="58"/>
  <c r="E38" i="58"/>
  <c r="H38" i="58"/>
  <c r="I38" i="58"/>
  <c r="L38" i="58"/>
  <c r="C38" i="58"/>
  <c r="D43" i="58"/>
  <c r="E43" i="58"/>
  <c r="H43" i="58"/>
  <c r="I43" i="58"/>
  <c r="L43" i="58"/>
  <c r="C43" i="58"/>
  <c r="C42" i="58" s="1"/>
  <c r="E44" i="58"/>
  <c r="B44" i="58"/>
  <c r="H44" i="58"/>
  <c r="I44" i="58"/>
  <c r="L44" i="58"/>
  <c r="D44" i="58"/>
  <c r="C44" i="58"/>
  <c r="L40" i="58" l="1"/>
  <c r="A63" i="57"/>
  <c r="A63" i="47" l="1"/>
  <c r="H35" i="58" l="1"/>
  <c r="I35" i="58" s="1"/>
  <c r="J35" i="58" s="1"/>
  <c r="K35" i="58" s="1"/>
  <c r="L35" i="58" s="1"/>
  <c r="D35" i="58"/>
  <c r="E35" i="58" s="1"/>
  <c r="F35" i="58" s="1"/>
  <c r="G35" i="58" s="1"/>
  <c r="C35" i="58"/>
  <c r="A46" i="58"/>
  <c r="A45" i="58"/>
  <c r="A44" i="58"/>
  <c r="B43" i="58"/>
  <c r="A43" i="58"/>
  <c r="A42" i="58"/>
  <c r="A41" i="58"/>
  <c r="A40" i="58"/>
  <c r="A37" i="58"/>
  <c r="C34" i="58"/>
  <c r="C33" i="58"/>
  <c r="C36" i="58" s="1"/>
  <c r="C37" i="58" s="1"/>
  <c r="L31" i="58"/>
  <c r="K31" i="58"/>
  <c r="K38" i="58" s="1"/>
  <c r="J31" i="58"/>
  <c r="J38" i="58" s="1"/>
  <c r="I31" i="58"/>
  <c r="H31" i="58"/>
  <c r="G31" i="58"/>
  <c r="G38" i="58" s="1"/>
  <c r="F31" i="58"/>
  <c r="F38" i="58" s="1"/>
  <c r="E31" i="58"/>
  <c r="D31" i="58"/>
  <c r="C31" i="58"/>
  <c r="L30" i="58"/>
  <c r="K30" i="58"/>
  <c r="J30" i="58"/>
  <c r="I30" i="58"/>
  <c r="H30" i="58"/>
  <c r="G30" i="58"/>
  <c r="G39" i="58" s="1"/>
  <c r="F30" i="58"/>
  <c r="E30" i="58"/>
  <c r="L29" i="58"/>
  <c r="L39" i="58" s="1"/>
  <c r="K29" i="58"/>
  <c r="K39" i="58" s="1"/>
  <c r="J29" i="58"/>
  <c r="I29" i="58"/>
  <c r="I39" i="58" s="1"/>
  <c r="H29" i="58"/>
  <c r="H39" i="58" s="1"/>
  <c r="G29" i="58"/>
  <c r="F29" i="58"/>
  <c r="E29" i="58"/>
  <c r="N27" i="58"/>
  <c r="B22" i="58"/>
  <c r="B24" i="58" s="1"/>
  <c r="C21" i="58"/>
  <c r="B21" i="58"/>
  <c r="A1" i="58"/>
  <c r="J39" i="58" l="1"/>
  <c r="C39" i="58"/>
  <c r="C45" i="58" s="1"/>
  <c r="F39" i="58"/>
  <c r="D33" i="58"/>
  <c r="E33" i="58" s="1"/>
  <c r="F33" i="58" s="1"/>
  <c r="D34" i="58"/>
  <c r="D39" i="58"/>
  <c r="E39" i="58"/>
  <c r="G33" i="58" l="1"/>
  <c r="D36" i="58"/>
  <c r="E34" i="58"/>
  <c r="A6" i="57"/>
  <c r="A68" i="57" s="1"/>
  <c r="A7" i="57"/>
  <c r="A112" i="57" s="1"/>
  <c r="L112" i="57" s="1"/>
  <c r="A8" i="57"/>
  <c r="A36" i="57" s="1"/>
  <c r="A9" i="57"/>
  <c r="B9" i="57" s="1"/>
  <c r="A5" i="57"/>
  <c r="A43" i="57" s="1"/>
  <c r="J43" i="57" s="1"/>
  <c r="D28" i="57"/>
  <c r="E28" i="57"/>
  <c r="F28" i="57"/>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H33" i="58" l="1"/>
  <c r="D37" i="58"/>
  <c r="D45" i="58" s="1"/>
  <c r="D46" i="58" s="1"/>
  <c r="F34" i="58"/>
  <c r="E36" i="58"/>
  <c r="I123" i="57"/>
  <c r="H130" i="57"/>
  <c r="A129" i="57"/>
  <c r="J129" i="57" s="1"/>
  <c r="A54" i="57"/>
  <c r="H54" i="57" s="1"/>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A110" i="57"/>
  <c r="L110" i="57" s="1"/>
  <c r="B34" i="57"/>
  <c r="A52" i="57"/>
  <c r="J51" i="57" s="1"/>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A51" i="57"/>
  <c r="P51" i="57" s="1"/>
  <c r="A118" i="57"/>
  <c r="A125" i="57"/>
  <c r="J125" i="57" s="1"/>
  <c r="K53" i="57"/>
  <c r="J112" i="57"/>
  <c r="A120" i="57"/>
  <c r="J120" i="57" s="1"/>
  <c r="A44" i="57"/>
  <c r="I44" i="57" s="1"/>
  <c r="K112" i="57"/>
  <c r="A121" i="57"/>
  <c r="E121" i="57" s="1"/>
  <c r="A127" i="57"/>
  <c r="H127" i="57" s="1"/>
  <c r="A128" i="57"/>
  <c r="L128" i="57" s="1"/>
  <c r="H36" i="57"/>
  <c r="A46" i="57"/>
  <c r="H46" i="57" s="1"/>
  <c r="I36" i="57"/>
  <c r="H43" i="57"/>
  <c r="I43" i="57"/>
  <c r="K43" i="57"/>
  <c r="L43" i="57"/>
  <c r="D112" i="57"/>
  <c r="G110" i="57"/>
  <c r="F110" i="57"/>
  <c r="J123" i="57"/>
  <c r="B38" i="57"/>
  <c r="B33" i="57"/>
  <c r="H33" i="57"/>
  <c r="I55" i="57"/>
  <c r="J118" i="57"/>
  <c r="K54" i="57"/>
  <c r="I129" i="57"/>
  <c r="I33" i="57"/>
  <c r="D110" i="57"/>
  <c r="J54" i="57"/>
  <c r="H56" i="57"/>
  <c r="L56" i="57"/>
  <c r="J110" i="57"/>
  <c r="K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E115" i="57"/>
  <c r="B25" i="57"/>
  <c r="G34" i="58" l="1"/>
  <c r="F36" i="58"/>
  <c r="F37" i="58" s="1"/>
  <c r="F45" i="58" s="1"/>
  <c r="D48" i="58"/>
  <c r="I33" i="58"/>
  <c r="E37" i="58"/>
  <c r="E45" i="58" s="1"/>
  <c r="E46" i="58" s="1"/>
  <c r="I54" i="57"/>
  <c r="A69" i="57"/>
  <c r="A70" i="57" s="1"/>
  <c r="A72" i="57" s="1"/>
  <c r="K128" i="57"/>
  <c r="L54" i="57"/>
  <c r="E110" i="57"/>
  <c r="K119" i="57"/>
  <c r="K111" i="57"/>
  <c r="G111" i="57"/>
  <c r="I119" i="57"/>
  <c r="L33" i="57"/>
  <c r="J34" i="57"/>
  <c r="E111" i="57"/>
  <c r="D111" i="57"/>
  <c r="H34" i="57"/>
  <c r="K47" i="57"/>
  <c r="I122" i="57"/>
  <c r="J47" i="57"/>
  <c r="K55" i="57"/>
  <c r="H129" i="57"/>
  <c r="H47" i="57"/>
  <c r="K129" i="57"/>
  <c r="L129" i="57"/>
  <c r="H122" i="57"/>
  <c r="I47" i="57"/>
  <c r="H110" i="57"/>
  <c r="B37" i="57"/>
  <c r="I110" i="57"/>
  <c r="K110" i="57"/>
  <c r="H118" i="57"/>
  <c r="L122" i="57"/>
  <c r="J53" i="57"/>
  <c r="H55" i="57"/>
  <c r="A93" i="57"/>
  <c r="A94" i="57" s="1"/>
  <c r="A96" i="57" s="1"/>
  <c r="L96" i="57" s="1"/>
  <c r="I111" i="57"/>
  <c r="J37" i="57"/>
  <c r="L37" i="57"/>
  <c r="L52" i="57"/>
  <c r="H45" i="57"/>
  <c r="L126" i="57"/>
  <c r="K37" i="57"/>
  <c r="A77" i="57"/>
  <c r="A78" i="57" s="1"/>
  <c r="A80" i="57" s="1"/>
  <c r="P52" i="57"/>
  <c r="H52" i="57"/>
  <c r="I37" i="57"/>
  <c r="A101" i="57"/>
  <c r="A102" i="57" s="1"/>
  <c r="A104" i="57" s="1"/>
  <c r="F111" i="57"/>
  <c r="J52" i="57"/>
  <c r="L111" i="57"/>
  <c r="K114" i="57"/>
  <c r="H44" i="57"/>
  <c r="I125" i="57"/>
  <c r="K51" i="57"/>
  <c r="K127" i="57"/>
  <c r="I120" i="57"/>
  <c r="L51" i="57"/>
  <c r="H51" i="57"/>
  <c r="I52" i="57"/>
  <c r="I35" i="57"/>
  <c r="K52" i="57"/>
  <c r="I53" i="57"/>
  <c r="K113" i="57"/>
  <c r="L53" i="57"/>
  <c r="E113" i="57"/>
  <c r="J44" i="57"/>
  <c r="I51" i="57"/>
  <c r="G113" i="57"/>
  <c r="A86" i="57"/>
  <c r="A88" i="57" s="1"/>
  <c r="G114" i="57"/>
  <c r="H114" i="57"/>
  <c r="I114" i="57"/>
  <c r="F114" i="57"/>
  <c r="J114" i="57"/>
  <c r="D114" i="57"/>
  <c r="E114" i="57"/>
  <c r="I126" i="57"/>
  <c r="D113" i="57"/>
  <c r="I45" i="57"/>
  <c r="L127" i="57"/>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L121" i="57"/>
  <c r="K121" i="57"/>
  <c r="L120" i="57"/>
  <c r="I128" i="57"/>
  <c r="H128" i="57"/>
  <c r="K120" i="57"/>
  <c r="H120" i="57"/>
  <c r="A64" i="57"/>
  <c r="H50" i="47"/>
  <c r="I50" i="47"/>
  <c r="J50" i="47"/>
  <c r="K50" i="47"/>
  <c r="L50" i="47"/>
  <c r="F116" i="57" l="1"/>
  <c r="G116" i="57"/>
  <c r="G63" i="57" s="1"/>
  <c r="E116" i="57"/>
  <c r="E63" i="57" s="1"/>
  <c r="H34" i="58"/>
  <c r="G36" i="58"/>
  <c r="G37" i="58" s="1"/>
  <c r="G45" i="58" s="1"/>
  <c r="F46" i="58"/>
  <c r="E48" i="58"/>
  <c r="J33" i="58"/>
  <c r="A95" i="57"/>
  <c r="F95" i="57" s="1"/>
  <c r="J96" i="57"/>
  <c r="I96" i="57"/>
  <c r="D116" i="57"/>
  <c r="D63" i="57" s="1"/>
  <c r="H96" i="57"/>
  <c r="K96" i="57"/>
  <c r="L63" i="57"/>
  <c r="K63" i="57"/>
  <c r="I63" i="57"/>
  <c r="H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F44" i="58" l="1"/>
  <c r="F43" i="58" s="1"/>
  <c r="F42" i="58" s="1"/>
  <c r="F41" i="58" s="1"/>
  <c r="F40" i="58" s="1"/>
  <c r="F48" i="58" s="1"/>
  <c r="G46" i="58"/>
  <c r="G44" i="58" s="1"/>
  <c r="G43" i="58" s="1"/>
  <c r="G42" i="58" s="1"/>
  <c r="G48" i="58" s="1"/>
  <c r="I34" i="58"/>
  <c r="H36" i="58"/>
  <c r="H37" i="58" s="1"/>
  <c r="H45" i="58" s="1"/>
  <c r="H46" i="58" s="1"/>
  <c r="L95" i="57"/>
  <c r="K95" i="57"/>
  <c r="J95" i="57"/>
  <c r="H95" i="57"/>
  <c r="I95" i="57"/>
  <c r="K33" i="58"/>
  <c r="E95" i="57"/>
  <c r="G95" i="57"/>
  <c r="M95" i="57"/>
  <c r="D95" i="57"/>
  <c r="A66" i="57"/>
  <c r="J66" i="57" s="1"/>
  <c r="A97" i="57"/>
  <c r="A89" i="57"/>
  <c r="A90" i="57" s="1"/>
  <c r="I90" i="57" s="1"/>
  <c r="A73" i="57"/>
  <c r="A74" i="57" s="1"/>
  <c r="I74" i="57" s="1"/>
  <c r="A81" i="57"/>
  <c r="A82" i="57" s="1"/>
  <c r="L82" i="57" s="1"/>
  <c r="L87" i="57"/>
  <c r="D87" i="57"/>
  <c r="K87" i="57"/>
  <c r="I87" i="57"/>
  <c r="H87" i="57"/>
  <c r="F87" i="57"/>
  <c r="E87" i="57"/>
  <c r="G87" i="57"/>
  <c r="J87" i="57"/>
  <c r="M87" i="57"/>
  <c r="L79" i="57"/>
  <c r="D79" i="57"/>
  <c r="K79" i="57"/>
  <c r="I79" i="57"/>
  <c r="H79" i="57"/>
  <c r="M79" i="57"/>
  <c r="J79" i="57"/>
  <c r="E79" i="57"/>
  <c r="G79" i="57"/>
  <c r="F79" i="57"/>
  <c r="I66" i="57"/>
  <c r="H66" i="57"/>
  <c r="L103" i="57"/>
  <c r="D103" i="57"/>
  <c r="K103" i="57"/>
  <c r="J103" i="57"/>
  <c r="I103" i="57"/>
  <c r="H103" i="57"/>
  <c r="F103" i="57"/>
  <c r="E103" i="57"/>
  <c r="G103" i="57"/>
  <c r="M103" i="57"/>
  <c r="A105" i="57"/>
  <c r="A106" i="57" s="1"/>
  <c r="L71" i="57"/>
  <c r="D71" i="57"/>
  <c r="K71" i="57"/>
  <c r="I71" i="57"/>
  <c r="H71" i="57"/>
  <c r="J71" i="57"/>
  <c r="G71" i="57"/>
  <c r="F71" i="57"/>
  <c r="E71" i="57"/>
  <c r="M71" i="57"/>
  <c r="B24" i="47"/>
  <c r="H48" i="58" l="1"/>
  <c r="J34" i="58"/>
  <c r="I36" i="58"/>
  <c r="I37" i="58" s="1"/>
  <c r="I45" i="58" s="1"/>
  <c r="I46" i="58" s="1"/>
  <c r="L33" i="58"/>
  <c r="A98" i="57"/>
  <c r="J98" i="57" s="1"/>
  <c r="K66" i="57"/>
  <c r="L66" i="57"/>
  <c r="L90" i="57"/>
  <c r="K90" i="57"/>
  <c r="J74" i="57"/>
  <c r="H74" i="57"/>
  <c r="J82" i="57"/>
  <c r="H82" i="57"/>
  <c r="K74" i="57"/>
  <c r="J90" i="57"/>
  <c r="L74" i="57"/>
  <c r="H90" i="57"/>
  <c r="I82" i="57"/>
  <c r="K82" i="57"/>
  <c r="L106" i="57"/>
  <c r="K106" i="57"/>
  <c r="J106" i="57"/>
  <c r="I106" i="57"/>
  <c r="H106" i="57"/>
  <c r="N59" i="47"/>
  <c r="N27" i="47"/>
  <c r="I48" i="58" l="1"/>
  <c r="K34" i="58"/>
  <c r="J36" i="58"/>
  <c r="J37" i="58" s="1"/>
  <c r="J45" i="58" s="1"/>
  <c r="I98" i="57"/>
  <c r="K98" i="57"/>
  <c r="L98" i="57"/>
  <c r="H98" i="57"/>
  <c r="A55" i="47"/>
  <c r="B22" i="47"/>
  <c r="J46" i="58" l="1"/>
  <c r="J44" i="58" s="1"/>
  <c r="J43" i="58" s="1"/>
  <c r="J42" i="58" s="1"/>
  <c r="J41" i="58" s="1"/>
  <c r="J40" i="58" s="1"/>
  <c r="L34" i="58"/>
  <c r="K36" i="58"/>
  <c r="K37" i="58" s="1"/>
  <c r="K45" i="58" s="1"/>
  <c r="J48" i="58" l="1"/>
  <c r="K46" i="58"/>
  <c r="K44" i="58" s="1"/>
  <c r="K43" i="58" s="1"/>
  <c r="K42" i="58" s="1"/>
  <c r="L36" i="58"/>
  <c r="L37" i="58" s="1"/>
  <c r="L45" i="58" s="1"/>
  <c r="L46" i="58" s="1"/>
  <c r="L48" i="58" s="1"/>
  <c r="H40" i="47"/>
  <c r="I40" i="47"/>
  <c r="J40" i="47"/>
  <c r="K40" i="47"/>
  <c r="L40" i="47"/>
  <c r="H41" i="47"/>
  <c r="I41" i="47"/>
  <c r="J41" i="47"/>
  <c r="K41" i="47"/>
  <c r="L41" i="47"/>
  <c r="K41" i="58" l="1"/>
  <c r="K40" i="58" s="1"/>
  <c r="K48" i="58" s="1"/>
  <c r="G7" i="43"/>
  <c r="G8" i="43"/>
  <c r="G9" i="43"/>
  <c r="G10" i="43"/>
  <c r="G11" i="43"/>
  <c r="G6" i="43"/>
  <c r="G5" i="43"/>
  <c r="B54" i="47" l="1"/>
  <c r="H30" i="47" l="1"/>
  <c r="I30" i="47"/>
  <c r="J30" i="47"/>
  <c r="K30" i="47"/>
  <c r="L30" i="47"/>
  <c r="D30" i="47"/>
  <c r="D30" i="57" s="1"/>
  <c r="E30" i="47"/>
  <c r="E30" i="57" s="1"/>
  <c r="F30" i="47"/>
  <c r="F30" i="57" s="1"/>
  <c r="G30" i="47"/>
  <c r="G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L49" i="47"/>
  <c r="K49" i="47"/>
  <c r="J49" i="47"/>
  <c r="I49" i="47"/>
  <c r="H49" i="47"/>
  <c r="A48" i="47"/>
  <c r="K48" i="47" s="1"/>
  <c r="A47" i="47"/>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L31" i="47"/>
  <c r="K31" i="47"/>
  <c r="J31" i="47"/>
  <c r="I31" i="47"/>
  <c r="H31" i="47"/>
  <c r="G31" i="47"/>
  <c r="G31" i="57" s="1"/>
  <c r="F31" i="47"/>
  <c r="F31" i="57" s="1"/>
  <c r="E31" i="47"/>
  <c r="E31" i="57" s="1"/>
  <c r="D31" i="47"/>
  <c r="D31" i="57" s="1"/>
  <c r="L29" i="47"/>
  <c r="L134" i="47" s="1"/>
  <c r="K29" i="47"/>
  <c r="K134" i="47" s="1"/>
  <c r="J29" i="47"/>
  <c r="J134" i="47" s="1"/>
  <c r="I29" i="47"/>
  <c r="I134" i="47" s="1"/>
  <c r="H29" i="47"/>
  <c r="G29" i="47"/>
  <c r="F29" i="47"/>
  <c r="E29" i="47"/>
  <c r="D29" i="47"/>
  <c r="C21" i="47"/>
  <c r="B34" i="47" s="1"/>
  <c r="B21" i="47"/>
  <c r="A1" i="47"/>
  <c r="F9" i="43"/>
  <c r="E6" i="43"/>
  <c r="E7" i="43" s="1"/>
  <c r="E11" i="43"/>
  <c r="G29" i="57" l="1"/>
  <c r="G50" i="47"/>
  <c r="D50" i="47"/>
  <c r="D29" i="57"/>
  <c r="D50" i="57" s="1"/>
  <c r="E50" i="47"/>
  <c r="E29" i="57"/>
  <c r="E50" i="57" s="1"/>
  <c r="F29" i="57"/>
  <c r="F50" i="47"/>
  <c r="B37" i="47"/>
  <c r="P51" i="47"/>
  <c r="P52" i="47"/>
  <c r="F114" i="47"/>
  <c r="G111" i="47"/>
  <c r="H114" i="47"/>
  <c r="I111" i="47"/>
  <c r="I129" i="47"/>
  <c r="B33" i="47"/>
  <c r="B38" i="47"/>
  <c r="L37" i="47"/>
  <c r="A77" i="47"/>
  <c r="A78" i="47" s="1"/>
  <c r="A79" i="47" s="1"/>
  <c r="H122" i="47"/>
  <c r="A101" i="47"/>
  <c r="A102" i="47" s="1"/>
  <c r="A103" i="47" s="1"/>
  <c r="L127" i="47"/>
  <c r="A85" i="47"/>
  <c r="A86" i="47" s="1"/>
  <c r="D123" i="47"/>
  <c r="F123" i="47"/>
  <c r="A69" i="47"/>
  <c r="A70" i="47" s="1"/>
  <c r="A71" i="47" s="1"/>
  <c r="H123" i="47"/>
  <c r="H129" i="47"/>
  <c r="K36" i="47"/>
  <c r="L36" i="47"/>
  <c r="I128" i="47"/>
  <c r="E123" i="47"/>
  <c r="G123" i="47"/>
  <c r="L46" i="47"/>
  <c r="E113" i="47"/>
  <c r="D120"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I130" i="47"/>
  <c r="K34" i="47"/>
  <c r="K43" i="47"/>
  <c r="K113" i="47"/>
  <c r="E115" i="47"/>
  <c r="L129" i="47"/>
  <c r="H43" i="47"/>
  <c r="L43" i="47"/>
  <c r="L113" i="47"/>
  <c r="F115" i="47"/>
  <c r="D110" i="47"/>
  <c r="I115" i="47"/>
  <c r="H47" i="47"/>
  <c r="H48" i="47"/>
  <c r="L110" i="47"/>
  <c r="D113" i="47"/>
  <c r="K115" i="47"/>
  <c r="H134" i="47"/>
  <c r="H33" i="47"/>
  <c r="L34" i="47"/>
  <c r="I35" i="47"/>
  <c r="J37" i="47"/>
  <c r="K44" i="47"/>
  <c r="H45" i="47"/>
  <c r="J47" i="47"/>
  <c r="E110" i="47"/>
  <c r="H111" i="47"/>
  <c r="K112" i="47"/>
  <c r="I114" i="47"/>
  <c r="D115" i="47"/>
  <c r="L115" i="47"/>
  <c r="E118" i="47"/>
  <c r="J119" i="47"/>
  <c r="D121" i="47"/>
  <c r="L121" i="47"/>
  <c r="I122" i="47"/>
  <c r="K125" i="47"/>
  <c r="H126" i="47"/>
  <c r="J128" i="47"/>
  <c r="L130" i="47"/>
  <c r="F110" i="47"/>
  <c r="D112" i="47"/>
  <c r="L112" i="47"/>
  <c r="J114" i="47"/>
  <c r="F118" i="47"/>
  <c r="J122" i="47"/>
  <c r="L125" i="47"/>
  <c r="L44" i="47"/>
  <c r="J33" i="47"/>
  <c r="K35" i="47"/>
  <c r="J45" i="47"/>
  <c r="G110" i="47"/>
  <c r="J111" i="47"/>
  <c r="E112" i="47"/>
  <c r="K114" i="47"/>
  <c r="G118" i="47"/>
  <c r="K122" i="47"/>
  <c r="J126" i="47"/>
  <c r="J125" i="47"/>
  <c r="J35" i="47"/>
  <c r="K33" i="47"/>
  <c r="L35" i="47"/>
  <c r="H36" i="47"/>
  <c r="J38" i="47"/>
  <c r="I43" i="47"/>
  <c r="K45" i="47"/>
  <c r="H46" i="47"/>
  <c r="J48" i="47"/>
  <c r="H110"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H121" i="47"/>
  <c r="E122" i="47"/>
  <c r="L126" i="47"/>
  <c r="I127" i="47"/>
  <c r="H130" i="47"/>
  <c r="J112" i="47"/>
  <c r="I34" i="47"/>
  <c r="H44" i="47"/>
  <c r="J46" i="47"/>
  <c r="J110" i="47"/>
  <c r="H112" i="47"/>
  <c r="J118" i="47"/>
  <c r="H125" i="47"/>
  <c r="J127" i="47"/>
  <c r="F111" i="47"/>
  <c r="F50" i="57" l="1"/>
  <c r="G50" i="57"/>
  <c r="A88" i="47"/>
  <c r="A87" i="47"/>
  <c r="F116" i="47"/>
  <c r="G116" i="47"/>
  <c r="D116" i="47"/>
  <c r="E116"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5" i="47" l="1"/>
  <c r="A89" i="47" s="1"/>
  <c r="K64" i="47"/>
  <c r="L64" i="47"/>
  <c r="H64" i="47"/>
  <c r="J64" i="47"/>
  <c r="I64" i="47"/>
  <c r="H104" i="47"/>
  <c r="J104" i="47"/>
  <c r="K104" i="47"/>
  <c r="L104" i="47"/>
  <c r="I104" i="47"/>
  <c r="L96" i="47"/>
  <c r="J96" i="47"/>
  <c r="K96" i="47"/>
  <c r="H96" i="47"/>
  <c r="I96" i="47"/>
  <c r="K88" i="47"/>
  <c r="H88" i="47"/>
  <c r="J88" i="47"/>
  <c r="L88" i="47"/>
  <c r="I88" i="47"/>
  <c r="H80" i="47"/>
  <c r="K80" i="47"/>
  <c r="L80" i="47"/>
  <c r="I80" i="47"/>
  <c r="J80" i="47"/>
  <c r="J72" i="47"/>
  <c r="L72" i="47"/>
  <c r="H72" i="47"/>
  <c r="K72" i="47"/>
  <c r="I72" i="47"/>
  <c r="H95" i="47"/>
  <c r="G95" i="47"/>
  <c r="F95" i="47"/>
  <c r="I95" i="47"/>
  <c r="M95" i="47"/>
  <c r="E95" i="47"/>
  <c r="L95" i="47"/>
  <c r="D95" i="47"/>
  <c r="K95" i="47"/>
  <c r="J95" i="47"/>
  <c r="L79" i="47"/>
  <c r="D79" i="47"/>
  <c r="K79" i="47"/>
  <c r="M79" i="47"/>
  <c r="J79" i="47"/>
  <c r="E79" i="47"/>
  <c r="I79" i="47"/>
  <c r="H79" i="47"/>
  <c r="G79" i="47"/>
  <c r="F79" i="47"/>
  <c r="H63" i="47"/>
  <c r="G63" i="47"/>
  <c r="I63" i="47"/>
  <c r="F63" i="47"/>
  <c r="M63" i="47"/>
  <c r="E63" i="47"/>
  <c r="L63" i="47"/>
  <c r="D63" i="47"/>
  <c r="K63" i="47"/>
  <c r="J63" i="47"/>
  <c r="J71" i="47"/>
  <c r="I71" i="47"/>
  <c r="K71" i="47"/>
  <c r="H71" i="47"/>
  <c r="G71" i="47"/>
  <c r="F71" i="47"/>
  <c r="M71" i="47"/>
  <c r="E71" i="47"/>
  <c r="L71" i="47"/>
  <c r="D71" i="47"/>
  <c r="J103" i="47"/>
  <c r="I103" i="47"/>
  <c r="H103" i="47"/>
  <c r="G103" i="47"/>
  <c r="F103" i="47"/>
  <c r="M103" i="47"/>
  <c r="E103" i="47"/>
  <c r="L103" i="47"/>
  <c r="D103" i="47"/>
  <c r="K103" i="47"/>
  <c r="F87" i="47"/>
  <c r="M87" i="47"/>
  <c r="E87" i="47"/>
  <c r="G87" i="47"/>
  <c r="L87" i="47"/>
  <c r="D87" i="47"/>
  <c r="K87" i="47"/>
  <c r="J87" i="47"/>
  <c r="I87" i="47"/>
  <c r="H87" i="47"/>
  <c r="A105" i="47" l="1"/>
  <c r="A106" i="47" s="1"/>
  <c r="A73" i="47"/>
  <c r="A74" i="47" s="1"/>
  <c r="A81" i="47"/>
  <c r="A82" i="47" s="1"/>
  <c r="A66" i="47"/>
  <c r="A90" i="47"/>
  <c r="A98" i="47"/>
  <c r="K90" i="47" l="1"/>
  <c r="L90" i="47"/>
  <c r="J90" i="47"/>
  <c r="I90" i="47"/>
  <c r="H90" i="47"/>
  <c r="I82" i="47"/>
  <c r="J82" i="47"/>
  <c r="H82" i="47"/>
  <c r="L82" i="47"/>
  <c r="K82" i="47"/>
  <c r="L74" i="47"/>
  <c r="H74" i="47"/>
  <c r="K74" i="47"/>
  <c r="J74" i="47"/>
  <c r="I74" i="47"/>
  <c r="L66" i="47"/>
  <c r="K66" i="47"/>
  <c r="J66" i="47"/>
  <c r="I66" i="47"/>
  <c r="H66" i="47"/>
  <c r="L98" i="47"/>
  <c r="K98" i="47"/>
  <c r="J98" i="47"/>
  <c r="I98" i="47"/>
  <c r="H98" i="47"/>
  <c r="L106" i="47"/>
  <c r="K106" i="47"/>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L5" i="41" l="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P5" i="41" l="1"/>
  <c r="F32" i="31" l="1"/>
  <c r="D32" i="47" l="1"/>
  <c r="D40" i="47" l="1"/>
  <c r="D42" i="47" s="1"/>
  <c r="D47" i="47" s="1"/>
  <c r="D45" i="47" l="1"/>
  <c r="D48" i="47"/>
  <c r="D56" i="47" s="1"/>
  <c r="D46" i="47"/>
  <c r="D44" i="47"/>
  <c r="D43" i="47"/>
  <c r="D57" i="47" l="1"/>
  <c r="D104" i="47"/>
  <c r="D106" i="47" s="1"/>
  <c r="D130" i="47" s="1"/>
  <c r="E38" i="47" s="1"/>
  <c r="D55" i="47" l="1"/>
  <c r="D32" i="57"/>
  <c r="D54" i="47" l="1"/>
  <c r="D40" i="57"/>
  <c r="D41" i="57"/>
  <c r="D96" i="47"/>
  <c r="D98" i="47" s="1"/>
  <c r="D129" i="47" s="1"/>
  <c r="E37" i="47" s="1"/>
  <c r="D53" i="47" l="1"/>
  <c r="D88" i="47"/>
  <c r="D90" i="47" s="1"/>
  <c r="D128" i="47" s="1"/>
  <c r="E36" i="47" s="1"/>
  <c r="D42" i="57"/>
  <c r="D48" i="57" s="1"/>
  <c r="D56" i="57" s="1"/>
  <c r="D49" i="57"/>
  <c r="D52" i="47" l="1"/>
  <c r="D80" i="47"/>
  <c r="D82" i="47" s="1"/>
  <c r="D127" i="47" s="1"/>
  <c r="E35" i="47" s="1"/>
  <c r="D43" i="57"/>
  <c r="D46" i="57"/>
  <c r="D47" i="57"/>
  <c r="D45" i="57"/>
  <c r="D44" i="57"/>
  <c r="D57" i="57"/>
  <c r="D55" i="57" s="1"/>
  <c r="D104" i="57"/>
  <c r="D106" i="57" s="1"/>
  <c r="D130" i="57" s="1"/>
  <c r="E38" i="57" s="1"/>
  <c r="D51" i="47" l="1"/>
  <c r="D72" i="47"/>
  <c r="D74" i="47" s="1"/>
  <c r="D126" i="47" s="1"/>
  <c r="E34" i="47" s="1"/>
  <c r="D54" i="57"/>
  <c r="D96" i="57"/>
  <c r="D64" i="47" l="1"/>
  <c r="D66" i="47" s="1"/>
  <c r="D125" i="47" s="1"/>
  <c r="D97" i="57"/>
  <c r="D122" i="57" s="1"/>
  <c r="D88" i="57"/>
  <c r="D90" i="57" s="1"/>
  <c r="D128" i="57" s="1"/>
  <c r="E36" i="57" s="1"/>
  <c r="D53" i="57"/>
  <c r="E41" i="47"/>
  <c r="E49" i="47" s="1"/>
  <c r="E33" i="47" l="1"/>
  <c r="D131" i="47"/>
  <c r="D98" i="57"/>
  <c r="D129" i="57" s="1"/>
  <c r="E37" i="57" s="1"/>
  <c r="D52" i="57"/>
  <c r="D80" i="57"/>
  <c r="E42" i="47"/>
  <c r="E32" i="47" l="1"/>
  <c r="D133" i="47"/>
  <c r="D134" i="47"/>
  <c r="D136" i="47" s="1"/>
  <c r="D81" i="57"/>
  <c r="D120" i="57" s="1"/>
  <c r="D51" i="57"/>
  <c r="D64" i="57" s="1"/>
  <c r="D72" i="57"/>
  <c r="E48" i="47"/>
  <c r="E47" i="47"/>
  <c r="E45" i="47"/>
  <c r="E46" i="47"/>
  <c r="E43" i="47"/>
  <c r="E44" i="47"/>
  <c r="E40" i="47" l="1"/>
  <c r="D138" i="47"/>
  <c r="D135" i="47"/>
  <c r="E56" i="47"/>
  <c r="D73" i="57"/>
  <c r="D119" i="57" s="1"/>
  <c r="D65" i="57"/>
  <c r="D118" i="57" s="1"/>
  <c r="D82" i="57"/>
  <c r="D127" i="57" s="1"/>
  <c r="E35" i="57" s="1"/>
  <c r="D140" i="47" l="1"/>
  <c r="D141" i="47"/>
  <c r="D139" i="47"/>
  <c r="D74" i="57"/>
  <c r="D126" i="57" s="1"/>
  <c r="E34" i="57" s="1"/>
  <c r="D66" i="57"/>
  <c r="D125" i="57" s="1"/>
  <c r="E57" i="47"/>
  <c r="E55" i="47" s="1"/>
  <c r="E104" i="47"/>
  <c r="E106" i="47" s="1"/>
  <c r="E130" i="47" s="1"/>
  <c r="F38" i="47" s="1"/>
  <c r="E54" i="47" l="1"/>
  <c r="E53" i="47" s="1"/>
  <c r="E52" i="47" s="1"/>
  <c r="E51" i="47" s="1"/>
  <c r="E96" i="47"/>
  <c r="E98" i="47" s="1"/>
  <c r="E129" i="47" s="1"/>
  <c r="F37" i="47" s="1"/>
  <c r="E33" i="57"/>
  <c r="D131" i="57"/>
  <c r="E88" i="47" l="1"/>
  <c r="E90" i="47" s="1"/>
  <c r="E128" i="47" s="1"/>
  <c r="F36" i="47" s="1"/>
  <c r="D133" i="57"/>
  <c r="E32" i="57"/>
  <c r="D134" i="57"/>
  <c r="E80" i="47"/>
  <c r="E82" i="47" s="1"/>
  <c r="E127" i="47" s="1"/>
  <c r="F35" i="47" s="1"/>
  <c r="E41" i="57" l="1"/>
  <c r="D136" i="57"/>
  <c r="E40" i="57"/>
  <c r="E42" i="57" s="1"/>
  <c r="D138" i="57"/>
  <c r="D135" i="57"/>
  <c r="E64" i="47"/>
  <c r="E66" i="47" s="1"/>
  <c r="E125" i="47" s="1"/>
  <c r="E72" i="47"/>
  <c r="E74" i="47" s="1"/>
  <c r="E126" i="47" s="1"/>
  <c r="F34" i="47" s="1"/>
  <c r="D141" i="57" l="1"/>
  <c r="D139" i="57"/>
  <c r="D140" i="57"/>
  <c r="E47" i="57"/>
  <c r="E48" i="57"/>
  <c r="E56" i="57" s="1"/>
  <c r="E46" i="57"/>
  <c r="E43" i="57"/>
  <c r="E44" i="57"/>
  <c r="E45" i="57"/>
  <c r="E49" i="57"/>
  <c r="F33" i="47"/>
  <c r="E131" i="47"/>
  <c r="E57" i="57" l="1"/>
  <c r="E55" i="57" s="1"/>
  <c r="E104" i="57"/>
  <c r="E106" i="57" s="1"/>
  <c r="E130" i="57" s="1"/>
  <c r="F38" i="57" s="1"/>
  <c r="F32" i="47"/>
  <c r="E133" i="47"/>
  <c r="F40" i="47" s="1"/>
  <c r="E134" i="47"/>
  <c r="E136" i="47" l="1"/>
  <c r="F41" i="47"/>
  <c r="F49" i="47" s="1"/>
  <c r="E54" i="57"/>
  <c r="E96" i="57"/>
  <c r="E138" i="47"/>
  <c r="E135" i="47"/>
  <c r="E88" i="57" l="1"/>
  <c r="E90" i="57" s="1"/>
  <c r="E128" i="57" s="1"/>
  <c r="F36" i="57" s="1"/>
  <c r="E53" i="57"/>
  <c r="E97" i="57"/>
  <c r="E122" i="57" s="1"/>
  <c r="F42" i="47"/>
  <c r="E140" i="47"/>
  <c r="E139" i="47"/>
  <c r="E141" i="47"/>
  <c r="F47" i="47" l="1"/>
  <c r="F46" i="47"/>
  <c r="F44" i="47"/>
  <c r="F48" i="47"/>
  <c r="F56" i="47" s="1"/>
  <c r="F45" i="47"/>
  <c r="F43" i="47"/>
  <c r="E98" i="57"/>
  <c r="E129" i="57" s="1"/>
  <c r="F37" i="57" s="1"/>
  <c r="E52" i="57"/>
  <c r="E80" i="57"/>
  <c r="F57" i="47" l="1"/>
  <c r="F55" i="47" s="1"/>
  <c r="F104" i="47"/>
  <c r="F106" i="47" s="1"/>
  <c r="F130" i="47" s="1"/>
  <c r="G38" i="47" s="1"/>
  <c r="E51" i="57"/>
  <c r="E64" i="57" s="1"/>
  <c r="E72" i="57"/>
  <c r="E81" i="57"/>
  <c r="E120" i="57" s="1"/>
  <c r="F54" i="47" l="1"/>
  <c r="F96" i="47"/>
  <c r="F98" i="47" s="1"/>
  <c r="F129" i="47" s="1"/>
  <c r="G37" i="47" s="1"/>
  <c r="E73" i="57"/>
  <c r="E119" i="57" s="1"/>
  <c r="E65" i="57"/>
  <c r="E118" i="57" s="1"/>
  <c r="E82" i="57"/>
  <c r="E127" i="57" s="1"/>
  <c r="F35" i="57" s="1"/>
  <c r="E66" i="57" l="1"/>
  <c r="E125" i="57" s="1"/>
  <c r="E74" i="57"/>
  <c r="E126" i="57" s="1"/>
  <c r="F34" i="57" s="1"/>
  <c r="F53" i="47"/>
  <c r="F88" i="47"/>
  <c r="F90" i="47" s="1"/>
  <c r="F128" i="47" s="1"/>
  <c r="G36"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52" i="47" l="1"/>
  <c r="F80" i="47"/>
  <c r="F82" i="47" s="1"/>
  <c r="F127" i="47" s="1"/>
  <c r="G35" i="47" s="1"/>
  <c r="F33" i="57"/>
  <c r="E131" i="57"/>
  <c r="F32" i="57" l="1"/>
  <c r="E133" i="57"/>
  <c r="E134" i="57"/>
  <c r="F51" i="47"/>
  <c r="F72" i="47"/>
  <c r="F74" i="47" s="1"/>
  <c r="F126" i="47" s="1"/>
  <c r="G34" i="47" s="1"/>
  <c r="F64" i="47" l="1"/>
  <c r="F66" i="47" s="1"/>
  <c r="F125" i="47" s="1"/>
  <c r="E136" i="57"/>
  <c r="F41" i="57"/>
  <c r="G33" i="47"/>
  <c r="F131" i="47"/>
  <c r="F40" i="57"/>
  <c r="F42" i="57" s="1"/>
  <c r="E135" i="57"/>
  <c r="E138" i="57"/>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F44" i="57" l="1"/>
  <c r="F47" i="57"/>
  <c r="F45" i="57"/>
  <c r="F46" i="57"/>
  <c r="F43" i="57"/>
  <c r="F48" i="57"/>
  <c r="F56" i="57" s="1"/>
  <c r="G32" i="47"/>
  <c r="F133" i="47"/>
  <c r="F134" i="47"/>
  <c r="E139" i="57"/>
  <c r="E141" i="57"/>
  <c r="E140" i="57"/>
  <c r="F49" i="5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40" i="47" l="1"/>
  <c r="F135" i="47"/>
  <c r="F138" i="47"/>
  <c r="F57" i="57"/>
  <c r="F55" i="57" s="1"/>
  <c r="F104" i="57"/>
  <c r="F106" i="57" s="1"/>
  <c r="F130" i="57" s="1"/>
  <c r="G38" i="57" s="1"/>
  <c r="G41" i="47"/>
  <c r="G49" i="47" s="1"/>
  <c r="F136" i="47"/>
  <c r="V11" i="7"/>
  <c r="W11" i="7"/>
  <c r="V6" i="7"/>
  <c r="W6" i="7"/>
  <c r="F96" i="57" l="1"/>
  <c r="F54" i="57"/>
  <c r="F141" i="47"/>
  <c r="F139" i="47"/>
  <c r="F140" i="47"/>
  <c r="G42" i="47"/>
  <c r="V8" i="7"/>
  <c r="W8" i="7"/>
  <c r="G47" i="47" l="1"/>
  <c r="G43" i="47"/>
  <c r="G48" i="47"/>
  <c r="G56" i="47" s="1"/>
  <c r="G45" i="47"/>
  <c r="G46" i="47"/>
  <c r="G44" i="47"/>
  <c r="F88" i="57"/>
  <c r="F90" i="57" s="1"/>
  <c r="F128" i="57" s="1"/>
  <c r="G36" i="57" s="1"/>
  <c r="F53" i="57"/>
  <c r="F97" i="57"/>
  <c r="F122" i="5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F98" i="57" l="1"/>
  <c r="F129" i="57" s="1"/>
  <c r="G37" i="57" s="1"/>
  <c r="F52" i="57"/>
  <c r="F80" i="57"/>
  <c r="G57" i="47"/>
  <c r="G55" i="47" s="1"/>
  <c r="G104" i="47"/>
  <c r="G106" i="47" s="1"/>
  <c r="G130" i="47" s="1"/>
  <c r="V10" i="7"/>
  <c r="W10" i="7"/>
  <c r="K13" i="2"/>
  <c r="L13" i="2" s="1"/>
  <c r="K8" i="2"/>
  <c r="G54" i="47" l="1"/>
  <c r="G96" i="47"/>
  <c r="G98" i="47" s="1"/>
  <c r="G129" i="47" s="1"/>
  <c r="F81" i="57"/>
  <c r="F120" i="57" s="1"/>
  <c r="F51" i="57"/>
  <c r="F64" i="57" s="1"/>
  <c r="F72" i="57"/>
  <c r="N13" i="2"/>
  <c r="O13" i="2"/>
  <c r="M13" i="2"/>
  <c r="F73" i="57" l="1"/>
  <c r="F119" i="57" s="1"/>
  <c r="F65" i="57"/>
  <c r="F118" i="57" s="1"/>
  <c r="F82" i="57"/>
  <c r="F127" i="57" s="1"/>
  <c r="G35" i="57" s="1"/>
  <c r="G53" i="47"/>
  <c r="G88" i="47"/>
  <c r="G90" i="47" s="1"/>
  <c r="G128" i="47" s="1"/>
  <c r="P13" i="2"/>
  <c r="G52" i="47" l="1"/>
  <c r="G80" i="47"/>
  <c r="G82" i="47" s="1"/>
  <c r="G127" i="47" s="1"/>
  <c r="F66" i="57"/>
  <c r="F125" i="57" s="1"/>
  <c r="F74" i="57"/>
  <c r="F126" i="57" s="1"/>
  <c r="G34" i="57" s="1"/>
  <c r="F131" i="57" l="1"/>
  <c r="G33" i="57"/>
  <c r="G51" i="47"/>
  <c r="G72" i="47"/>
  <c r="G74" i="47" s="1"/>
  <c r="G126" i="47" s="1"/>
  <c r="G64" i="47" l="1"/>
  <c r="G66" i="47" s="1"/>
  <c r="G125" i="47" s="1"/>
  <c r="G131" i="47" s="1"/>
  <c r="F134" i="57"/>
  <c r="F133" i="57"/>
  <c r="G32" i="57"/>
  <c r="G133" i="47" l="1"/>
  <c r="G134" i="47"/>
  <c r="G136" i="47" s="1"/>
  <c r="G40" i="57"/>
  <c r="F138" i="57"/>
  <c r="F135" i="57"/>
  <c r="G41" i="57"/>
  <c r="F136" i="57"/>
  <c r="G49" i="57" l="1"/>
  <c r="F139" i="57"/>
  <c r="F140" i="57"/>
  <c r="F141" i="57"/>
  <c r="G42" i="57"/>
  <c r="G138" i="47"/>
  <c r="G135" i="47"/>
  <c r="G47" i="57" l="1"/>
  <c r="G46" i="57"/>
  <c r="G43" i="57"/>
  <c r="G48" i="57"/>
  <c r="G56" i="57" s="1"/>
  <c r="G44" i="57"/>
  <c r="G45" i="57"/>
  <c r="G140" i="47"/>
  <c r="G141" i="47"/>
  <c r="G139" i="47"/>
  <c r="G57" i="57" l="1"/>
  <c r="G55" i="57" s="1"/>
  <c r="G104" i="57"/>
  <c r="G106" i="57" s="1"/>
  <c r="G130" i="57" s="1"/>
  <c r="G54" i="57" l="1"/>
  <c r="G96" i="57"/>
  <c r="G97" i="57" l="1"/>
  <c r="G122" i="57" s="1"/>
  <c r="G98" i="57"/>
  <c r="G129" i="57" s="1"/>
  <c r="G88" i="57"/>
  <c r="G90" i="57" s="1"/>
  <c r="G128" i="57" s="1"/>
  <c r="G53" i="57"/>
  <c r="G52" i="57" l="1"/>
  <c r="G80" i="57"/>
  <c r="G81" i="57" l="1"/>
  <c r="G120" i="57" s="1"/>
  <c r="G51" i="57"/>
  <c r="G64" i="57" s="1"/>
  <c r="G72" i="57"/>
  <c r="G73" i="57" l="1"/>
  <c r="G119" i="57" s="1"/>
  <c r="G65" i="57"/>
  <c r="G118" i="57" s="1"/>
  <c r="G82" i="57"/>
  <c r="G127" i="57" s="1"/>
  <c r="G66" i="57" l="1"/>
  <c r="G125" i="57" s="1"/>
  <c r="G74" i="57"/>
  <c r="G126" i="57" s="1"/>
  <c r="G131" i="57" l="1"/>
  <c r="G133" i="57" l="1"/>
  <c r="G134" i="57"/>
  <c r="G136" i="57" s="1"/>
  <c r="G138" i="57" l="1"/>
  <c r="G135" i="57"/>
  <c r="G139" i="57" l="1"/>
  <c r="G140" i="57"/>
  <c r="G141" i="57"/>
  <c r="D34" i="57" l="1"/>
  <c r="D33" i="57"/>
  <c r="D35" i="57"/>
  <c r="D37" i="57"/>
  <c r="D36" i="57"/>
  <c r="D38" i="57"/>
  <c r="D41" i="47"/>
  <c r="D49" i="47"/>
  <c r="D34" i="47"/>
  <c r="D35" i="47"/>
  <c r="D37" i="47"/>
  <c r="D38" i="47"/>
  <c r="D36" i="47"/>
  <c r="D33" i="47"/>
  <c r="C41" i="47"/>
  <c r="C36" i="47"/>
  <c r="C122" i="47"/>
  <c r="C40" i="47"/>
  <c r="C42" i="47" s="1"/>
  <c r="C121" i="47"/>
  <c r="C119" i="47"/>
  <c r="C123" i="47"/>
  <c r="C35" i="47"/>
  <c r="C120" i="47"/>
  <c r="C33" i="47"/>
  <c r="C34" i="47"/>
  <c r="C30" i="47"/>
  <c r="C50" i="47" s="1"/>
  <c r="C37" i="47"/>
  <c r="C38" i="47"/>
  <c r="C32" i="47"/>
  <c r="C118" i="47"/>
  <c r="C29" i="47"/>
  <c r="C111" i="47"/>
  <c r="M111" i="47" s="1"/>
  <c r="C31" i="47"/>
  <c r="C110" i="47"/>
  <c r="M110" i="47" s="1"/>
  <c r="C115" i="47"/>
  <c r="M115" i="47" s="1"/>
  <c r="C112" i="47"/>
  <c r="M112" i="47" s="1"/>
  <c r="C114" i="47"/>
  <c r="M114" i="47" s="1"/>
  <c r="C113" i="47"/>
  <c r="M113" i="47" s="1"/>
  <c r="C28" i="57"/>
  <c r="C115" i="57" s="1"/>
  <c r="M115" i="57" s="1"/>
  <c r="B55" i="47" l="1"/>
  <c r="B52" i="47"/>
  <c r="C41" i="57"/>
  <c r="C32" i="57"/>
  <c r="C45" i="47"/>
  <c r="C47" i="47"/>
  <c r="C43" i="47"/>
  <c r="C44" i="47"/>
  <c r="C46" i="47"/>
  <c r="C48" i="47"/>
  <c r="C56" i="47" s="1"/>
  <c r="C104" i="47" s="1"/>
  <c r="C106" i="47" s="1"/>
  <c r="C130" i="47" s="1"/>
  <c r="C49" i="57"/>
  <c r="C33" i="57"/>
  <c r="C123" i="57"/>
  <c r="C116" i="47"/>
  <c r="C114" i="57"/>
  <c r="M114" i="57" s="1"/>
  <c r="C30" i="57"/>
  <c r="C38" i="57"/>
  <c r="C31" i="57"/>
  <c r="C37" i="57"/>
  <c r="C111" i="57"/>
  <c r="M111" i="57" s="1"/>
  <c r="C112" i="57"/>
  <c r="M112" i="57" s="1"/>
  <c r="C29" i="57"/>
  <c r="C35" i="57"/>
  <c r="C36" i="57"/>
  <c r="C121" i="57"/>
  <c r="C113" i="57"/>
  <c r="M113" i="57" s="1"/>
  <c r="M39" i="58"/>
  <c r="C110" i="57"/>
  <c r="M110" i="57" s="1"/>
  <c r="C34" i="57"/>
  <c r="C40" i="57"/>
  <c r="C42" i="57" s="1"/>
  <c r="C45" i="57" l="1"/>
  <c r="C48" i="57"/>
  <c r="C43" i="57"/>
  <c r="C47" i="57"/>
  <c r="C44" i="57"/>
  <c r="C46" i="57"/>
  <c r="C95" i="47"/>
  <c r="C71" i="47"/>
  <c r="C103" i="47"/>
  <c r="C79" i="47"/>
  <c r="C87" i="47"/>
  <c r="C63" i="47"/>
  <c r="C57" i="47"/>
  <c r="C50" i="57"/>
  <c r="C116" i="57"/>
  <c r="M45" i="58"/>
  <c r="M46" i="58" l="1"/>
  <c r="C49" i="47"/>
  <c r="C55" i="47"/>
  <c r="C63" i="57"/>
  <c r="C79" i="57"/>
  <c r="C103" i="57"/>
  <c r="C71" i="57"/>
  <c r="C95" i="57"/>
  <c r="C87" i="57"/>
  <c r="C56" i="57"/>
  <c r="C104" i="57" s="1"/>
  <c r="C106" i="57" s="1"/>
  <c r="C130" i="57" s="1"/>
  <c r="C57" i="57" l="1"/>
  <c r="B52" i="57" s="1"/>
  <c r="M44" i="58"/>
  <c r="C54" i="47"/>
  <c r="C96" i="47"/>
  <c r="C98" i="47" s="1"/>
  <c r="C129" i="47" s="1"/>
  <c r="C55" i="57" l="1"/>
  <c r="C96" i="57" s="1"/>
  <c r="C88" i="47"/>
  <c r="C90" i="47" s="1"/>
  <c r="C128" i="47" s="1"/>
  <c r="M43" i="58"/>
  <c r="C53" i="47"/>
  <c r="C52" i="47" s="1"/>
  <c r="C54" i="57" l="1"/>
  <c r="M42" i="58"/>
  <c r="C80" i="47"/>
  <c r="C82" i="47" s="1"/>
  <c r="C127" i="47" s="1"/>
  <c r="C51" i="47"/>
  <c r="C53" i="57"/>
  <c r="C88" i="57"/>
  <c r="C90" i="57" s="1"/>
  <c r="C128" i="57" s="1"/>
  <c r="C97" i="57"/>
  <c r="C122" i="57" s="1"/>
  <c r="C98" i="57" l="1"/>
  <c r="C129" i="57" s="1"/>
  <c r="C52" i="57"/>
  <c r="C80" i="57"/>
  <c r="M41" i="58"/>
  <c r="C72" i="47"/>
  <c r="C74" i="47" s="1"/>
  <c r="C126" i="47" s="1"/>
  <c r="C81" i="57" l="1"/>
  <c r="C120" i="57" s="1"/>
  <c r="C72" i="57"/>
  <c r="C51" i="57"/>
  <c r="C64" i="57" s="1"/>
  <c r="M40" i="58"/>
  <c r="M48" i="58" s="1"/>
  <c r="C64" i="47"/>
  <c r="C66" i="47" s="1"/>
  <c r="C125" i="47" s="1"/>
  <c r="C131" i="47" s="1"/>
  <c r="C82" i="57" l="1"/>
  <c r="C127" i="57" s="1"/>
  <c r="C133" i="47"/>
  <c r="C134" i="47"/>
  <c r="C136" i="47" s="1"/>
  <c r="C65" i="57"/>
  <c r="C118" i="57" s="1"/>
  <c r="C73" i="57"/>
  <c r="C119" i="57" s="1"/>
  <c r="C66" i="57" l="1"/>
  <c r="C125" i="57" s="1"/>
  <c r="C74" i="57"/>
  <c r="C126" i="57" s="1"/>
  <c r="C138" i="47"/>
  <c r="C135" i="47"/>
  <c r="C131" i="57" l="1"/>
  <c r="C133" i="57" s="1"/>
  <c r="C140" i="47"/>
  <c r="C141" i="47"/>
  <c r="C139" i="47"/>
  <c r="C134" i="57" l="1"/>
  <c r="C136" i="57" s="1"/>
  <c r="C138" i="57"/>
  <c r="C135" i="57"/>
  <c r="C140" i="57" l="1"/>
  <c r="C139" i="57"/>
  <c r="C141" i="57"/>
</calcChain>
</file>

<file path=xl/sharedStrings.xml><?xml version="1.0" encoding="utf-8"?>
<sst xmlns="http://schemas.openxmlformats.org/spreadsheetml/2006/main" count="795" uniqueCount="401">
  <si>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</si>
  <si>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</si>
  <si>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</si>
  <si>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</si>
  <si>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</si>
  <si>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</si>
  <si>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</si>
  <si>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</si>
  <si>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</si>
  <si>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</si>
  <si>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</si>
  <si>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</si>
  <si>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</si>
  <si>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</si>
  <si>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</si>
  <si>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</si>
  <si>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</si>
  <si>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</si>
  <si>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</si>
  <si>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</si>
  <si>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</si>
  <si>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</si>
  <si>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</si>
  <si>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</si>
  <si>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</si>
  <si>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</si>
  <si>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</si>
  <si>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</si>
  <si>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</si>
  <si>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</si>
  <si>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</si>
  <si>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</si>
  <si>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</si>
  <si>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</si>
  <si>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</si>
  <si>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</si>
  <si>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</si>
  <si>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</si>
  <si>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</si>
  <si>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</si>
  <si>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</si>
  <si>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</si>
  <si>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</si>
  <si>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</si>
  <si>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</si>
  <si>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</si>
  <si>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</si>
  <si>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</si>
  <si>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</si>
  <si>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</si>
  <si>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</si>
  <si>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</si>
  <si>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</si>
  <si>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</si>
  <si>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</si>
  <si>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</si>
  <si>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</si>
  <si>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</si>
  <si>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</si>
  <si>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</si>
  <si>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</si>
  <si>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</si>
  <si>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</si>
  <si>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</si>
  <si>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</si>
  <si>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</si>
  <si>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</si>
  <si>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</si>
  <si>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</si>
  <si>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</si>
  <si>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</si>
  <si>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</si>
  <si>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</si>
  <si>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</si>
  <si>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</si>
  <si>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</si>
  <si>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</si>
  <si>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</si>
  <si>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</si>
  <si>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</si>
  <si>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</si>
  <si>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</si>
  <si>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</si>
  <si>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</si>
  <si>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</si>
  <si>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</si>
  <si>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</si>
  <si>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</si>
  <si>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</si>
  <si>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</si>
  <si>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</si>
  <si>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</si>
  <si>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</si>
  <si>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</si>
  <si>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</si>
  <si>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</si>
  <si>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</si>
  <si>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</si>
  <si>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</si>
  <si>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</si>
  <si>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</si>
  <si>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</si>
  <si>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</si>
  <si>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</si>
  <si>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</si>
  <si>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</si>
  <si>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</si>
  <si>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</si>
  <si>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</si>
  <si>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</si>
  <si>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</si>
  <si>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</si>
  <si>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</si>
  <si>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</si>
  <si>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</si>
  <si>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</si>
  <si>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</si>
  <si>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</si>
  <si>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</si>
  <si>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</si>
  <si>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</si>
  <si>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</si>
  <si>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</si>
  <si>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</si>
  <si>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</si>
  <si>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</si>
  <si>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</si>
  <si>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</si>
  <si>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</si>
  <si>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</si>
  <si>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</si>
  <si>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</si>
  <si>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</si>
  <si>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</si>
  <si>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</si>
  <si>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</si>
  <si>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</si>
  <si>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</si>
  <si>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</si>
  <si>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</si>
  <si>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</si>
  <si>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</si>
  <si>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</si>
  <si>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</si>
  <si>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</si>
  <si>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</si>
  <si>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</si>
  <si>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</si>
  <si>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</si>
  <si>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</si>
  <si>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</si>
  <si>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</si>
  <si>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</si>
  <si>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</si>
  <si>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</si>
  <si>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</si>
  <si>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</si>
  <si>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</si>
  <si>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</si>
  <si>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</si>
  <si>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</si>
  <si>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</si>
  <si>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</si>
  <si>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</si>
  <si>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</si>
  <si>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</si>
  <si>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</si>
  <si>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</si>
  <si>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</si>
  <si>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</si>
  <si>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</si>
  <si>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</si>
  <si>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</si>
  <si>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</si>
  <si>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</si>
  <si>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</si>
  <si>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</si>
  <si>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</si>
  <si>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</si>
  <si>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</si>
  <si>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</si>
  <si>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</si>
  <si>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</si>
  <si>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</si>
  <si>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</si>
  <si>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</si>
  <si>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</si>
  <si>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</si>
  <si>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</si>
  <si>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</si>
  <si>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</si>
  <si>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</si>
  <si>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</si>
  <si>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</si>
  <si>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</si>
  <si>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</si>
  <si>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</si>
  <si>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</si>
  <si>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</si>
  <si>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</si>
  <si>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</si>
  <si>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</si>
  <si>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</si>
  <si>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</si>
  <si>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</si>
  <si>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</si>
  <si>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</si>
  <si>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</si>
  <si>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</si>
  <si>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</si>
  <si>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</si>
  <si>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</si>
  <si>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</si>
  <si>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</si>
  <si>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</si>
  <si>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</si>
  <si>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</si>
  <si>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</si>
  <si>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</si>
  <si>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</si>
  <si>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</si>
  <si>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</si>
  <si>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</si>
  <si>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</si>
  <si>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</si>
  <si>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</si>
  <si>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</si>
  <si>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</si>
  <si>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</si>
  <si>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</si>
  <si>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</si>
  <si>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</si>
  <si>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</si>
  <si>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</si>
  <si>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</si>
  <si>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</si>
  <si>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</si>
  <si>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</si>
  <si>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</si>
  <si>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</si>
  <si>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</si>
  <si>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</si>
  <si>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</si>
  <si>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</si>
  <si>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</si>
  <si>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</si>
  <si>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</si>
  <si>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</si>
  <si>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</si>
  <si>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</si>
  <si>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</si>
  <si>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</si>
  <si>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</si>
  <si>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</si>
  <si>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</si>
  <si>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</si>
  <si>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</si>
  <si>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</si>
  <si>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</si>
  <si>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</si>
  <si>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</si>
  <si>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</si>
  <si>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</si>
  <si>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</si>
  <si>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</si>
  <si>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</si>
  <si>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</si>
  <si>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</si>
  <si>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</si>
  <si>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</si>
  <si>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</si>
  <si>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</si>
  <si>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</si>
  <si>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</si>
  <si>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</si>
  <si>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</si>
  <si>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</si>
  <si>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</si>
  <si>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</si>
  <si>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</si>
  <si>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</si>
  <si>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</si>
  <si>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</si>
  <si>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</si>
  <si>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</si>
  <si>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</si>
  <si>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</si>
  <si>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</si>
  <si>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</si>
  <si>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</si>
  <si>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</si>
  <si>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</si>
  <si>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</si>
  <si>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</si>
  <si>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</si>
  <si>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</si>
  <si>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</si>
  <si>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</si>
  <si>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</si>
  <si>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</si>
  <si>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</si>
  <si>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</si>
  <si>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</si>
  <si>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</si>
  <si>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</si>
  <si>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</si>
  <si>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</si>
  <si>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</si>
  <si>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</si>
  <si>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</si>
  <si>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</si>
  <si>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</si>
  <si>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</si>
  <si>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</si>
  <si>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</si>
  <si>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</si>
  <si>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</si>
  <si>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</si>
  <si>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</si>
  <si>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</si>
  <si>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</si>
  <si>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</si>
  <si>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</si>
  <si>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</si>
  <si>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</si>
  <si>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</si>
  <si>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</si>
  <si>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</si>
  <si>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</si>
  <si>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</si>
  <si>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</si>
  <si>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</si>
  <si>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</si>
  <si>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</si>
  <si>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</si>
  <si>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</si>
  <si>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</si>
  <si>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</si>
  <si>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</si>
  <si>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</si>
  <si>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</si>
  <si>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</si>
  <si>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</si>
  <si>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</si>
  <si>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</si>
  <si>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</si>
  <si>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</si>
  <si>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</si>
  <si>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</si>
  <si>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</si>
  <si>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</si>
  <si>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</si>
  <si>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</si>
  <si>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</si>
  <si>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</si>
  <si>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</si>
  <si>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</si>
  <si>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</si>
  <si>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</si>
  <si>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</si>
  <si>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</si>
  <si>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</si>
  <si>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</si>
  <si>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</si>
  <si>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</si>
  <si>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</si>
  <si>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</si>
  <si>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</si>
  <si>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</si>
  <si>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</si>
  <si>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</si>
  <si>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</si>
  <si>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</si>
  <si>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</si>
  <si>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</si>
  <si>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</si>
  <si>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</si>
  <si>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</si>
  <si>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</si>
  <si>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</si>
  <si>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</si>
  <si>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</si>
  <si>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</si>
  <si>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</si>
  <si>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</si>
  <si>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</si>
  <si>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</si>
  <si>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</si>
  <si>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</si>
  <si>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</si>
  <si>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</si>
  <si>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</si>
  <si>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</si>
  <si>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</si>
  <si>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</si>
  <si>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</si>
  <si>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Row 49</t>
  </si>
  <si>
    <t>Pree 1922</t>
  </si>
  <si>
    <t>First Nations of Lower Basin</t>
  </si>
  <si>
    <t>Mexico Responsibility</t>
  </si>
  <si>
    <t>Remain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</si>
</sst>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3" fillId="2" borderId="19" xfId="2" applyNumberFormat="1" applyBorder="1" applyAlignment="1">
      <alignment horizontal="center"/>
    </xf>
    <xf numFmtId="169" fontId="3" fillId="2" borderId="9" xfId="2" applyNumberFormat="1" applyBorder="1" applyAlignment="1">
      <alignment horizontal="center"/>
    </xf>
    <xf numFmtId="169" fontId="0" fillId="0" borderId="0" xfId="0" applyNumberFormat="1"/>
    <xf numFmtId="2" fontId="0" fillId="0" borderId="0" xfId="0" applyNumberFormat="1" applyAlignment="1">
      <alignment horizontal="left"/>
    </xf>
    <xf numFmtId="2" fontId="4" fillId="4" borderId="9" xfId="4" applyNumberFormat="1" applyFont="1" applyFill="1" applyBorder="1" applyAlignment="1">
      <alignment horizontal="center"/>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A6CA8"/>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2.4650553406864715</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2.4453034777385998</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9.9999999999997868E-3</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6.2443382161146754</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1.000000000000334E-3</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6.2673123012847691</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23.73340047989943</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11.672190831144258</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5">
                <a:lumMod val="5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SplitInflow!$C$45:$L$45</c:f>
              <c:numCache>
                <c:formatCode>0.0</c:formatCode>
                <c:ptCount val="10"/>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pt idx="9">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rgbClr val="2A6CA8"/>
            </a:solidFill>
            <a:ln w="25400">
              <a:noFill/>
            </a:ln>
            <a:effectLst/>
          </c:spPr>
          <c:val>
            <c:numRef>
              <c:f>SplitInflow!$C$46:$L$46</c:f>
              <c:numCache>
                <c:formatCode>0.0</c:formatCode>
                <c:ptCount val="10"/>
                <c:pt idx="0" formatCode="0.000">
                  <c:v>0</c:v>
                </c:pt>
                <c:pt idx="1">
                  <c:v>0</c:v>
                </c:pt>
                <c:pt idx="2">
                  <c:v>0.57994433892256059</c:v>
                </c:pt>
                <c:pt idx="3">
                  <c:v>0.6</c:v>
                </c:pt>
                <c:pt idx="4">
                  <c:v>0.6</c:v>
                </c:pt>
                <c:pt idx="5">
                  <c:v>0.6</c:v>
                </c:pt>
                <c:pt idx="6">
                  <c:v>0.6</c:v>
                </c:pt>
                <c:pt idx="7">
                  <c:v>0.6</c:v>
                </c:pt>
                <c:pt idx="8">
                  <c:v>0.6</c:v>
                </c:pt>
                <c:pt idx="9">
                  <c:v>0.6</c:v>
                </c:pt>
              </c:numCache>
            </c:numRef>
          </c:val>
          <c:extLst>
            <c:ext xmlns:c16="http://schemas.microsoft.com/office/drawing/2014/chart" uri="{C3380CC4-5D6E-409C-BE32-E72D297353CC}">
              <c16:uniqueId val="{00000000-6984-4A32-8F50-E61BBD313EA7}"/>
            </c:ext>
          </c:extLst>
        </c:ser>
        <c:ser>
          <c:idx val="4"/>
          <c:order val="2"/>
          <c:tx>
            <c:strRef>
              <c:f>SplitInflow!$A$44</c:f>
              <c:strCache>
                <c:ptCount val="1"/>
                <c:pt idx="0">
                  <c:v>    To First Nations</c:v>
                </c:pt>
              </c:strCache>
            </c:strRef>
          </c:tx>
          <c:spPr>
            <a:solidFill>
              <a:schemeClr val="accent5">
                <a:lumMod val="75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SplitInflow!$C$44:$L$44</c:f>
              <c:numCache>
                <c:formatCode>0.0</c:formatCode>
                <c:ptCount val="10"/>
                <c:pt idx="0">
                  <c:v>0</c:v>
                </c:pt>
                <c:pt idx="1">
                  <c:v>0</c:v>
                </c:pt>
                <c:pt idx="2">
                  <c:v>0</c:v>
                </c:pt>
                <c:pt idx="3">
                  <c:v>1.8799443389225612</c:v>
                </c:pt>
                <c:pt idx="4">
                  <c:v>1.9444827586206894</c:v>
                </c:pt>
                <c:pt idx="5">
                  <c:v>1.9444827586206894</c:v>
                </c:pt>
                <c:pt idx="6">
                  <c:v>1.9444827586206894</c:v>
                </c:pt>
                <c:pt idx="7">
                  <c:v>1.9444827586206894</c:v>
                </c:pt>
                <c:pt idx="8">
                  <c:v>1.9444827586206894</c:v>
                </c:pt>
                <c:pt idx="9">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SplitInflow!$C$43:$L$43</c:f>
              <c:numCache>
                <c:formatCode>0.000</c:formatCode>
                <c:ptCount val="10"/>
                <c:pt idx="0">
                  <c:v>0</c:v>
                </c:pt>
                <c:pt idx="1">
                  <c:v>0</c:v>
                </c:pt>
                <c:pt idx="2">
                  <c:v>0</c:v>
                </c:pt>
                <c:pt idx="3">
                  <c:v>0</c:v>
                </c:pt>
                <c:pt idx="4">
                  <c:v>1.5555555555555553E-2</c:v>
                </c:pt>
                <c:pt idx="5">
                  <c:v>1.5555555555555553E-2</c:v>
                </c:pt>
                <c:pt idx="6">
                  <c:v>1.5555555555555553E-2</c:v>
                </c:pt>
                <c:pt idx="7">
                  <c:v>1.5555555555555553E-2</c:v>
                </c:pt>
                <c:pt idx="8">
                  <c:v>1.5555555555555553E-2</c:v>
                </c:pt>
                <c:pt idx="9">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5">
                <a:lumMod val="60000"/>
                <a:lumOff val="4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SplitInflow!$C$42:$L$42</c:f>
              <c:numCache>
                <c:formatCode>0.00</c:formatCode>
                <c:ptCount val="10"/>
                <c:pt idx="0">
                  <c:v>0</c:v>
                </c:pt>
                <c:pt idx="1">
                  <c:v>0</c:v>
                </c:pt>
                <c:pt idx="2">
                  <c:v>0</c:v>
                </c:pt>
                <c:pt idx="3">
                  <c:v>0</c:v>
                </c:pt>
                <c:pt idx="4">
                  <c:v>1.3048850574712643</c:v>
                </c:pt>
                <c:pt idx="5">
                  <c:v>1.3048850574712643</c:v>
                </c:pt>
                <c:pt idx="6">
                  <c:v>1.3048850574712643</c:v>
                </c:pt>
                <c:pt idx="7">
                  <c:v>1.3048850574712643</c:v>
                </c:pt>
                <c:pt idx="8">
                  <c:v>1.3048850574712643</c:v>
                </c:pt>
                <c:pt idx="9">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5">
                <a:lumMod val="40000"/>
                <a:lumOff val="6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SplitInflow!$C$41:$L$41</c:f>
              <c:numCache>
                <c:formatCode>0.0</c:formatCode>
                <c:ptCount val="10"/>
                <c:pt idx="0">
                  <c:v>0</c:v>
                </c:pt>
                <c:pt idx="1">
                  <c:v>0</c:v>
                </c:pt>
                <c:pt idx="2">
                  <c:v>0</c:v>
                </c:pt>
                <c:pt idx="3">
                  <c:v>0</c:v>
                </c:pt>
                <c:pt idx="4">
                  <c:v>7.5104836375259332E-3</c:v>
                </c:pt>
                <c:pt idx="5">
                  <c:v>1.2750209672750521</c:v>
                </c:pt>
                <c:pt idx="6" formatCode="0.00">
                  <c:v>3.2750209672750521</c:v>
                </c:pt>
                <c:pt idx="7" formatCode="0.00">
                  <c:v>6.1111877394636007</c:v>
                </c:pt>
                <c:pt idx="8" formatCode="0.00">
                  <c:v>6.1111877394636007</c:v>
                </c:pt>
                <c:pt idx="9" formatCode="0.00">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5">
                <a:lumMod val="20000"/>
                <a:lumOff val="8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SplitInflow!$C$40:$L$40</c:f>
              <c:numCache>
                <c:formatCode>0.0</c:formatCode>
                <c:ptCount val="10"/>
                <c:pt idx="0">
                  <c:v>0</c:v>
                </c:pt>
                <c:pt idx="1">
                  <c:v>0</c:v>
                </c:pt>
                <c:pt idx="2">
                  <c:v>0</c:v>
                </c:pt>
                <c:pt idx="3">
                  <c:v>0</c:v>
                </c:pt>
                <c:pt idx="4">
                  <c:v>7.5104836375254891E-3</c:v>
                </c:pt>
                <c:pt idx="5">
                  <c:v>1.2399999999999993</c:v>
                </c:pt>
                <c:pt idx="6">
                  <c:v>1.2399999999999993</c:v>
                </c:pt>
                <c:pt idx="7">
                  <c:v>1.6638332278114518</c:v>
                </c:pt>
                <c:pt idx="8">
                  <c:v>2.903833227811452</c:v>
                </c:pt>
                <c:pt idx="9">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 Inflow</a:t>
                </a:r>
                <a:endParaRPr lang="en-US" sz="2800" baseline="0"/>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5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3220" cy="6285424"/>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1"/>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9" t="s">
        <v>381</v>
      </c>
      <c r="B1" s="219"/>
      <c r="C1" s="219"/>
      <c r="D1" s="219"/>
      <c r="E1" s="219"/>
      <c r="F1" s="219"/>
      <c r="G1" s="219"/>
      <c r="H1" s="219"/>
      <c r="I1" s="219"/>
      <c r="J1" s="219"/>
      <c r="K1" s="219"/>
      <c r="L1" s="219"/>
    </row>
    <row r="2" spans="1:18" x14ac:dyDescent="0.35">
      <c r="A2" s="1"/>
      <c r="B2" s="1"/>
      <c r="C2" s="2"/>
      <c r="D2"/>
    </row>
    <row r="3" spans="1:18" x14ac:dyDescent="0.35">
      <c r="A3" s="172" t="s">
        <v>346</v>
      </c>
      <c r="B3" s="173"/>
      <c r="C3" s="174"/>
      <c r="D3" s="175"/>
      <c r="E3" s="175"/>
      <c r="F3" s="175"/>
      <c r="G3" s="175"/>
      <c r="H3" s="175"/>
      <c r="I3" s="175"/>
      <c r="J3" s="175"/>
      <c r="K3" s="175"/>
      <c r="L3" s="176"/>
      <c r="N3" s="1"/>
    </row>
    <row r="4" spans="1:18" s="59" customFormat="1" ht="30.75" customHeight="1" x14ac:dyDescent="0.35">
      <c r="A4" s="216" t="s">
        <v>379</v>
      </c>
      <c r="B4" s="217"/>
      <c r="C4" s="217"/>
      <c r="D4" s="217"/>
      <c r="E4" s="217"/>
      <c r="F4" s="217"/>
      <c r="G4" s="217"/>
      <c r="H4" s="217"/>
      <c r="I4" s="217"/>
      <c r="J4" s="217"/>
      <c r="K4" s="217"/>
      <c r="L4" s="218"/>
      <c r="N4" s="215"/>
      <c r="O4" s="215"/>
      <c r="P4" s="215"/>
      <c r="Q4" s="215"/>
      <c r="R4" s="215"/>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7" t="s">
        <v>347</v>
      </c>
      <c r="B6" s="238"/>
      <c r="C6" s="238"/>
      <c r="D6" s="238"/>
      <c r="E6" s="238"/>
      <c r="F6" s="238"/>
      <c r="G6" s="238"/>
      <c r="H6" s="238"/>
      <c r="I6" s="238"/>
      <c r="J6" s="238"/>
      <c r="K6" s="238"/>
      <c r="L6" s="239"/>
    </row>
    <row r="7" spans="1:18" s="94" customFormat="1" ht="14.5" customHeight="1" x14ac:dyDescent="0.35">
      <c r="A7" s="231" t="s">
        <v>380</v>
      </c>
      <c r="B7" s="232"/>
      <c r="C7" s="232"/>
      <c r="D7" s="232"/>
      <c r="E7" s="232"/>
      <c r="F7" s="232"/>
      <c r="G7" s="232"/>
      <c r="H7" s="232"/>
      <c r="I7" s="232"/>
      <c r="J7" s="232"/>
      <c r="K7" s="232"/>
      <c r="L7" s="233"/>
    </row>
    <row r="8" spans="1:18" s="94" customFormat="1" ht="14.5" customHeight="1" x14ac:dyDescent="0.35">
      <c r="A8" s="240" t="s">
        <v>348</v>
      </c>
      <c r="B8" s="241"/>
      <c r="C8" s="241"/>
      <c r="D8" s="241"/>
      <c r="E8" s="241"/>
      <c r="F8" s="241"/>
      <c r="G8" s="241"/>
      <c r="H8" s="241"/>
      <c r="I8" s="241"/>
      <c r="J8" s="241"/>
      <c r="K8" s="241"/>
      <c r="L8" s="242"/>
    </row>
    <row r="9" spans="1:18" s="94" customFormat="1" ht="14.5" customHeight="1" x14ac:dyDescent="0.35">
      <c r="A9" s="240" t="s">
        <v>349</v>
      </c>
      <c r="B9" s="241"/>
      <c r="C9" s="241"/>
      <c r="D9" s="241"/>
      <c r="E9" s="241"/>
      <c r="F9" s="241"/>
      <c r="G9" s="241"/>
      <c r="H9" s="241"/>
      <c r="I9" s="241"/>
      <c r="J9" s="241"/>
      <c r="K9" s="241"/>
      <c r="L9" s="242"/>
    </row>
    <row r="10" spans="1:18" s="94" customFormat="1" ht="14.5" customHeight="1" x14ac:dyDescent="0.35">
      <c r="A10" s="243" t="s">
        <v>350</v>
      </c>
      <c r="B10" s="244"/>
      <c r="C10" s="244"/>
      <c r="D10" s="244"/>
      <c r="E10" s="244"/>
      <c r="F10" s="244"/>
      <c r="G10" s="244"/>
      <c r="H10" s="244"/>
      <c r="I10" s="244"/>
      <c r="J10" s="244"/>
      <c r="K10" s="244"/>
      <c r="L10" s="245"/>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24" t="s">
        <v>351</v>
      </c>
      <c r="B12" s="225"/>
      <c r="C12" s="225"/>
      <c r="D12" s="225"/>
      <c r="E12" s="225"/>
      <c r="F12" s="225"/>
      <c r="G12" s="225"/>
      <c r="H12" s="225"/>
      <c r="I12" s="225"/>
      <c r="J12" s="225"/>
      <c r="K12" s="225"/>
      <c r="L12" s="226"/>
      <c r="N12" s="1"/>
    </row>
    <row r="13" spans="1:18" s="94" customFormat="1" ht="16.5" customHeight="1" x14ac:dyDescent="0.35">
      <c r="A13" s="234" t="s">
        <v>367</v>
      </c>
      <c r="B13" s="235"/>
      <c r="C13" s="235"/>
      <c r="D13" s="235"/>
      <c r="E13" s="235"/>
      <c r="F13" s="235"/>
      <c r="G13" s="235"/>
      <c r="H13" s="235"/>
      <c r="I13" s="235"/>
      <c r="J13" s="235"/>
      <c r="K13" s="235"/>
      <c r="L13" s="236"/>
      <c r="N13" s="1"/>
    </row>
    <row r="14" spans="1:18" s="94" customFormat="1" ht="15" customHeight="1" x14ac:dyDescent="0.35">
      <c r="A14" s="184">
        <v>1</v>
      </c>
      <c r="B14" s="227" t="s">
        <v>366</v>
      </c>
      <c r="C14" s="227"/>
      <c r="D14" s="227"/>
      <c r="E14" s="227"/>
      <c r="F14" s="227"/>
      <c r="G14" s="227"/>
      <c r="H14" s="227"/>
      <c r="I14" s="227"/>
      <c r="J14" s="227"/>
      <c r="K14" s="227"/>
      <c r="L14" s="228"/>
    </row>
    <row r="15" spans="1:18" s="94" customFormat="1" ht="15" customHeight="1" x14ac:dyDescent="0.35">
      <c r="A15" s="184">
        <v>2</v>
      </c>
      <c r="B15" s="227" t="s">
        <v>357</v>
      </c>
      <c r="C15" s="227"/>
      <c r="D15" s="227"/>
      <c r="E15" s="227"/>
      <c r="F15" s="227"/>
      <c r="G15" s="227"/>
      <c r="H15" s="227"/>
      <c r="I15" s="227"/>
      <c r="J15" s="227"/>
      <c r="K15" s="227"/>
      <c r="L15" s="228"/>
      <c r="N15" s="117"/>
    </row>
    <row r="16" spans="1:18" s="94" customFormat="1" ht="15" customHeight="1" x14ac:dyDescent="0.35">
      <c r="A16" s="184">
        <v>3</v>
      </c>
      <c r="B16" s="227" t="s">
        <v>352</v>
      </c>
      <c r="C16" s="227"/>
      <c r="D16" s="227"/>
      <c r="E16" s="227"/>
      <c r="F16" s="227"/>
      <c r="G16" s="227"/>
      <c r="H16" s="227"/>
      <c r="I16" s="227"/>
      <c r="J16" s="227"/>
      <c r="K16" s="227"/>
      <c r="L16" s="228"/>
      <c r="N16" s="117"/>
    </row>
    <row r="17" spans="1:14" s="94" customFormat="1" ht="15" customHeight="1" x14ac:dyDescent="0.35">
      <c r="A17" s="184">
        <v>4</v>
      </c>
      <c r="B17" s="227" t="s">
        <v>353</v>
      </c>
      <c r="C17" s="227"/>
      <c r="D17" s="227"/>
      <c r="E17" s="227"/>
      <c r="F17" s="227"/>
      <c r="G17" s="227"/>
      <c r="H17" s="227"/>
      <c r="I17" s="227"/>
      <c r="J17" s="227"/>
      <c r="K17" s="227"/>
      <c r="L17" s="228"/>
      <c r="N17" s="117"/>
    </row>
    <row r="18" spans="1:14" s="94" customFormat="1" ht="15" customHeight="1" x14ac:dyDescent="0.35">
      <c r="A18" s="184">
        <v>5</v>
      </c>
      <c r="B18" s="227" t="s">
        <v>354</v>
      </c>
      <c r="C18" s="227"/>
      <c r="D18" s="227"/>
      <c r="E18" s="227"/>
      <c r="F18" s="227"/>
      <c r="G18" s="227"/>
      <c r="H18" s="227"/>
      <c r="I18" s="227"/>
      <c r="J18" s="227"/>
      <c r="K18" s="227"/>
      <c r="L18" s="228"/>
      <c r="N18" s="117"/>
    </row>
    <row r="19" spans="1:14" s="94" customFormat="1" ht="15" customHeight="1" x14ac:dyDescent="0.35">
      <c r="A19" s="184"/>
      <c r="B19" s="227" t="s">
        <v>355</v>
      </c>
      <c r="C19" s="227"/>
      <c r="D19" s="227"/>
      <c r="E19" s="227"/>
      <c r="F19" s="227"/>
      <c r="G19" s="227"/>
      <c r="H19" s="227"/>
      <c r="I19" s="227"/>
      <c r="J19" s="227"/>
      <c r="K19" s="227"/>
      <c r="L19" s="228"/>
      <c r="N19" s="117"/>
    </row>
    <row r="20" spans="1:14" s="94" customFormat="1" ht="15" customHeight="1" x14ac:dyDescent="0.35">
      <c r="A20" s="184"/>
      <c r="B20" s="227" t="s">
        <v>356</v>
      </c>
      <c r="C20" s="227"/>
      <c r="D20" s="227"/>
      <c r="E20" s="227"/>
      <c r="F20" s="227"/>
      <c r="G20" s="227"/>
      <c r="H20" s="227"/>
      <c r="I20" s="227"/>
      <c r="J20" s="227"/>
      <c r="K20" s="227"/>
      <c r="L20" s="228"/>
      <c r="N20" s="117"/>
    </row>
    <row r="21" spans="1:14" s="94" customFormat="1" ht="15" customHeight="1" x14ac:dyDescent="0.35">
      <c r="A21" s="250" t="s">
        <v>368</v>
      </c>
      <c r="B21" s="251"/>
      <c r="C21" s="251"/>
      <c r="D21" s="251"/>
      <c r="E21" s="251"/>
      <c r="F21" s="251"/>
      <c r="G21" s="251"/>
      <c r="H21" s="251"/>
      <c r="I21" s="251"/>
      <c r="J21" s="251"/>
      <c r="K21" s="251"/>
      <c r="L21" s="252"/>
      <c r="N21" s="117"/>
    </row>
    <row r="22" spans="1:14" s="94" customFormat="1" ht="15" customHeight="1" x14ac:dyDescent="0.35">
      <c r="A22" s="184">
        <v>1</v>
      </c>
      <c r="B22" s="227" t="s">
        <v>358</v>
      </c>
      <c r="C22" s="227"/>
      <c r="D22" s="227"/>
      <c r="E22" s="227"/>
      <c r="F22" s="227"/>
      <c r="G22" s="227"/>
      <c r="H22" s="227"/>
      <c r="I22" s="227"/>
      <c r="J22" s="227"/>
      <c r="K22" s="227"/>
      <c r="L22" s="228"/>
      <c r="N22" s="117"/>
    </row>
    <row r="23" spans="1:14" s="94" customFormat="1" ht="30.75" customHeight="1" x14ac:dyDescent="0.35">
      <c r="A23" s="184"/>
      <c r="B23" s="248" t="s">
        <v>359</v>
      </c>
      <c r="C23" s="248"/>
      <c r="D23" s="248"/>
      <c r="E23" s="248"/>
      <c r="F23" s="248"/>
      <c r="G23" s="248"/>
      <c r="H23" s="248"/>
      <c r="I23" s="248"/>
      <c r="J23" s="248"/>
      <c r="K23" s="248"/>
      <c r="L23" s="249"/>
      <c r="N23" s="117"/>
    </row>
    <row r="24" spans="1:14" s="94" customFormat="1" ht="15" customHeight="1" x14ac:dyDescent="0.35">
      <c r="A24" s="184"/>
      <c r="B24" s="248" t="s">
        <v>360</v>
      </c>
      <c r="C24" s="248"/>
      <c r="D24" s="248"/>
      <c r="E24" s="248"/>
      <c r="F24" s="248"/>
      <c r="G24" s="248"/>
      <c r="H24" s="248"/>
      <c r="I24" s="248"/>
      <c r="J24" s="248"/>
      <c r="K24" s="248"/>
      <c r="L24" s="249"/>
      <c r="N24" s="117"/>
    </row>
    <row r="25" spans="1:14" s="94" customFormat="1" ht="15" customHeight="1" x14ac:dyDescent="0.35">
      <c r="A25" s="184"/>
      <c r="B25" s="248" t="s">
        <v>361</v>
      </c>
      <c r="C25" s="248"/>
      <c r="D25" s="248"/>
      <c r="E25" s="248"/>
      <c r="F25" s="248"/>
      <c r="G25" s="248"/>
      <c r="H25" s="248"/>
      <c r="I25" s="248"/>
      <c r="J25" s="248"/>
      <c r="K25" s="248"/>
      <c r="L25" s="249"/>
      <c r="N25" s="117"/>
    </row>
    <row r="26" spans="1:14" s="94" customFormat="1" ht="16.5" customHeight="1" x14ac:dyDescent="0.35">
      <c r="A26" s="184"/>
      <c r="B26" s="227" t="s">
        <v>362</v>
      </c>
      <c r="C26" s="227"/>
      <c r="D26" s="227"/>
      <c r="E26" s="227"/>
      <c r="F26" s="227"/>
      <c r="G26" s="227"/>
      <c r="H26" s="227"/>
      <c r="I26" s="227"/>
      <c r="J26" s="227"/>
      <c r="K26" s="227"/>
      <c r="L26" s="228"/>
    </row>
    <row r="27" spans="1:14" s="65" customFormat="1" ht="15" customHeight="1" x14ac:dyDescent="0.35">
      <c r="A27" s="185">
        <v>2</v>
      </c>
      <c r="B27" s="227" t="s">
        <v>363</v>
      </c>
      <c r="C27" s="227"/>
      <c r="D27" s="227"/>
      <c r="E27" s="227"/>
      <c r="F27" s="227"/>
      <c r="G27" s="227"/>
      <c r="H27" s="227"/>
      <c r="I27" s="227"/>
      <c r="J27" s="227"/>
      <c r="K27" s="227"/>
      <c r="L27" s="228"/>
    </row>
    <row r="28" spans="1:14" s="94" customFormat="1" ht="30.75" customHeight="1" x14ac:dyDescent="0.35">
      <c r="A28" s="186">
        <v>3</v>
      </c>
      <c r="B28" s="229" t="s">
        <v>373</v>
      </c>
      <c r="C28" s="229"/>
      <c r="D28" s="229"/>
      <c r="E28" s="229"/>
      <c r="F28" s="229"/>
      <c r="G28" s="229"/>
      <c r="H28" s="229"/>
      <c r="I28" s="229"/>
      <c r="J28" s="229"/>
      <c r="K28" s="229"/>
      <c r="L28" s="230"/>
    </row>
    <row r="29" spans="1:14" s="189" customFormat="1" ht="18" customHeight="1" x14ac:dyDescent="0.35">
      <c r="A29" s="187"/>
      <c r="B29" s="188"/>
      <c r="C29" s="188"/>
      <c r="D29" s="188"/>
      <c r="E29" s="188"/>
      <c r="F29" s="188"/>
      <c r="G29" s="188"/>
      <c r="H29" s="188"/>
      <c r="I29" s="188"/>
      <c r="J29" s="188"/>
      <c r="K29" s="188"/>
      <c r="L29" s="188"/>
    </row>
    <row r="30" spans="1:14" s="1" customFormat="1" ht="16.5" customHeight="1" x14ac:dyDescent="0.35">
      <c r="A30" s="221" t="s">
        <v>364</v>
      </c>
      <c r="B30" s="222"/>
      <c r="C30" s="222"/>
      <c r="D30" s="222"/>
      <c r="E30" s="222"/>
      <c r="F30" s="222"/>
      <c r="G30" s="222"/>
      <c r="H30" s="222"/>
      <c r="I30" s="222"/>
      <c r="J30" s="222"/>
      <c r="K30" s="222"/>
      <c r="L30" s="223"/>
    </row>
    <row r="31" spans="1:14" s="1" customFormat="1" ht="16.5" customHeight="1" x14ac:dyDescent="0.35">
      <c r="A31" s="190" t="s">
        <v>365</v>
      </c>
      <c r="B31" s="191"/>
      <c r="C31" s="191"/>
      <c r="D31" s="191"/>
      <c r="E31" s="191"/>
      <c r="F31" s="191"/>
      <c r="G31" s="191"/>
      <c r="H31" s="191"/>
      <c r="I31" s="191"/>
      <c r="J31" s="191"/>
      <c r="K31" s="191"/>
      <c r="L31" s="192"/>
    </row>
    <row r="32" spans="1:14" ht="14.25" customHeight="1" x14ac:dyDescent="0.35">
      <c r="B32" s="180"/>
      <c r="C32" s="180"/>
      <c r="D32" s="180"/>
      <c r="E32" s="180"/>
      <c r="F32" s="180"/>
      <c r="G32" s="180"/>
      <c r="H32" s="180"/>
      <c r="I32" s="180"/>
      <c r="J32" s="180"/>
      <c r="K32" s="180"/>
      <c r="L32" s="180"/>
    </row>
    <row r="33" spans="1:12" ht="16.5" customHeight="1" x14ac:dyDescent="0.35">
      <c r="A33" s="193" t="s">
        <v>255</v>
      </c>
      <c r="B33" s="194"/>
      <c r="C33" s="194"/>
      <c r="D33" s="195"/>
      <c r="E33" s="194"/>
      <c r="F33" s="194"/>
      <c r="G33" s="194"/>
      <c r="H33" s="194"/>
      <c r="I33" s="194"/>
      <c r="J33" s="194"/>
      <c r="K33" s="194"/>
      <c r="L33" s="196"/>
    </row>
    <row r="34" spans="1:12" ht="15" customHeight="1" x14ac:dyDescent="0.35">
      <c r="A34" s="197"/>
      <c r="B34" s="198" t="s">
        <v>74</v>
      </c>
      <c r="C34" s="199" t="s">
        <v>96</v>
      </c>
      <c r="D34" s="199"/>
      <c r="E34" s="199"/>
      <c r="F34" s="199"/>
      <c r="G34" s="199"/>
      <c r="H34" s="199"/>
      <c r="I34" s="199"/>
      <c r="J34" s="199"/>
      <c r="K34" s="199"/>
      <c r="L34" s="200"/>
    </row>
    <row r="35" spans="1:12" ht="14.25" customHeight="1" x14ac:dyDescent="0.35">
      <c r="A35" s="197"/>
      <c r="B35" s="198" t="s">
        <v>98</v>
      </c>
      <c r="C35" s="199" t="s">
        <v>123</v>
      </c>
      <c r="D35" s="199"/>
      <c r="E35" s="199"/>
      <c r="F35" s="199"/>
      <c r="G35" s="199"/>
      <c r="H35" s="199"/>
      <c r="I35" s="199"/>
      <c r="J35" s="199"/>
      <c r="K35" s="199"/>
      <c r="L35" s="200"/>
    </row>
    <row r="36" spans="1:12" s="64" customFormat="1" ht="33.75" customHeight="1" x14ac:dyDescent="0.35">
      <c r="A36" s="197"/>
      <c r="B36" s="198" t="s">
        <v>74</v>
      </c>
      <c r="C36" s="246" t="s">
        <v>210</v>
      </c>
      <c r="D36" s="246"/>
      <c r="E36" s="246"/>
      <c r="F36" s="246"/>
      <c r="G36" s="246"/>
      <c r="H36" s="246"/>
      <c r="I36" s="246"/>
      <c r="J36" s="246"/>
      <c r="K36" s="246"/>
      <c r="L36" s="247"/>
    </row>
    <row r="37" spans="1:12" s="65" customFormat="1" ht="30.75" customHeight="1" x14ac:dyDescent="0.35">
      <c r="A37" s="197"/>
      <c r="B37" s="198" t="s">
        <v>208</v>
      </c>
      <c r="C37" s="246" t="s">
        <v>211</v>
      </c>
      <c r="D37" s="246"/>
      <c r="E37" s="246"/>
      <c r="F37" s="246"/>
      <c r="G37" s="246"/>
      <c r="H37" s="246"/>
      <c r="I37" s="246"/>
      <c r="J37" s="246"/>
      <c r="K37" s="246"/>
      <c r="L37" s="247"/>
    </row>
    <row r="38" spans="1:12" ht="30.75" customHeight="1" x14ac:dyDescent="0.35">
      <c r="A38" s="197"/>
      <c r="B38" s="198" t="s">
        <v>209</v>
      </c>
      <c r="C38" s="246" t="s">
        <v>212</v>
      </c>
      <c r="D38" s="246"/>
      <c r="E38" s="246"/>
      <c r="F38" s="246"/>
      <c r="G38" s="246"/>
      <c r="H38" s="246"/>
      <c r="I38" s="246"/>
      <c r="J38" s="246"/>
      <c r="K38" s="246"/>
      <c r="L38" s="247"/>
    </row>
    <row r="39" spans="1:12" x14ac:dyDescent="0.35">
      <c r="A39" s="197"/>
      <c r="B39" s="198" t="s">
        <v>340</v>
      </c>
      <c r="C39" s="199" t="s">
        <v>154</v>
      </c>
      <c r="D39" s="199"/>
      <c r="E39" s="199"/>
      <c r="F39" s="199"/>
      <c r="G39" s="199"/>
      <c r="H39" s="199"/>
      <c r="I39" s="199"/>
      <c r="J39" s="199"/>
      <c r="K39" s="199"/>
      <c r="L39" s="200"/>
    </row>
    <row r="40" spans="1:12" ht="29.25" customHeight="1" x14ac:dyDescent="0.35">
      <c r="A40" s="197"/>
      <c r="B40" s="198" t="s">
        <v>75</v>
      </c>
      <c r="C40" s="246" t="s">
        <v>76</v>
      </c>
      <c r="D40" s="246"/>
      <c r="E40" s="246"/>
      <c r="F40" s="246"/>
      <c r="G40" s="246"/>
      <c r="H40" s="246"/>
      <c r="I40" s="246"/>
      <c r="J40" s="246"/>
      <c r="K40" s="246"/>
      <c r="L40" s="247"/>
    </row>
    <row r="41" spans="1:12" x14ac:dyDescent="0.35">
      <c r="A41" s="197"/>
      <c r="B41" s="198" t="s">
        <v>77</v>
      </c>
      <c r="C41" s="199" t="s">
        <v>78</v>
      </c>
      <c r="D41" s="199"/>
      <c r="E41" s="199"/>
      <c r="F41" s="199"/>
      <c r="G41" s="199"/>
      <c r="H41" s="199"/>
      <c r="I41" s="199"/>
      <c r="J41" s="199"/>
      <c r="K41" s="199"/>
      <c r="L41" s="200"/>
    </row>
    <row r="42" spans="1:12" x14ac:dyDescent="0.35">
      <c r="A42" s="197"/>
      <c r="B42" s="198" t="s">
        <v>91</v>
      </c>
      <c r="C42" s="199" t="s">
        <v>92</v>
      </c>
      <c r="D42" s="199"/>
      <c r="E42" s="199"/>
      <c r="F42" s="199"/>
      <c r="G42" s="199"/>
      <c r="H42" s="199"/>
      <c r="I42" s="199"/>
      <c r="J42" s="199"/>
      <c r="K42" s="199"/>
      <c r="L42" s="200"/>
    </row>
    <row r="43" spans="1:12" x14ac:dyDescent="0.35">
      <c r="A43" s="201"/>
      <c r="B43" s="202" t="s">
        <v>246</v>
      </c>
      <c r="C43" s="203" t="s">
        <v>247</v>
      </c>
      <c r="D43" s="203"/>
      <c r="E43" s="203"/>
      <c r="F43" s="203"/>
      <c r="G43" s="203"/>
      <c r="H43" s="203"/>
      <c r="I43" s="203"/>
      <c r="J43" s="203"/>
      <c r="K43" s="203"/>
      <c r="L43" s="204"/>
    </row>
    <row r="45" spans="1:12" x14ac:dyDescent="0.35">
      <c r="A45" s="1" t="s">
        <v>126</v>
      </c>
    </row>
    <row r="46" spans="1:12" x14ac:dyDescent="0.35">
      <c r="A46" t="s">
        <v>127</v>
      </c>
    </row>
    <row r="47" spans="1:12" x14ac:dyDescent="0.35">
      <c r="A47" t="s">
        <v>128</v>
      </c>
    </row>
    <row r="48" spans="1:12" x14ac:dyDescent="0.35">
      <c r="A48" s="49" t="s">
        <v>129</v>
      </c>
    </row>
    <row r="49" spans="1:12" x14ac:dyDescent="0.35">
      <c r="A49" s="49" t="s">
        <v>130</v>
      </c>
    </row>
    <row r="50" spans="1:12" x14ac:dyDescent="0.35">
      <c r="A50" s="49"/>
    </row>
    <row r="51" spans="1:12" x14ac:dyDescent="0.35">
      <c r="A51" s="1" t="s">
        <v>324</v>
      </c>
    </row>
    <row r="52" spans="1:12" x14ac:dyDescent="0.35">
      <c r="A52" s="49" t="s">
        <v>323</v>
      </c>
    </row>
    <row r="54" spans="1:12" x14ac:dyDescent="0.35">
      <c r="A54" s="1" t="s">
        <v>35</v>
      </c>
    </row>
    <row r="55" spans="1:12" ht="29.15" customHeight="1" x14ac:dyDescent="0.35">
      <c r="A55" s="220" t="s">
        <v>382</v>
      </c>
      <c r="B55" s="220"/>
      <c r="C55" s="220"/>
      <c r="D55" s="220"/>
      <c r="E55" s="220"/>
      <c r="F55" s="220"/>
      <c r="G55" s="220"/>
      <c r="H55" s="220"/>
      <c r="I55" s="220"/>
      <c r="J55" s="220"/>
      <c r="K55" s="220"/>
      <c r="L55" s="220"/>
    </row>
    <row r="60" spans="1:12" ht="16" customHeight="1" x14ac:dyDescent="0.35"/>
    <row r="61" spans="1:12" ht="29.25" customHeight="1" x14ac:dyDescent="0.35"/>
  </sheetData>
  <mergeCells count="31">
    <mergeCell ref="B14:L14"/>
    <mergeCell ref="C36:L36"/>
    <mergeCell ref="C37:L37"/>
    <mergeCell ref="C38:L38"/>
    <mergeCell ref="C40:L40"/>
    <mergeCell ref="B22:L22"/>
    <mergeCell ref="B23:L23"/>
    <mergeCell ref="B24:L24"/>
    <mergeCell ref="B25:L25"/>
    <mergeCell ref="A21:L21"/>
    <mergeCell ref="A13:L13"/>
    <mergeCell ref="A6:L6"/>
    <mergeCell ref="A8:L8"/>
    <mergeCell ref="A9:L9"/>
    <mergeCell ref="A10:L10"/>
    <mergeCell ref="N4:R4"/>
    <mergeCell ref="A4:L4"/>
    <mergeCell ref="A1:L1"/>
    <mergeCell ref="A55:L55"/>
    <mergeCell ref="A30:L30"/>
    <mergeCell ref="A12:L12"/>
    <mergeCell ref="B15:L15"/>
    <mergeCell ref="B16:L16"/>
    <mergeCell ref="B17:L17"/>
    <mergeCell ref="B18:L18"/>
    <mergeCell ref="B19:L19"/>
    <mergeCell ref="B20:L20"/>
    <mergeCell ref="B26:L26"/>
    <mergeCell ref="B27:L27"/>
    <mergeCell ref="B28:L28"/>
    <mergeCell ref="A7:L7"/>
  </mergeCells>
  <hyperlinks>
    <hyperlink ref="A48" r:id="rId1" xr:uid="{6B934EC2-E381-41EE-938C-08FAF5E51BBE}"/>
    <hyperlink ref="A49" r:id="rId2" xr:uid="{785DB934-D308-4A7B-B51A-B3D1C1CB613D}"/>
    <hyperlink ref="A52"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245</v>
      </c>
    </row>
    <row r="3" spans="1:4" s="1" customFormat="1" x14ac:dyDescent="0.35">
      <c r="A3" s="280" t="s">
        <v>243</v>
      </c>
      <c r="B3" s="280"/>
      <c r="C3" s="280"/>
      <c r="D3" s="142" t="s">
        <v>242</v>
      </c>
    </row>
    <row r="4" spans="1:4" ht="30" customHeight="1" x14ac:dyDescent="0.35">
      <c r="A4" s="281" t="s">
        <v>239</v>
      </c>
      <c r="B4" s="281"/>
      <c r="C4" s="281"/>
      <c r="D4" s="206" t="s">
        <v>383</v>
      </c>
    </row>
    <row r="5" spans="1:4" ht="43.5" x14ac:dyDescent="0.35">
      <c r="A5" s="285" t="s">
        <v>384</v>
      </c>
      <c r="B5" s="282"/>
      <c r="C5" s="282"/>
      <c r="D5" s="207" t="s">
        <v>385</v>
      </c>
    </row>
    <row r="6" spans="1:4" ht="57.65" customHeight="1" x14ac:dyDescent="0.35">
      <c r="A6" s="283" t="s">
        <v>386</v>
      </c>
      <c r="B6" s="283"/>
      <c r="C6" s="283"/>
      <c r="D6" s="208" t="s">
        <v>387</v>
      </c>
    </row>
    <row r="7" spans="1:4" ht="29" x14ac:dyDescent="0.35">
      <c r="A7" s="284" t="s">
        <v>33</v>
      </c>
      <c r="B7" s="284"/>
      <c r="C7" s="284"/>
      <c r="D7" s="209" t="s">
        <v>388</v>
      </c>
    </row>
    <row r="11" spans="1:4" x14ac:dyDescent="0.35">
      <c r="A11" s="281" t="s">
        <v>239</v>
      </c>
      <c r="B11" s="281"/>
      <c r="C11" s="281"/>
    </row>
    <row r="12" spans="1:4" x14ac:dyDescent="0.35">
      <c r="A12" s="282" t="s">
        <v>240</v>
      </c>
      <c r="B12" s="282"/>
      <c r="C12" s="282"/>
    </row>
    <row r="13" spans="1:4" x14ac:dyDescent="0.35">
      <c r="A13" s="283" t="s">
        <v>241</v>
      </c>
      <c r="B13" s="283"/>
      <c r="C13" s="283"/>
    </row>
    <row r="14" spans="1:4" x14ac:dyDescent="0.35">
      <c r="A14" s="284" t="s">
        <v>33</v>
      </c>
      <c r="B14" s="284"/>
      <c r="C14" s="28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5"/>
  <sheetViews>
    <sheetView zoomScale="150" zoomScaleNormal="150" workbookViewId="0">
      <selection activeCell="H8" sqref="H8:I8"/>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43.5" x14ac:dyDescent="0.35">
      <c r="A3" s="62">
        <v>44676</v>
      </c>
      <c r="B3" s="167" t="s">
        <v>374</v>
      </c>
      <c r="C3" s="61" t="s">
        <v>375</v>
      </c>
      <c r="D3" s="60" t="s">
        <v>95</v>
      </c>
      <c r="E3" s="60" t="s">
        <v>95</v>
      </c>
      <c r="F3" s="62"/>
      <c r="H3" s="41"/>
      <c r="I3" s="41"/>
      <c r="J3" s="42"/>
    </row>
    <row r="4" spans="1:10" ht="58" x14ac:dyDescent="0.35">
      <c r="A4" s="62">
        <v>44656</v>
      </c>
      <c r="B4" s="167" t="s">
        <v>377</v>
      </c>
      <c r="C4" s="61" t="s">
        <v>378</v>
      </c>
      <c r="D4" s="60" t="s">
        <v>95</v>
      </c>
      <c r="E4" s="60" t="s">
        <v>95</v>
      </c>
      <c r="F4" s="62"/>
      <c r="H4" s="41"/>
      <c r="I4" s="41"/>
      <c r="J4" s="43"/>
    </row>
    <row r="5" spans="1:10" ht="40.5" customHeight="1" x14ac:dyDescent="0.35">
      <c r="A5" s="62">
        <v>44588</v>
      </c>
      <c r="B5" s="167" t="s">
        <v>344</v>
      </c>
      <c r="C5" s="61" t="s">
        <v>345</v>
      </c>
      <c r="D5" s="60" t="s">
        <v>95</v>
      </c>
      <c r="E5" s="60" t="s">
        <v>95</v>
      </c>
      <c r="F5" s="62"/>
      <c r="H5" s="41"/>
      <c r="I5" s="41"/>
      <c r="J5" s="43"/>
    </row>
    <row r="6" spans="1:10" ht="38.5" customHeight="1" x14ac:dyDescent="0.35">
      <c r="A6" s="62">
        <v>44581</v>
      </c>
      <c r="B6" s="167" t="s">
        <v>342</v>
      </c>
      <c r="C6" s="61" t="s">
        <v>343</v>
      </c>
      <c r="D6" s="60" t="s">
        <v>95</v>
      </c>
      <c r="E6" s="60" t="s">
        <v>95</v>
      </c>
      <c r="F6" s="62"/>
      <c r="H6" s="41" t="s">
        <v>136</v>
      </c>
      <c r="I6" s="41" t="s">
        <v>95</v>
      </c>
      <c r="J6" s="42"/>
    </row>
    <row r="7" spans="1:10" ht="101.5" x14ac:dyDescent="0.35">
      <c r="A7" s="62">
        <v>44581</v>
      </c>
      <c r="B7" s="167" t="s">
        <v>336</v>
      </c>
      <c r="C7" s="61" t="s">
        <v>337</v>
      </c>
      <c r="D7" s="60" t="s">
        <v>95</v>
      </c>
      <c r="E7" s="60" t="s">
        <v>338</v>
      </c>
      <c r="F7" s="62" t="s">
        <v>339</v>
      </c>
      <c r="H7" s="41" t="s">
        <v>307</v>
      </c>
      <c r="I7" s="120" t="s">
        <v>155</v>
      </c>
      <c r="J7" s="43">
        <v>44482</v>
      </c>
    </row>
    <row r="8" spans="1:10" ht="87" x14ac:dyDescent="0.35">
      <c r="A8" s="62">
        <v>44532</v>
      </c>
      <c r="B8" s="167" t="s">
        <v>322</v>
      </c>
      <c r="C8" s="61" t="s">
        <v>325</v>
      </c>
      <c r="D8" s="60" t="s">
        <v>95</v>
      </c>
      <c r="E8" s="60" t="s">
        <v>95</v>
      </c>
      <c r="F8" s="62"/>
      <c r="H8" s="41"/>
      <c r="I8" s="120"/>
      <c r="J8" s="43"/>
    </row>
    <row r="9" spans="1:10" ht="29" x14ac:dyDescent="0.35">
      <c r="A9" s="62">
        <v>44501</v>
      </c>
      <c r="B9" s="167" t="s">
        <v>320</v>
      </c>
      <c r="C9" s="61" t="s">
        <v>321</v>
      </c>
      <c r="D9" s="60" t="s">
        <v>95</v>
      </c>
      <c r="E9" s="60" t="s">
        <v>95</v>
      </c>
      <c r="F9" s="62"/>
      <c r="H9" s="41" t="s">
        <v>159</v>
      </c>
      <c r="I9" s="41" t="s">
        <v>155</v>
      </c>
      <c r="J9" s="43">
        <v>44385</v>
      </c>
    </row>
    <row r="10" spans="1:10" ht="72.5" x14ac:dyDescent="0.35">
      <c r="A10" s="62">
        <v>44500</v>
      </c>
      <c r="B10" s="167" t="s">
        <v>318</v>
      </c>
      <c r="C10" s="61" t="s">
        <v>319</v>
      </c>
      <c r="D10" s="60" t="s">
        <v>95</v>
      </c>
      <c r="E10" s="60" t="s">
        <v>95</v>
      </c>
      <c r="F10" s="62"/>
      <c r="H10" s="41" t="s">
        <v>204</v>
      </c>
      <c r="I10" s="120" t="s">
        <v>199</v>
      </c>
      <c r="J10" s="43">
        <v>44391</v>
      </c>
    </row>
    <row r="11" spans="1:10" ht="72.5" x14ac:dyDescent="0.35">
      <c r="A11" s="62">
        <v>44496</v>
      </c>
      <c r="B11" s="167" t="s">
        <v>313</v>
      </c>
      <c r="C11" s="61" t="s">
        <v>314</v>
      </c>
      <c r="D11" s="60" t="s">
        <v>95</v>
      </c>
      <c r="E11" s="60" t="s">
        <v>306</v>
      </c>
      <c r="F11" s="62"/>
      <c r="H11" s="41" t="s">
        <v>157</v>
      </c>
      <c r="I11" s="120" t="s">
        <v>199</v>
      </c>
      <c r="J11" s="43">
        <v>44391</v>
      </c>
    </row>
    <row r="12" spans="1:10" ht="72.5" x14ac:dyDescent="0.35">
      <c r="A12" s="62">
        <v>44496</v>
      </c>
      <c r="B12" s="167" t="s">
        <v>311</v>
      </c>
      <c r="C12" s="61" t="s">
        <v>312</v>
      </c>
      <c r="D12" s="60" t="s">
        <v>95</v>
      </c>
      <c r="E12" s="60" t="s">
        <v>326</v>
      </c>
      <c r="F12" s="62">
        <v>44495</v>
      </c>
      <c r="H12" s="41" t="s">
        <v>158</v>
      </c>
      <c r="I12" s="120" t="s">
        <v>199</v>
      </c>
      <c r="J12" s="43">
        <v>44391</v>
      </c>
    </row>
    <row r="13" spans="1:10" ht="29" x14ac:dyDescent="0.35">
      <c r="A13" s="62">
        <v>44480</v>
      </c>
      <c r="B13" s="167" t="s">
        <v>305</v>
      </c>
      <c r="C13" s="61" t="s">
        <v>302</v>
      </c>
      <c r="D13" s="60" t="s">
        <v>95</v>
      </c>
      <c r="E13" s="60"/>
      <c r="F13" s="62"/>
      <c r="H13" s="41"/>
      <c r="I13" s="41"/>
      <c r="J13" s="42"/>
    </row>
    <row r="14" spans="1:10" ht="29" x14ac:dyDescent="0.35">
      <c r="A14" s="62">
        <v>44480</v>
      </c>
      <c r="B14" s="167" t="s">
        <v>304</v>
      </c>
      <c r="C14" s="61" t="s">
        <v>301</v>
      </c>
      <c r="D14" s="60" t="s">
        <v>95</v>
      </c>
      <c r="E14" s="60" t="s">
        <v>95</v>
      </c>
      <c r="F14" s="62"/>
      <c r="H14" s="41"/>
      <c r="I14" s="41"/>
      <c r="J14" s="42"/>
    </row>
    <row r="15" spans="1:10" ht="29" x14ac:dyDescent="0.35">
      <c r="A15" s="62">
        <v>44480</v>
      </c>
      <c r="B15" s="167" t="s">
        <v>303</v>
      </c>
      <c r="C15" s="61" t="s">
        <v>300</v>
      </c>
      <c r="D15" s="60" t="s">
        <v>95</v>
      </c>
      <c r="E15" s="60" t="s">
        <v>256</v>
      </c>
      <c r="F15" s="62" t="s">
        <v>257</v>
      </c>
      <c r="H15" s="41"/>
      <c r="I15" s="41"/>
      <c r="J15" s="42"/>
    </row>
    <row r="16" spans="1:10" ht="43.5" x14ac:dyDescent="0.35">
      <c r="A16" s="62">
        <v>44474</v>
      </c>
      <c r="B16" s="60">
        <v>3.7</v>
      </c>
      <c r="C16" s="61" t="s">
        <v>248</v>
      </c>
      <c r="D16" s="60" t="s">
        <v>95</v>
      </c>
      <c r="E16" s="60" t="s">
        <v>95</v>
      </c>
      <c r="F16" s="62"/>
      <c r="H16" s="41"/>
      <c r="I16" s="41"/>
      <c r="J16" s="42"/>
    </row>
    <row r="17" spans="1:6" ht="43.5" x14ac:dyDescent="0.35">
      <c r="A17" s="62">
        <v>44463</v>
      </c>
      <c r="B17" s="60" t="s">
        <v>317</v>
      </c>
      <c r="C17" s="61" t="s">
        <v>233</v>
      </c>
      <c r="D17" s="60" t="s">
        <v>95</v>
      </c>
      <c r="E17" s="60" t="s">
        <v>327</v>
      </c>
      <c r="F17" s="62">
        <v>44432</v>
      </c>
    </row>
    <row r="18" spans="1:6" ht="58" x14ac:dyDescent="0.35">
      <c r="A18" s="62">
        <v>44459</v>
      </c>
      <c r="B18" s="60" t="s">
        <v>215</v>
      </c>
      <c r="C18" s="61" t="s">
        <v>216</v>
      </c>
      <c r="D18" s="60" t="s">
        <v>95</v>
      </c>
      <c r="E18" s="60" t="s">
        <v>95</v>
      </c>
      <c r="F18" s="62"/>
    </row>
    <row r="19" spans="1:6" ht="43.5" x14ac:dyDescent="0.35">
      <c r="A19" s="62">
        <v>44459</v>
      </c>
      <c r="B19" s="60">
        <v>3.6</v>
      </c>
      <c r="C19" s="61" t="s">
        <v>217</v>
      </c>
      <c r="D19" s="60" t="s">
        <v>95</v>
      </c>
      <c r="E19" s="60" t="s">
        <v>95</v>
      </c>
      <c r="F19" s="62"/>
    </row>
    <row r="20" spans="1:6" ht="58" x14ac:dyDescent="0.35">
      <c r="A20" s="62">
        <v>44432</v>
      </c>
      <c r="B20" s="60">
        <v>3.5</v>
      </c>
      <c r="C20" s="61" t="s">
        <v>207</v>
      </c>
      <c r="D20" s="60" t="s">
        <v>95</v>
      </c>
      <c r="E20" s="60" t="s">
        <v>95</v>
      </c>
      <c r="F20" s="62">
        <v>44424</v>
      </c>
    </row>
    <row r="21" spans="1:6" ht="101.5" x14ac:dyDescent="0.35">
      <c r="A21" s="62">
        <v>44432</v>
      </c>
      <c r="B21" s="60">
        <v>3.5</v>
      </c>
      <c r="C21" s="61" t="s">
        <v>213</v>
      </c>
      <c r="D21" s="60" t="s">
        <v>95</v>
      </c>
      <c r="E21" s="60" t="s">
        <v>328</v>
      </c>
      <c r="F21" s="62">
        <v>44424</v>
      </c>
    </row>
    <row r="22" spans="1:6" ht="87" x14ac:dyDescent="0.35">
      <c r="A22" s="62">
        <v>44432</v>
      </c>
      <c r="B22" s="60">
        <v>3.5</v>
      </c>
      <c r="C22" s="61" t="s">
        <v>205</v>
      </c>
      <c r="D22" s="60" t="s">
        <v>95</v>
      </c>
      <c r="E22" s="60"/>
      <c r="F22" s="62"/>
    </row>
    <row r="23" spans="1:6" ht="43.5" x14ac:dyDescent="0.35">
      <c r="A23" s="62">
        <v>44423</v>
      </c>
      <c r="B23" s="60" t="s">
        <v>201</v>
      </c>
      <c r="C23" s="61" t="s">
        <v>202</v>
      </c>
      <c r="D23" s="60" t="s">
        <v>95</v>
      </c>
      <c r="E23" s="60" t="s">
        <v>95</v>
      </c>
      <c r="F23" s="62"/>
    </row>
    <row r="24" spans="1:6" ht="43.5" x14ac:dyDescent="0.35">
      <c r="A24" s="62">
        <v>44405</v>
      </c>
      <c r="B24" s="60" t="s">
        <v>198</v>
      </c>
      <c r="C24" s="41" t="s">
        <v>200</v>
      </c>
      <c r="D24" s="60" t="s">
        <v>95</v>
      </c>
      <c r="E24" s="60" t="s">
        <v>329</v>
      </c>
      <c r="F24" s="62">
        <v>44405</v>
      </c>
    </row>
    <row r="25" spans="1:6" ht="29" x14ac:dyDescent="0.35">
      <c r="A25" s="62">
        <v>44405</v>
      </c>
      <c r="B25" s="60" t="s">
        <v>196</v>
      </c>
      <c r="C25" s="61" t="s">
        <v>197</v>
      </c>
      <c r="D25" s="60" t="s">
        <v>95</v>
      </c>
      <c r="E25" s="60" t="s">
        <v>95</v>
      </c>
      <c r="F25" s="62">
        <v>44405</v>
      </c>
    </row>
    <row r="26" spans="1:6" ht="72.5" x14ac:dyDescent="0.35">
      <c r="A26" s="62">
        <v>44405</v>
      </c>
      <c r="B26" s="60" t="s">
        <v>183</v>
      </c>
      <c r="C26" s="61" t="s">
        <v>195</v>
      </c>
      <c r="D26" s="60" t="s">
        <v>95</v>
      </c>
      <c r="E26" s="60" t="s">
        <v>329</v>
      </c>
      <c r="F26" s="62">
        <v>44391</v>
      </c>
    </row>
    <row r="27" spans="1:6" ht="43.5" x14ac:dyDescent="0.35">
      <c r="A27" s="60" t="s">
        <v>180</v>
      </c>
      <c r="B27" s="60" t="s">
        <v>179</v>
      </c>
      <c r="C27" s="41" t="s">
        <v>181</v>
      </c>
      <c r="D27" s="60" t="s">
        <v>95</v>
      </c>
      <c r="E27" s="60" t="s">
        <v>329</v>
      </c>
      <c r="F27" s="62">
        <v>44391</v>
      </c>
    </row>
    <row r="28" spans="1:6" ht="29" x14ac:dyDescent="0.35">
      <c r="A28" s="60" t="s">
        <v>180</v>
      </c>
      <c r="B28" s="60" t="s">
        <v>179</v>
      </c>
      <c r="C28" s="41" t="s">
        <v>156</v>
      </c>
      <c r="D28" s="60" t="s">
        <v>95</v>
      </c>
      <c r="E28" s="60" t="s">
        <v>329</v>
      </c>
      <c r="F28" s="62">
        <v>44391</v>
      </c>
    </row>
    <row r="29" spans="1:6" ht="101.5" x14ac:dyDescent="0.35">
      <c r="A29" s="62">
        <v>44403</v>
      </c>
      <c r="B29" s="60" t="s">
        <v>160</v>
      </c>
      <c r="C29" s="61" t="s">
        <v>161</v>
      </c>
      <c r="D29" s="60" t="s">
        <v>95</v>
      </c>
      <c r="E29" s="60" t="s">
        <v>329</v>
      </c>
      <c r="F29" s="62">
        <v>44391</v>
      </c>
    </row>
    <row r="30" spans="1:6" ht="58" x14ac:dyDescent="0.35">
      <c r="A30" s="43">
        <v>44389</v>
      </c>
      <c r="B30" s="42" t="s">
        <v>152</v>
      </c>
      <c r="C30" s="41" t="s">
        <v>153</v>
      </c>
      <c r="D30" s="44" t="s">
        <v>95</v>
      </c>
      <c r="E30" s="44" t="s">
        <v>95</v>
      </c>
      <c r="F30" s="43">
        <v>44389</v>
      </c>
    </row>
    <row r="31" spans="1:6" ht="29" x14ac:dyDescent="0.35">
      <c r="A31" s="43">
        <v>44389</v>
      </c>
      <c r="B31" s="42" t="s">
        <v>150</v>
      </c>
      <c r="C31" s="41" t="s">
        <v>151</v>
      </c>
      <c r="D31" s="44" t="s">
        <v>95</v>
      </c>
      <c r="E31" s="44" t="s">
        <v>155</v>
      </c>
      <c r="F31" s="43">
        <v>44385</v>
      </c>
    </row>
    <row r="32" spans="1:6" ht="58" x14ac:dyDescent="0.35">
      <c r="A32" s="43">
        <v>44385</v>
      </c>
      <c r="B32" s="42" t="s">
        <v>131</v>
      </c>
      <c r="C32" s="41" t="s">
        <v>132</v>
      </c>
      <c r="D32" s="44" t="s">
        <v>95</v>
      </c>
      <c r="E32" s="44" t="s">
        <v>95</v>
      </c>
      <c r="F32" s="43">
        <f>A32</f>
        <v>44385</v>
      </c>
    </row>
    <row r="33" spans="1:6" ht="29" x14ac:dyDescent="0.35">
      <c r="A33" s="43">
        <v>44384</v>
      </c>
      <c r="B33" s="42" t="s">
        <v>124</v>
      </c>
      <c r="C33" s="41" t="s">
        <v>133</v>
      </c>
      <c r="D33" s="44" t="s">
        <v>95</v>
      </c>
      <c r="E33" s="44" t="s">
        <v>95</v>
      </c>
      <c r="F33" s="43">
        <v>44384</v>
      </c>
    </row>
    <row r="34" spans="1:6" ht="43.5" x14ac:dyDescent="0.35">
      <c r="A34" s="43">
        <v>44384</v>
      </c>
      <c r="B34" s="42" t="s">
        <v>122</v>
      </c>
      <c r="C34" s="41" t="s">
        <v>134</v>
      </c>
      <c r="D34" s="44" t="s">
        <v>95</v>
      </c>
      <c r="E34" s="44" t="s">
        <v>95</v>
      </c>
      <c r="F34" s="43">
        <v>44384</v>
      </c>
    </row>
    <row r="35" spans="1:6" ht="43.5" x14ac:dyDescent="0.35">
      <c r="A35" s="43">
        <v>44378</v>
      </c>
      <c r="B35" s="42" t="s">
        <v>119</v>
      </c>
      <c r="C35" s="41" t="s">
        <v>120</v>
      </c>
      <c r="D35" s="44" t="s">
        <v>95</v>
      </c>
      <c r="E35" s="44" t="s">
        <v>95</v>
      </c>
      <c r="F35" s="43">
        <v>44378</v>
      </c>
    </row>
    <row r="36" spans="1:6" x14ac:dyDescent="0.35">
      <c r="A36" s="43">
        <v>44377</v>
      </c>
      <c r="B36" s="42" t="s">
        <v>117</v>
      </c>
      <c r="C36" s="41" t="s">
        <v>121</v>
      </c>
      <c r="D36" s="44" t="s">
        <v>95</v>
      </c>
      <c r="E36" s="44" t="s">
        <v>95</v>
      </c>
      <c r="F36" s="43">
        <v>44377</v>
      </c>
    </row>
    <row r="37" spans="1:6" ht="72.5" x14ac:dyDescent="0.35">
      <c r="A37" s="43">
        <v>44377</v>
      </c>
      <c r="B37" s="42" t="s">
        <v>115</v>
      </c>
      <c r="C37" s="41" t="s">
        <v>116</v>
      </c>
      <c r="D37" s="44" t="s">
        <v>95</v>
      </c>
      <c r="E37" s="44" t="s">
        <v>330</v>
      </c>
      <c r="F37" s="43">
        <v>44372</v>
      </c>
    </row>
    <row r="38" spans="1:6" ht="43.5" x14ac:dyDescent="0.35">
      <c r="A38" s="43">
        <v>44377</v>
      </c>
      <c r="B38" s="42">
        <v>3.3</v>
      </c>
      <c r="C38" s="41" t="s">
        <v>113</v>
      </c>
      <c r="D38" s="44" t="s">
        <v>95</v>
      </c>
      <c r="E38" s="44" t="s">
        <v>330</v>
      </c>
      <c r="F38" s="43">
        <v>44372</v>
      </c>
    </row>
    <row r="39" spans="1:6" ht="29" x14ac:dyDescent="0.35">
      <c r="A39" s="43">
        <v>44377</v>
      </c>
      <c r="B39" s="42" t="s">
        <v>112</v>
      </c>
      <c r="C39" s="41" t="s">
        <v>104</v>
      </c>
      <c r="D39" s="44" t="s">
        <v>95</v>
      </c>
      <c r="E39" s="44" t="s">
        <v>95</v>
      </c>
      <c r="F39" s="43">
        <v>44377</v>
      </c>
    </row>
    <row r="40" spans="1:6" ht="116" x14ac:dyDescent="0.35">
      <c r="A40" s="43">
        <v>44367</v>
      </c>
      <c r="B40" s="42">
        <v>3.2</v>
      </c>
      <c r="C40" s="41" t="s">
        <v>109</v>
      </c>
      <c r="D40" s="44" t="s">
        <v>95</v>
      </c>
      <c r="E40" s="44" t="s">
        <v>95</v>
      </c>
      <c r="F40" s="43">
        <v>44367</v>
      </c>
    </row>
    <row r="41" spans="1:6" ht="29" x14ac:dyDescent="0.35">
      <c r="A41" s="43">
        <v>44331</v>
      </c>
      <c r="B41" s="42">
        <v>3.1</v>
      </c>
      <c r="C41" s="41" t="s">
        <v>108</v>
      </c>
      <c r="D41" s="44" t="s">
        <v>95</v>
      </c>
      <c r="E41" s="44" t="s">
        <v>95</v>
      </c>
      <c r="F41" s="43">
        <v>44331</v>
      </c>
    </row>
    <row r="42" spans="1:6" ht="72.5" x14ac:dyDescent="0.35">
      <c r="A42" s="43">
        <v>44319</v>
      </c>
      <c r="B42" s="42">
        <v>3</v>
      </c>
      <c r="C42" s="41" t="s">
        <v>107</v>
      </c>
      <c r="D42" s="44" t="s">
        <v>95</v>
      </c>
      <c r="E42" s="44" t="s">
        <v>331</v>
      </c>
      <c r="F42" s="43">
        <v>44315</v>
      </c>
    </row>
    <row r="43" spans="1:6" ht="29" x14ac:dyDescent="0.35">
      <c r="A43" s="43">
        <v>44307</v>
      </c>
      <c r="B43" s="42">
        <v>2</v>
      </c>
      <c r="C43" s="41" t="s">
        <v>105</v>
      </c>
      <c r="D43" s="44" t="s">
        <v>95</v>
      </c>
      <c r="E43" s="44" t="s">
        <v>155</v>
      </c>
      <c r="F43" s="43">
        <v>44294</v>
      </c>
    </row>
    <row r="44" spans="1:6" ht="29" x14ac:dyDescent="0.35">
      <c r="A44" s="43">
        <v>44293</v>
      </c>
      <c r="B44" s="45">
        <v>1</v>
      </c>
      <c r="C44" s="41" t="s">
        <v>106</v>
      </c>
      <c r="D44" s="44" t="s">
        <v>95</v>
      </c>
      <c r="E44" s="44" t="s">
        <v>331</v>
      </c>
      <c r="F44" s="43">
        <v>44291</v>
      </c>
    </row>
    <row r="45" spans="1:6" x14ac:dyDescent="0.35">
      <c r="A45" s="43">
        <v>44291</v>
      </c>
      <c r="B45" s="45">
        <v>0.5</v>
      </c>
      <c r="C45" s="41" t="s">
        <v>316</v>
      </c>
      <c r="D45" s="44" t="s">
        <v>95</v>
      </c>
      <c r="E45" s="44" t="s">
        <v>95</v>
      </c>
      <c r="F45"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48" zoomScale="150" zoomScaleNormal="150" workbookViewId="0">
      <selection activeCell="C53" sqref="C5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370</v>
      </c>
      <c r="B2" s="1"/>
    </row>
    <row r="3" spans="1:14" ht="32.15" customHeight="1" x14ac:dyDescent="0.35">
      <c r="A3" s="263" t="s">
        <v>393</v>
      </c>
      <c r="B3" s="263"/>
      <c r="C3" s="263"/>
      <c r="D3" s="263"/>
      <c r="E3" s="263"/>
      <c r="F3" s="263"/>
      <c r="G3" s="263"/>
      <c r="H3" s="91"/>
      <c r="I3" s="91"/>
      <c r="J3" s="91"/>
      <c r="K3" s="91"/>
      <c r="N3" s="153" t="s">
        <v>297</v>
      </c>
    </row>
    <row r="4" spans="1:14" x14ac:dyDescent="0.35">
      <c r="A4" s="141" t="s">
        <v>236</v>
      </c>
      <c r="B4" s="141" t="s">
        <v>31</v>
      </c>
      <c r="C4" s="264" t="s">
        <v>32</v>
      </c>
      <c r="D4" s="265"/>
      <c r="E4" s="265"/>
      <c r="F4" s="265"/>
      <c r="G4" s="266"/>
      <c r="N4" s="155" t="s">
        <v>261</v>
      </c>
    </row>
    <row r="5" spans="1:14" x14ac:dyDescent="0.35">
      <c r="A5" s="101" t="s">
        <v>28</v>
      </c>
      <c r="B5" s="181"/>
      <c r="C5" s="267"/>
      <c r="D5" s="262"/>
      <c r="E5" s="262"/>
      <c r="F5" s="262"/>
      <c r="G5" s="262"/>
      <c r="N5" s="159"/>
    </row>
    <row r="6" spans="1:14" x14ac:dyDescent="0.35">
      <c r="A6" s="101" t="s">
        <v>29</v>
      </c>
      <c r="B6" s="181"/>
      <c r="C6" s="267"/>
      <c r="D6" s="262"/>
      <c r="E6" s="262"/>
      <c r="F6" s="262"/>
      <c r="G6" s="262"/>
      <c r="N6" s="159"/>
    </row>
    <row r="7" spans="1:14" x14ac:dyDescent="0.35">
      <c r="A7" s="101" t="s">
        <v>30</v>
      </c>
      <c r="B7" s="181"/>
      <c r="C7" s="267"/>
      <c r="D7" s="262"/>
      <c r="E7" s="262"/>
      <c r="F7" s="262"/>
      <c r="G7" s="262"/>
      <c r="N7" s="159"/>
    </row>
    <row r="8" spans="1:14" x14ac:dyDescent="0.35">
      <c r="A8" s="127" t="s">
        <v>94</v>
      </c>
      <c r="B8" s="126"/>
      <c r="C8" s="262"/>
      <c r="D8" s="262"/>
      <c r="E8" s="262"/>
      <c r="F8" s="262"/>
      <c r="G8" s="262"/>
      <c r="N8" s="159"/>
    </row>
    <row r="9" spans="1:14" x14ac:dyDescent="0.35">
      <c r="A9" s="152" t="s">
        <v>335</v>
      </c>
      <c r="B9" s="101"/>
      <c r="C9" s="268"/>
      <c r="D9" s="268"/>
      <c r="E9" s="268"/>
      <c r="F9" s="268"/>
      <c r="G9" s="268"/>
      <c r="N9" s="159"/>
    </row>
    <row r="10" spans="1:14" x14ac:dyDescent="0.35">
      <c r="A10" s="128" t="s">
        <v>97</v>
      </c>
      <c r="B10" s="128"/>
      <c r="C10" s="269"/>
      <c r="D10" s="269"/>
      <c r="E10" s="269"/>
      <c r="F10" s="269"/>
      <c r="G10" s="269"/>
      <c r="N10" s="159"/>
    </row>
    <row r="11" spans="1:14" x14ac:dyDescent="0.35">
      <c r="A11" s="14"/>
      <c r="B11" s="2"/>
      <c r="C11"/>
      <c r="N11" s="159"/>
    </row>
    <row r="12" spans="1:14" x14ac:dyDescent="0.35">
      <c r="A12" s="16" t="s">
        <v>237</v>
      </c>
      <c r="B12" s="270" t="s">
        <v>239</v>
      </c>
      <c r="C12" s="271"/>
      <c r="D12" s="272"/>
      <c r="N12" s="158" t="s">
        <v>262</v>
      </c>
    </row>
    <row r="13" spans="1:14" x14ac:dyDescent="0.35">
      <c r="B13" s="273" t="s">
        <v>391</v>
      </c>
      <c r="C13" s="274"/>
      <c r="D13" s="275"/>
      <c r="N13" s="159"/>
    </row>
    <row r="14" spans="1:14" x14ac:dyDescent="0.35">
      <c r="B14" s="254" t="s">
        <v>386</v>
      </c>
      <c r="C14" s="255"/>
      <c r="D14" s="256"/>
      <c r="N14" s="159"/>
    </row>
    <row r="15" spans="1:14" x14ac:dyDescent="0.35">
      <c r="B15" s="257" t="s">
        <v>33</v>
      </c>
      <c r="C15" s="258"/>
      <c r="D15" s="259"/>
      <c r="N15" s="159"/>
    </row>
    <row r="16" spans="1:14" x14ac:dyDescent="0.35">
      <c r="N16" s="159"/>
    </row>
    <row r="17" spans="1:14" x14ac:dyDescent="0.35">
      <c r="A17" s="1" t="s">
        <v>238</v>
      </c>
      <c r="B17" s="1" t="s">
        <v>81</v>
      </c>
      <c r="C17" s="12" t="s">
        <v>82</v>
      </c>
      <c r="N17" s="158" t="s">
        <v>263</v>
      </c>
    </row>
    <row r="18" spans="1:14" x14ac:dyDescent="0.35">
      <c r="A18" t="s">
        <v>80</v>
      </c>
      <c r="B18" s="122">
        <v>5.73</v>
      </c>
      <c r="C18" s="122">
        <v>6</v>
      </c>
      <c r="D18" s="17"/>
      <c r="N18" s="158" t="s">
        <v>265</v>
      </c>
    </row>
    <row r="19" spans="1:14" x14ac:dyDescent="0.35">
      <c r="A19" t="s">
        <v>258</v>
      </c>
      <c r="B19" s="122">
        <v>7.2</v>
      </c>
      <c r="C19" s="122">
        <v>9</v>
      </c>
      <c r="D19" s="143" t="s">
        <v>244</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78.1</f>
        <v>78.099999999999994</v>
      </c>
      <c r="C22"/>
      <c r="D22" s="123"/>
      <c r="E22" s="30"/>
      <c r="N22" s="158" t="s">
        <v>267</v>
      </c>
    </row>
    <row r="23" spans="1:14" x14ac:dyDescent="0.35">
      <c r="A23" t="s">
        <v>251</v>
      </c>
      <c r="B23" s="144">
        <v>0.17</v>
      </c>
      <c r="C23"/>
      <c r="D23" s="123"/>
      <c r="E23" s="30"/>
      <c r="N23" s="158" t="s">
        <v>269</v>
      </c>
    </row>
    <row r="24" spans="1:14" x14ac:dyDescent="0.35">
      <c r="A24" t="s">
        <v>249</v>
      </c>
      <c r="B24" s="122">
        <f>10*(7.5+1.5/2)-B22-B23</f>
        <v>4.2300000000000058</v>
      </c>
      <c r="C24"/>
      <c r="D24" s="123"/>
      <c r="E24" s="30"/>
      <c r="N24" s="158" t="s">
        <v>270</v>
      </c>
    </row>
    <row r="25" spans="1:14" x14ac:dyDescent="0.35">
      <c r="A25" t="s">
        <v>308</v>
      </c>
      <c r="B25" s="122">
        <f>2.3 - IF(A9&lt;&gt;"",1.06,0)</f>
        <v>1.2399999999999998</v>
      </c>
      <c r="C25"/>
      <c r="D25" s="123"/>
      <c r="E25" s="30"/>
      <c r="N25" s="178" t="s">
        <v>315</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f>SplitInflow!M38</f>
        <v>8</v>
      </c>
      <c r="D28" s="108"/>
      <c r="E28" s="108"/>
      <c r="F28" s="108"/>
      <c r="G28" s="108"/>
      <c r="H28" s="108"/>
      <c r="I28" s="108"/>
      <c r="J28" s="108"/>
      <c r="K28" s="108"/>
      <c r="L28" s="108"/>
      <c r="N28" s="155" t="s">
        <v>271</v>
      </c>
    </row>
    <row r="29" spans="1:14" x14ac:dyDescent="0.35">
      <c r="A29" s="1" t="s">
        <v>86</v>
      </c>
      <c r="B29" s="1"/>
      <c r="C29" s="107">
        <f t="shared" ref="C29:L29" si="0">IF(C$28&lt;&gt;"",0.8,"")</f>
        <v>0.8</v>
      </c>
      <c r="D29" s="107" t="str">
        <f t="shared" si="0"/>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272</v>
      </c>
    </row>
    <row r="30" spans="1:14" x14ac:dyDescent="0.35">
      <c r="A30" s="1" t="s">
        <v>203</v>
      </c>
      <c r="B30" s="1"/>
      <c r="C30" s="107">
        <f t="shared" ref="C30:L30" si="1">IF(C$28&lt;&gt;"",0.2,"")</f>
        <v>0.2</v>
      </c>
      <c r="D30" s="107" t="str">
        <f t="shared" si="1"/>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273</v>
      </c>
    </row>
    <row r="31" spans="1:14" x14ac:dyDescent="0.35">
      <c r="A31" s="1" t="s">
        <v>182</v>
      </c>
      <c r="B31" s="1"/>
      <c r="C31" s="107">
        <f>IF(C$28&lt;&gt;"",0.6,"")</f>
        <v>0.6</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274</v>
      </c>
    </row>
    <row r="32" spans="1:14" x14ac:dyDescent="0.35">
      <c r="A32" s="138" t="s">
        <v>225</v>
      </c>
      <c r="C32" s="13">
        <f>IF(C$28&lt;&gt;"",SUM(B19:C19),"")</f>
        <v>16.2</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35">
      <c r="A33" t="str">
        <f t="shared" ref="A33:A38" si="4">IF(A5="","","    "&amp;A5&amp;" Balance")</f>
        <v xml:space="preserve">    Upper Basin Balance</v>
      </c>
      <c r="B33" s="89">
        <f>B19-B21</f>
        <v>1.2734237500000001</v>
      </c>
      <c r="C33" s="87">
        <f>IF(OR(C$28="",$A33=""),"",B33)</f>
        <v>1.2734237500000001</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3.1614070000000001</v>
      </c>
      <c r="C34" s="87">
        <f t="shared" ref="C34:C38" si="7">IF(OR(C$28="",$A34=""),"",B34)</f>
        <v>3.1614070000000001</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f t="shared" si="7"/>
        <v>0.17399999999999999</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f t="shared" si="7"/>
        <v>0</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f t="shared" si="7"/>
        <v>0</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f t="shared" si="7"/>
        <v>11.59116925</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235</v>
      </c>
      <c r="C39"/>
      <c r="N39" s="158" t="s">
        <v>295</v>
      </c>
    </row>
    <row r="40" spans="1:14" x14ac:dyDescent="0.35">
      <c r="A40" t="s">
        <v>83</v>
      </c>
      <c r="C40" s="13">
        <f>IF(C$28&lt;&gt;"",IF(COLUMN(C27)=COLUMN($C27),$B$19,B133),"")</f>
        <v>7.2</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f>IF(C$28&lt;&gt;"",IF(COLUMN(C28)=COLUMN($C28),$C$19,B134),"")</f>
        <v>9</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226</v>
      </c>
      <c r="B42" s="1"/>
      <c r="C42" s="13">
        <f>IF(C$28&lt;&gt;"",VLOOKUP(C40*1000000,'Powell-Elevation-Area'!$B$5:$D$689,3)*$B$18/1000000 + VLOOKUP(C41*1000000,'Mead-Elevation-Area'!$B$5:$D$676,3)*$C$18/1000000,"")</f>
        <v>0.86659952010057295</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35">
      <c r="A43" t="str">
        <f t="shared" ref="A43:A48" si="11">IF(A5="","","    "&amp;A5&amp;" Share")</f>
        <v xml:space="preserve">    Upper Basin Share</v>
      </c>
      <c r="B43" s="1"/>
      <c r="C43" s="13">
        <f t="shared" ref="C43:L43" si="12">IF(OR(C$28="",$A43=""),"",C$42*C33/C$32)</f>
        <v>6.8120272261399509E-2</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f t="shared" ref="C44:L44" si="13">IF(OR(C$28="",$A44=""),"",C$42*C34/C$32)</f>
        <v>0.16911566599028346</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f t="shared" ref="C45:L45" si="14">IF(OR(C$28="",$A45=""),"",C$42*C35/C$32)</f>
        <v>9.3079207714505986E-3</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f t="shared" ref="C46:L46" si="15">IF(OR(C$28="",$A46=""),"",C$42*C36/C$32)</f>
        <v>0</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f t="shared" ref="C47:L47" si="16">IF(OR(C$28="",$A47=""),"",C$42*C37/C$32)</f>
        <v>0</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f t="shared" ref="C48:L48" si="17">IF(OR(C$28="",$A48=""),"",C$42*C38/C$32)</f>
        <v>0.62005566107743937</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227</v>
      </c>
      <c r="B49" s="54"/>
      <c r="C49" s="33">
        <f>IF(C$28&lt;&gt;"",1.5-0.21/9/2-VLOOKUP(C41,MandatoryConservation!$C$5:$P$13,13)-C57*(1.5/8.7),"")</f>
        <v>1.3048850574712643</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35">
      <c r="A50" s="138" t="s">
        <v>252</v>
      </c>
      <c r="B50" s="1"/>
      <c r="C50" s="13">
        <f t="shared" ref="C50:L50" si="18">IF(C28="","",SUM(C28:C30))</f>
        <v>9</v>
      </c>
      <c r="D50" s="13" t="str">
        <f t="shared" si="18"/>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278</v>
      </c>
      <c r="P50" t="s">
        <v>299</v>
      </c>
    </row>
    <row r="51" spans="1:16" x14ac:dyDescent="0.35">
      <c r="A51" t="str">
        <f t="shared" ref="A51:A56" si="19">IF(A5="","","    To "&amp;A5)</f>
        <v xml:space="preserve">    To Upper Basin</v>
      </c>
      <c r="B51" s="105" t="s">
        <v>309</v>
      </c>
      <c r="C51" s="87">
        <f>IF(OR(C$28="",$A52=""),"",MAX(0,C50-SUM(C52:C57)))</f>
        <v>1.2399999999999993</v>
      </c>
      <c r="D51" s="87" t="str">
        <f t="shared" ref="D51:L51" si="20">IF(OR(D$28="",$A52=""),"",MAX(0,D50-SUM(D52:D57)))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35">
      <c r="A52" t="str">
        <f t="shared" si="19"/>
        <v xml:space="preserve">    To Lower Basin</v>
      </c>
      <c r="B52" s="106">
        <f>7.5-IF($A$9="",0,0.95)-IF(C31="",0.6,C31)*IF($A$9="",(7.2/8.7),(7.2-0.95)/8.7)-B54/2</f>
        <v>6.1111877394636007</v>
      </c>
      <c r="C52" s="87">
        <f>IF(OR(C$28="",$A52=""),"",IF(C50&lt;=SUM(C53:C57),0,IF(C50&lt;=SUM(C53:C57)+2*$B$25,(C50-SUM(C53:C57))/2,IF(C50&lt;=SUM(C53:C57)+2*$B$25+$B$52-$B$25,C50-SUM(C53:C57)-$B$25,$B$52))))</f>
        <v>3.2750209672750521</v>
      </c>
      <c r="D52" s="87" t="str">
        <f t="shared" ref="D52:L52" si="21">IF(OR(D$28="",$A52=""),"",IF(D50&lt;=SUM(D53:D57),0,IF(D50&lt;=SUM(D53:D57)+2*$B$25,(D50-SUM(D53:D57))/2,IF(D50&lt;=SUM(D53:D57)+2*$B$25+$B$52-$B$25,D50-SUM(D53:D57)-$B$25,$B$52))))</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35">
      <c r="A53" t="str">
        <f t="shared" si="19"/>
        <v xml:space="preserve">    To Mexico</v>
      </c>
      <c r="B53" s="106" t="s">
        <v>396</v>
      </c>
      <c r="C53" s="88">
        <f>IF(OR(C$28="",$A53=""),"",MIN(C49,C$50-SUM(C54:C57)))</f>
        <v>1.3048850574712643</v>
      </c>
      <c r="D53" s="88" t="str">
        <f t="shared" ref="D53:L53" si="22">IF(OR(D$28="",$A53=""),"",MIN(D49,D$50-SUM(D54:D57)))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35">
      <c r="A54" t="str">
        <f t="shared" si="19"/>
        <v xml:space="preserve">    To Colorado River Delta</v>
      </c>
      <c r="B54" s="115">
        <f>0.21/9*(2/3)</f>
        <v>1.5555555555555553E-2</v>
      </c>
      <c r="C54" s="116">
        <f>IF(OR(C$28="",$A54=""),"",MIN($B54,C$50-SUM(C55:C57)))</f>
        <v>1.5555555555555553E-2</v>
      </c>
      <c r="D54" s="116" t="str">
        <f t="shared" ref="D54:L54" si="23">IF(OR(D$28="",$A54=""),"",MIN($B54,D$50-SUM(D55:D57)))</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35">
      <c r="A55" t="str">
        <f t="shared" si="19"/>
        <v xml:space="preserve">    To First Nations</v>
      </c>
      <c r="B55" s="106">
        <f>IF($A$9&lt;&gt;"",2.01-C31*0.95/8.7,"")</f>
        <v>1.9444827586206894</v>
      </c>
      <c r="C55" s="87">
        <f>IF(OR(C$28="",$A55=""),"",MIN($B55,C$50-SUM(C56:C57)))</f>
        <v>1.9444827586206894</v>
      </c>
      <c r="D55" s="87" t="str">
        <f t="shared" ref="D55:L55" si="24">IF(OR(D$28="",$A55=""),"",MIN($B55,D$50-SUM(D56:D57)))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35">
      <c r="A56" t="str">
        <f t="shared" si="19"/>
        <v xml:space="preserve">    To Shared, Reserve</v>
      </c>
      <c r="B56" s="106" t="s">
        <v>214</v>
      </c>
      <c r="C56" s="170">
        <f>IF(OR(C$28="",$A56=""),"",IF(C$50&gt;C48,C48,C50))</f>
        <v>0.62005566107743937</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35">
      <c r="A57" t="str">
        <f>IF(A31="","","    To "&amp;A31)</f>
        <v xml:space="preserve">    To Havasu / Parker evaporation and ET</v>
      </c>
      <c r="B57" s="169" t="s">
        <v>310</v>
      </c>
      <c r="C57" s="171">
        <f>IF(OR(C$28="",$A57=""),"",MIN(C31,C50-C56))</f>
        <v>0.6</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35">
      <c r="B58" s="20"/>
      <c r="C58" s="19"/>
      <c r="D58" s="19"/>
      <c r="E58" s="19"/>
      <c r="F58" s="19"/>
      <c r="G58" s="19"/>
      <c r="N58" s="159"/>
    </row>
    <row r="59" spans="1:16" x14ac:dyDescent="0.35">
      <c r="A59" s="112" t="s">
        <v>389</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279</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35">
      <c r="A63" s="21" t="str">
        <f>IF(A62="","","   Net trade volume all participants (should be zero)")</f>
        <v xml:space="preserve">   Net trade volume all participants (should be zero)</v>
      </c>
      <c r="C63" s="48">
        <f t="shared" ref="C63:M63" ca="1" si="27">IF(OR(C$28="",$A63=""),"",C$116)</f>
        <v>0</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282</v>
      </c>
    </row>
    <row r="64" spans="1:16" x14ac:dyDescent="0.35">
      <c r="A64" s="1" t="str">
        <f>IF(A62="","","   Available Water [maf]")</f>
        <v xml:space="preserve">   Available Water [maf]</v>
      </c>
      <c r="C64" s="13">
        <f>IF(OR(C$28="",$A64=""),"",C33+C51-C43+C61)</f>
        <v>2.4453034777385998</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283</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296</v>
      </c>
    </row>
    <row r="66" spans="1:14" x14ac:dyDescent="0.35">
      <c r="A66" s="21" t="str">
        <f>IF(A65="","","   End of Year Balance [maf]")</f>
        <v xml:space="preserve">   End of Year Balance [maf]</v>
      </c>
      <c r="C66" s="47">
        <f>IF(OR(C$28="",$A66=""),"",C64-C65)</f>
        <v>2.4453034777385998</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284</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279</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35">
      <c r="A71" s="145" t="str">
        <f>IF(A70="","",$A$63)</f>
        <v xml:space="preserve">   Net trade volume all participants (should be zero)</v>
      </c>
      <c r="C71" s="48">
        <f t="shared" ref="C71:M71" ca="1" si="30">IF(OR(C$28="",$A71=""),"",C$116)</f>
        <v>0</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282</v>
      </c>
    </row>
    <row r="72" spans="1:14" x14ac:dyDescent="0.35">
      <c r="A72" s="1" t="str">
        <f>IF(A70="","","   Available Water [maf]")</f>
        <v xml:space="preserve">   Available Water [maf]</v>
      </c>
      <c r="C72" s="13">
        <f>IF(OR(C$28="",$A72=""),"",C34+C52-C44+C69)</f>
        <v>6.2673123012847691</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283</v>
      </c>
    </row>
    <row r="73" spans="1:14" x14ac:dyDescent="0.35">
      <c r="A73" s="138" t="str">
        <f>IF(A72="","",$A$65)</f>
        <v xml:space="preserve">   Enter withdraw [maf] within available water</v>
      </c>
      <c r="C73" s="104"/>
      <c r="D73" s="104"/>
      <c r="E73" s="104"/>
      <c r="F73" s="104"/>
      <c r="G73" s="104"/>
      <c r="H73" s="104"/>
      <c r="I73" s="104"/>
      <c r="J73" s="104"/>
      <c r="K73" s="104"/>
      <c r="L73" s="104"/>
      <c r="N73" s="158" t="s">
        <v>296</v>
      </c>
    </row>
    <row r="74" spans="1:14" x14ac:dyDescent="0.35">
      <c r="A74" s="21" t="str">
        <f>IF(A73="","","   End of Year Balance [maf]")</f>
        <v xml:space="preserve">   End of Year Balance [maf]</v>
      </c>
      <c r="C74" s="47">
        <f>IF(OR(C$28="",$A74=""),"",C72-C73)</f>
        <v>6.2673123012847691</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284</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279</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35">
      <c r="A79" s="145" t="str">
        <f>IF(A78="","",$A$63)</f>
        <v xml:space="preserve">   Net trade volume all participants (should be zero)</v>
      </c>
      <c r="C79" s="48">
        <f t="shared" ref="C79:M79" ca="1" si="33">IF(OR(C$28="",$A79=""),"",C$116)</f>
        <v>0</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282</v>
      </c>
    </row>
    <row r="80" spans="1:14" x14ac:dyDescent="0.35">
      <c r="A80" s="1" t="str">
        <f>IF(A78="","","   Available Water [maf]")</f>
        <v xml:space="preserve">   Available Water [maf]</v>
      </c>
      <c r="C80" s="13">
        <f>IF(OR(C$28="",$A80=""),"",C35+C53-C45+C77)</f>
        <v>1.4695771366998136</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283</v>
      </c>
    </row>
    <row r="81" spans="1:14" x14ac:dyDescent="0.35">
      <c r="A81" s="138" t="str">
        <f>IF(A80="","",$A$65)</f>
        <v xml:space="preserve">   Enter withdraw [maf] within available water</v>
      </c>
      <c r="C81" s="104"/>
      <c r="D81" s="104"/>
      <c r="E81" s="104"/>
      <c r="F81" s="104"/>
      <c r="G81" s="104"/>
      <c r="H81" s="104"/>
      <c r="I81" s="104"/>
      <c r="J81" s="104"/>
      <c r="K81" s="104"/>
      <c r="L81" s="104"/>
      <c r="N81" s="158" t="s">
        <v>296</v>
      </c>
    </row>
    <row r="82" spans="1:14" x14ac:dyDescent="0.35">
      <c r="A82" s="21" t="str">
        <f>IF(A81="","","   End of Year Balance [maf]")</f>
        <v xml:space="preserve">   End of Year Balance [maf]</v>
      </c>
      <c r="C82" s="47">
        <f>IF(OR(C$28="",$A82=""),"",C80-C81)</f>
        <v>1.4695771366998136</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284</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279</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35">
      <c r="A87" s="145" t="str">
        <f>IF(A86="","",$A$63)</f>
        <v xml:space="preserve">   Net trade volume all participants (should be zero)</v>
      </c>
      <c r="C87" s="48">
        <f t="shared" ref="C87:M87" ca="1" si="36">IF(OR(C$28="",$A87=""),"",C$116)</f>
        <v>0</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282</v>
      </c>
    </row>
    <row r="88" spans="1:14" x14ac:dyDescent="0.35">
      <c r="A88" s="1" t="str">
        <f>IF(A86="","","   Available Water [maf]")</f>
        <v xml:space="preserve">   Available Water [maf]</v>
      </c>
      <c r="C88" s="130">
        <f>IF(OR(C$28="",$A88=""),"",C36+C54-C46+C85)</f>
        <v>1.5555555555555553E-2</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283</v>
      </c>
    </row>
    <row r="89" spans="1:14" x14ac:dyDescent="0.35">
      <c r="A89" s="138" t="str">
        <f>IF(A88="","",$A$65)</f>
        <v xml:space="preserve">   Enter withdraw [maf] within available water</v>
      </c>
      <c r="C89" s="131"/>
      <c r="D89" s="131"/>
      <c r="E89" s="131"/>
      <c r="F89" s="131"/>
      <c r="G89" s="131"/>
      <c r="H89" s="131"/>
      <c r="I89" s="131"/>
      <c r="J89" s="131"/>
      <c r="K89" s="131"/>
      <c r="L89" s="131"/>
      <c r="N89" s="158" t="s">
        <v>296</v>
      </c>
    </row>
    <row r="90" spans="1:14" x14ac:dyDescent="0.35">
      <c r="A90" s="21" t="str">
        <f>IF(A89="","","   End of Year Balance [maf]")</f>
        <v xml:space="preserve">   End of Year Balance [maf]</v>
      </c>
      <c r="C90" s="47">
        <f>IF(OR(C$28="",$A90=""),"",C88-C89)</f>
        <v>1.5555555555555553E-2</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284</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279</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35">
      <c r="A95" s="145" t="str">
        <f>IF(A94="","",$A$63)</f>
        <v xml:space="preserve">   Net trade volume all participants (should be zero)</v>
      </c>
      <c r="C95" s="48">
        <f t="shared" ref="C95:M95" ca="1" si="39">IF(OR(C$28="",$A95=""),"",C$116)</f>
        <v>0</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282</v>
      </c>
    </row>
    <row r="96" spans="1:14" x14ac:dyDescent="0.35">
      <c r="A96" s="1" t="str">
        <f>IF(A94="","","   Available Water [maf]")</f>
        <v xml:space="preserve">   Available Water [maf]</v>
      </c>
      <c r="C96" s="13">
        <f>IF(OR(C$28="",$A96=""),"",C37+C55-C47+C93)</f>
        <v>1.9444827586206894</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283</v>
      </c>
    </row>
    <row r="97" spans="1:14" x14ac:dyDescent="0.35">
      <c r="A97" s="138" t="str">
        <f>IF(A96="","",$A$65)</f>
        <v xml:space="preserve">   Enter withdraw [maf] within available water</v>
      </c>
      <c r="C97" s="104"/>
      <c r="D97" s="104"/>
      <c r="E97" s="104"/>
      <c r="F97" s="104"/>
      <c r="G97" s="104"/>
      <c r="H97" s="104"/>
      <c r="I97" s="104"/>
      <c r="J97" s="104"/>
      <c r="K97" s="104"/>
      <c r="L97" s="104"/>
      <c r="N97" s="158" t="s">
        <v>296</v>
      </c>
    </row>
    <row r="98" spans="1:14" x14ac:dyDescent="0.35">
      <c r="A98" s="21" t="str">
        <f>IF(A97="","","   End of Year Balance [maf]")</f>
        <v xml:space="preserve">   End of Year Balance [maf]</v>
      </c>
      <c r="C98" s="47">
        <f>IF(OR(C$28="",$A98=""),"",C96-C97)</f>
        <v>1.9444827586206894</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284</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f t="shared" ref="C103:M103" ca="1" si="42">IF(OR(C$28="",$A103=""),"",C$116)</f>
        <v>0</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35">
      <c r="A104" s="1" t="str">
        <f>IF(A102="","","   Available Water [maf]")</f>
        <v xml:space="preserve">   Available Water [maf]</v>
      </c>
      <c r="C104" s="13">
        <f>IF(OR(C$28="",$A104=""),"",C38+C56-C48+C101)</f>
        <v>11.59116925</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f>IF(OR(C$28="",$A106=""),"",C104-C105)</f>
        <v>11.59116925</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35">
      <c r="C107"/>
      <c r="N107" s="159"/>
    </row>
    <row r="108" spans="1:14" x14ac:dyDescent="0.35">
      <c r="A108" s="112" t="s">
        <v>390</v>
      </c>
      <c r="B108" s="112"/>
      <c r="C108" s="112"/>
      <c r="D108" s="112"/>
      <c r="E108" s="112"/>
      <c r="F108" s="112"/>
      <c r="G108" s="112"/>
      <c r="H108" s="112"/>
      <c r="I108" s="112"/>
      <c r="J108" s="112"/>
      <c r="K108" s="112"/>
      <c r="L108" s="112"/>
      <c r="M108" s="112"/>
      <c r="N108" s="158" t="s">
        <v>285</v>
      </c>
    </row>
    <row r="109" spans="1:14" x14ac:dyDescent="0.35">
      <c r="A109" s="1" t="s">
        <v>219</v>
      </c>
      <c r="C109"/>
      <c r="M109" t="s">
        <v>114</v>
      </c>
      <c r="N109" s="159"/>
    </row>
    <row r="110" spans="1:14" x14ac:dyDescent="0.35">
      <c r="A110" t="str">
        <f t="shared" ref="A110:A115" si="45">IF(A5="","","    "&amp;A5)</f>
        <v xml:space="preserve">    Upper Basin</v>
      </c>
      <c r="B110" s="1"/>
      <c r="C110" s="48">
        <f t="shared" ref="C110:L110" ca="1" si="46">IF(OR(C$28="",$A110=""),"",OFFSET(C$61,8*(ROW(B110)-ROW(B$110)),0))</f>
        <v>0</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35">
      <c r="A111" t="str">
        <f t="shared" si="45"/>
        <v xml:space="preserve">    Lower Basin</v>
      </c>
      <c r="B111" s="1"/>
      <c r="C111" s="48">
        <f t="shared" ref="C111:L111" ca="1" si="47">IF(OR(C$28="",$A111=""),"",OFFSET(C$61,8*(ROW(B111)-ROW(B$110)),0))</f>
        <v>0</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35">
      <c r="A112" t="str">
        <f t="shared" si="45"/>
        <v xml:space="preserve">    Mexico</v>
      </c>
      <c r="B112" s="1"/>
      <c r="C112" s="48">
        <f t="shared" ref="C112:L112" ca="1" si="49">IF(OR(C$28="",$A112=""),"",OFFSET(C$61,8*(ROW(B112)-ROW(B$110)),0))</f>
        <v>0</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35">
      <c r="A113" t="str">
        <f t="shared" si="45"/>
        <v xml:space="preserve">    Colorado River Delta</v>
      </c>
      <c r="B113" s="1"/>
      <c r="C113" s="48">
        <f t="shared" ref="C113:L113" ca="1" si="50">IF(OR(C$28="",$A113=""),"",OFFSET(C$61,8*(ROW(B113)-ROW(B$110)),0))</f>
        <v>0</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35">
      <c r="A114" t="str">
        <f t="shared" si="45"/>
        <v xml:space="preserve">    First Nations</v>
      </c>
      <c r="B114" s="1"/>
      <c r="C114" s="48">
        <f t="shared" ref="C114:L114" ca="1" si="51">IF(OR(C$28="",$A114=""),"",OFFSET(C$61,8*(ROW(B114)-ROW(B$110)),0))</f>
        <v>0</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35">
      <c r="A115" t="str">
        <f t="shared" si="45"/>
        <v xml:space="preserve">    Shared, Reserve</v>
      </c>
      <c r="B115" s="1"/>
      <c r="C115" s="48">
        <f t="shared" ref="C115:L115" ca="1" si="52">IF(OR(C$28="",$A115=""),"",OFFSET(C$61,8*(ROW(B115)-ROW(B$110)),0))</f>
        <v>0</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35">
      <c r="A116" t="s">
        <v>93</v>
      </c>
      <c r="B116" s="1"/>
      <c r="C116" s="35">
        <f ca="1">IF(C$28&lt;&gt;"",SUM(C110:C115),"")</f>
        <v>0</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f t="shared" ref="C118:L118" ca="1" si="54">IF(OR(C$28="",$A118=""),"",OFFSET(C$65,8*(ROW(B118)-ROW(B$118)),0))</f>
        <v>0</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35">
      <c r="A119" t="str">
        <f>IF(A6="","","    "&amp;A6&amp;" - Release from Mead")</f>
        <v xml:space="preserve">    Lower Basin - Release from Mead</v>
      </c>
      <c r="C119" s="48">
        <f t="shared" ref="C119:L119" ca="1" si="55">IF(OR(C$28="",$A119=""),"",OFFSET(C$65,8*(ROW(B119)-ROW(B$118)),0))</f>
        <v>0</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35">
      <c r="A120" t="str">
        <f>IF(A7="","","    "&amp;A7&amp;" - Release from Mead")</f>
        <v xml:space="preserve">    Mexico - Release from Mead</v>
      </c>
      <c r="C120" s="48">
        <f t="shared" ref="C120:L120" ca="1" si="56">IF(OR(C$28="",$A120=""),"",OFFSET(C$65,8*(ROW(B120)-ROW(B$118)),0))</f>
        <v>0</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35">
      <c r="A121" t="str">
        <f>IF(A8="","","    "&amp;A8&amp;" - Release from Mead")</f>
        <v xml:space="preserve">    Colorado River Delta - Release from Mead</v>
      </c>
      <c r="C121" s="48">
        <f t="shared" ref="C121:L121" ca="1" si="57">IF(OR(C$28="",$A121=""),"",OFFSET(C$65,8*(ROW(B121)-ROW(B$118)),0))</f>
        <v>0</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35">
      <c r="A122" t="str">
        <f>IF(A9="","","    "&amp;A9&amp;" - Release from Mead")</f>
        <v xml:space="preserve">    First Nations - Release from Mead</v>
      </c>
      <c r="C122" s="48">
        <f t="shared" ref="C122:L122" ca="1" si="58">IF(OR(C$28="",$A122=""),"",OFFSET(C$65,8*(ROW(B122)-ROW(B$118)),0))</f>
        <v>0</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35">
      <c r="A123" t="str">
        <f>IF(A10="","","    "&amp;A10&amp;" - Release from Mead")</f>
        <v xml:space="preserve">    Shared, Reserve - Release from Mead</v>
      </c>
      <c r="C123" s="48">
        <f t="shared" ref="C123:L123" ca="1" si="59">IF(OR(C$28="",$A123=""),"",OFFSET(C$65,8*(ROW(B123)-ROW(B$118)),0))</f>
        <v>0</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35">
      <c r="A124" s="1" t="s">
        <v>90</v>
      </c>
      <c r="B124" s="1"/>
      <c r="D124" s="2"/>
      <c r="E124" s="2"/>
      <c r="F124" s="2"/>
      <c r="G124" s="2"/>
      <c r="H124" s="2"/>
      <c r="I124" s="2"/>
      <c r="J124" s="2"/>
      <c r="K124" s="2"/>
      <c r="L124" s="2"/>
      <c r="N124" s="159"/>
    </row>
    <row r="125" spans="1:14" x14ac:dyDescent="0.35">
      <c r="A125" t="str">
        <f t="shared" ref="A125:A130" si="60">IF(A5="","","    "&amp;A5)</f>
        <v xml:space="preserve">    Upper Basin</v>
      </c>
      <c r="C125" s="48">
        <f t="shared" ref="C125:L125" ca="1" si="61">IF(OR(C$28="",$A125=""),"",OFFSET(C$66,8*(ROW(B125)-ROW(B$125)),0))</f>
        <v>2.4453034777385998</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35">
      <c r="A126" t="str">
        <f t="shared" si="60"/>
        <v xml:space="preserve">    Lower Basin</v>
      </c>
      <c r="C126" s="48">
        <f t="shared" ref="C126:L126" ca="1" si="62">IF(OR(C$28="",$A126=""),"",OFFSET(C$66,8*(ROW(B126)-ROW(B$125)),0))</f>
        <v>6.2673123012847691</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35">
      <c r="A127" t="str">
        <f t="shared" si="60"/>
        <v xml:space="preserve">    Mexico</v>
      </c>
      <c r="C127" s="48">
        <f t="shared" ref="C127:L127" ca="1" si="63">IF(OR(C$28="",$A127=""),"",OFFSET(C$66,8*(ROW(B127)-ROW(B$125)),0))</f>
        <v>1.4695771366998136</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35">
      <c r="A128" t="str">
        <f t="shared" si="60"/>
        <v xml:space="preserve">    Colorado River Delta</v>
      </c>
      <c r="C128" s="48">
        <f t="shared" ref="C128:L128" ca="1" si="64">IF(OR(C$28="",$A128=""),"",OFFSET(C$66,8*(ROW(B128)-ROW(B$125)),0))</f>
        <v>1.5555555555555553E-2</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35">
      <c r="A129" t="str">
        <f t="shared" si="60"/>
        <v xml:space="preserve">    First Nations</v>
      </c>
      <c r="C129" s="48">
        <f t="shared" ref="C129:L129" ca="1" si="65">IF(OR(C$28="",$A129=""),"",OFFSET(C$66,8*(ROW(B129)-ROW(B$125)),0))</f>
        <v>1.9444827586206894</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35">
      <c r="A130" t="str">
        <f t="shared" si="60"/>
        <v xml:space="preserve">    Shared, Reserve</v>
      </c>
      <c r="C130" s="48">
        <f t="shared" ref="C130:L130" ca="1" si="66">IF(OR(C$28="",$A130=""),"",OFFSET(C$66,8*(ROW(B130)-ROW(B$125)),0))</f>
        <v>11.59116925</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35">
      <c r="A131" s="1" t="s">
        <v>221</v>
      </c>
      <c r="B131" s="1"/>
      <c r="C131" s="13">
        <f ca="1">IF(C$28&lt;&gt;"",SUM(C125:C130),"")</f>
        <v>23.73340047989943</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286</v>
      </c>
    </row>
    <row r="132" spans="1:14" ht="29.5" customHeight="1" x14ac:dyDescent="0.35">
      <c r="A132" s="260" t="s">
        <v>259</v>
      </c>
      <c r="B132" s="261"/>
      <c r="C132" s="140"/>
      <c r="D132" s="140"/>
      <c r="E132" s="140"/>
      <c r="F132" s="140"/>
      <c r="G132" s="140"/>
      <c r="H132" s="140"/>
      <c r="I132" s="140"/>
      <c r="J132" s="140"/>
      <c r="K132" s="140"/>
      <c r="L132" s="140"/>
      <c r="N132" s="155" t="s">
        <v>287</v>
      </c>
    </row>
    <row r="133" spans="1:14" x14ac:dyDescent="0.35">
      <c r="A133" s="1" t="s">
        <v>229</v>
      </c>
      <c r="B133" s="1"/>
      <c r="C133" s="13">
        <f ca="1">IF(C28="","",C$132*C$131)</f>
        <v>0</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298</v>
      </c>
    </row>
    <row r="134" spans="1:14" x14ac:dyDescent="0.35">
      <c r="A134" s="1" t="s">
        <v>230</v>
      </c>
      <c r="B134" s="1"/>
      <c r="C134" s="13">
        <f ca="1">IF(C29="","",(1-C$132)*C$131)</f>
        <v>23.73340047989943</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298</v>
      </c>
    </row>
    <row r="135" spans="1:14" x14ac:dyDescent="0.35">
      <c r="A135" s="21" t="s">
        <v>162</v>
      </c>
      <c r="B135" s="1"/>
      <c r="C135" s="63">
        <f ca="1">IF(C$28&lt;&gt;"",VLOOKUP(C133*1000000,'Powell-Elevation-Area'!$B$5:$H$689,7),"")</f>
        <v>3370</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35">
      <c r="A136" s="21" t="s">
        <v>163</v>
      </c>
      <c r="B136" s="1"/>
      <c r="C136" s="63">
        <f ca="1">IF(C$28&lt;&gt;"",VLOOKUP(C134*1000000,'Mead-Elevation-Area'!$B$5:$H$689,7),"")</f>
        <v>1204</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35">
      <c r="A137" s="1" t="s">
        <v>231</v>
      </c>
      <c r="B137" s="1"/>
      <c r="N137" s="158" t="s">
        <v>288</v>
      </c>
    </row>
    <row r="138" spans="1:14" x14ac:dyDescent="0.35">
      <c r="A138" s="21" t="s">
        <v>232</v>
      </c>
      <c r="B138" s="1"/>
      <c r="C138" s="13">
        <f ca="1">IF(C$28&lt;&gt;"",-C133+C40+C28-C65-VLOOKUP(C40*1000000,'Powell-Elevation-Area'!$B$5:$D$689,3)*$B$18/1000000,"")</f>
        <v>14.803596479899426</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35">
      <c r="A139" s="21" t="s">
        <v>222</v>
      </c>
      <c r="B139" s="1"/>
      <c r="C139" s="63" t="str">
        <f ca="1">IF(C$28&lt;&gt;"",VLOOKUP(C135,PowellReleaseTemperature!$A$5:$B$11,2),"")</f>
        <v>&gt; 18</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5" customHeight="1" x14ac:dyDescent="0.35">
      <c r="A140" s="94" t="s">
        <v>223</v>
      </c>
      <c r="B140" s="64"/>
      <c r="C140" s="93" t="str">
        <f ca="1">IF(C$28&lt;&gt;"",VLOOKUP(C$135,PowellReleaseTemperature!$A$5:$E$11,5),"")</f>
        <v>Highly uncertain</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5" customHeight="1" x14ac:dyDescent="0.35">
      <c r="A141" s="94" t="s">
        <v>191</v>
      </c>
      <c r="B141" s="64"/>
      <c r="C141" s="93" t="str">
        <f ca="1">IF(C$28&lt;&gt;"",VLOOKUP(C$135,PowellReleaseTemperature!$A$5:$F$11,6),"")</f>
        <v>Unsuitable</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35">
      <c r="A142" s="151" t="s">
        <v>260</v>
      </c>
      <c r="C142" s="19"/>
      <c r="N142" s="158" t="s">
        <v>293</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 sqref="A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234</v>
      </c>
      <c r="B2" s="1"/>
    </row>
    <row r="3" spans="1:14" ht="32.15" customHeight="1" x14ac:dyDescent="0.35">
      <c r="A3" s="263" t="s">
        <v>393</v>
      </c>
      <c r="B3" s="263"/>
      <c r="C3" s="263"/>
      <c r="D3" s="263"/>
      <c r="E3" s="263"/>
      <c r="F3" s="263"/>
      <c r="G3" s="263"/>
      <c r="H3" s="180"/>
      <c r="I3" s="180"/>
      <c r="J3" s="180"/>
      <c r="K3" s="180"/>
      <c r="N3" s="153" t="s">
        <v>297</v>
      </c>
    </row>
    <row r="4" spans="1:14" x14ac:dyDescent="0.35">
      <c r="A4" s="141" t="s">
        <v>236</v>
      </c>
      <c r="B4" s="141" t="s">
        <v>31</v>
      </c>
      <c r="C4" s="264" t="s">
        <v>32</v>
      </c>
      <c r="D4" s="265"/>
      <c r="E4" s="265"/>
      <c r="F4" s="265"/>
      <c r="G4" s="266"/>
      <c r="N4" s="155" t="s">
        <v>261</v>
      </c>
    </row>
    <row r="5" spans="1:14" x14ac:dyDescent="0.35">
      <c r="A5" s="179" t="str">
        <f>IF(Master!A5="","",Master!A5)</f>
        <v>Upper Basin</v>
      </c>
      <c r="B5" s="181" t="s">
        <v>332</v>
      </c>
      <c r="C5" s="267" t="s">
        <v>333</v>
      </c>
      <c r="D5" s="262"/>
      <c r="E5" s="262"/>
      <c r="F5" s="262"/>
      <c r="G5" s="262"/>
      <c r="N5" s="159"/>
    </row>
    <row r="6" spans="1:14" x14ac:dyDescent="0.35">
      <c r="A6" s="179" t="str">
        <f>IF(Master!A6="","",Master!A6)</f>
        <v>Lower Basin</v>
      </c>
      <c r="B6" s="181" t="s">
        <v>332</v>
      </c>
      <c r="C6" s="267" t="s">
        <v>333</v>
      </c>
      <c r="D6" s="262"/>
      <c r="E6" s="262"/>
      <c r="F6" s="262"/>
      <c r="G6" s="262"/>
      <c r="N6" s="159"/>
    </row>
    <row r="7" spans="1:14" x14ac:dyDescent="0.35">
      <c r="A7" s="179" t="str">
        <f>IF(Master!A7="","",Master!A7)</f>
        <v>Mexico</v>
      </c>
      <c r="B7" s="181" t="s">
        <v>332</v>
      </c>
      <c r="C7" s="267" t="s">
        <v>333</v>
      </c>
      <c r="D7" s="262"/>
      <c r="E7" s="262"/>
      <c r="F7" s="262"/>
      <c r="G7" s="262"/>
      <c r="N7" s="159"/>
    </row>
    <row r="8" spans="1:14" x14ac:dyDescent="0.35">
      <c r="A8" s="179" t="str">
        <f>IF(Master!A8="","",Master!A8)</f>
        <v>Colorado River Delta</v>
      </c>
      <c r="B8" s="181" t="s">
        <v>332</v>
      </c>
      <c r="C8" s="267" t="s">
        <v>333</v>
      </c>
      <c r="D8" s="262"/>
      <c r="E8" s="262"/>
      <c r="F8" s="262"/>
      <c r="G8" s="262"/>
      <c r="N8" s="159"/>
    </row>
    <row r="9" spans="1:14" x14ac:dyDescent="0.35">
      <c r="A9" s="179" t="str">
        <f>IF(Master!A9="","",Master!A9)</f>
        <v>First Nations</v>
      </c>
      <c r="B9" s="181" t="str">
        <f>IF($A9&lt;&gt;"",B8,"")</f>
        <v>Law</v>
      </c>
      <c r="C9" s="276" t="s">
        <v>341</v>
      </c>
      <c r="D9" s="277"/>
      <c r="E9" s="277"/>
      <c r="F9" s="277"/>
      <c r="G9" s="278"/>
      <c r="N9" s="159"/>
    </row>
    <row r="10" spans="1:14" x14ac:dyDescent="0.35">
      <c r="A10" s="182" t="s">
        <v>97</v>
      </c>
      <c r="B10" s="182"/>
      <c r="C10" s="269" t="s">
        <v>334</v>
      </c>
      <c r="D10" s="269"/>
      <c r="E10" s="269"/>
      <c r="F10" s="269"/>
      <c r="G10" s="269"/>
      <c r="N10" s="159"/>
    </row>
    <row r="11" spans="1:14" x14ac:dyDescent="0.35">
      <c r="A11" s="14"/>
      <c r="B11" s="2"/>
      <c r="C11"/>
      <c r="N11" s="159"/>
    </row>
    <row r="12" spans="1:14" x14ac:dyDescent="0.35">
      <c r="A12" s="16" t="s">
        <v>237</v>
      </c>
      <c r="B12" s="270" t="s">
        <v>239</v>
      </c>
      <c r="C12" s="271"/>
      <c r="D12" s="272"/>
      <c r="N12" s="158" t="s">
        <v>262</v>
      </c>
    </row>
    <row r="13" spans="1:14" x14ac:dyDescent="0.35">
      <c r="B13" s="273" t="s">
        <v>391</v>
      </c>
      <c r="C13" s="274"/>
      <c r="D13" s="275"/>
      <c r="N13" s="159"/>
    </row>
    <row r="14" spans="1:14" x14ac:dyDescent="0.35">
      <c r="B14" s="254" t="s">
        <v>392</v>
      </c>
      <c r="C14" s="255"/>
      <c r="D14" s="256"/>
      <c r="N14" s="159"/>
    </row>
    <row r="15" spans="1:14" x14ac:dyDescent="0.35">
      <c r="B15" s="257" t="s">
        <v>33</v>
      </c>
      <c r="C15" s="258"/>
      <c r="D15" s="259"/>
      <c r="N15" s="159"/>
    </row>
    <row r="16" spans="1:14" x14ac:dyDescent="0.35">
      <c r="N16" s="159"/>
    </row>
    <row r="17" spans="1:14" x14ac:dyDescent="0.35">
      <c r="A17" s="1" t="s">
        <v>238</v>
      </c>
      <c r="B17" s="1" t="s">
        <v>81</v>
      </c>
      <c r="C17" s="12" t="s">
        <v>82</v>
      </c>
      <c r="N17" s="158" t="s">
        <v>263</v>
      </c>
    </row>
    <row r="18" spans="1:14" x14ac:dyDescent="0.35">
      <c r="A18" t="s">
        <v>80</v>
      </c>
      <c r="B18" s="122">
        <f>Master!B18</f>
        <v>5.73</v>
      </c>
      <c r="C18" s="122">
        <f>Master!C18</f>
        <v>6</v>
      </c>
      <c r="D18" s="17"/>
      <c r="N18" s="158" t="s">
        <v>265</v>
      </c>
    </row>
    <row r="19" spans="1:14" x14ac:dyDescent="0.35">
      <c r="A19" t="s">
        <v>258</v>
      </c>
      <c r="B19" s="122">
        <f>Master!B19</f>
        <v>7.2</v>
      </c>
      <c r="C19" s="122">
        <f>Master!C19</f>
        <v>9</v>
      </c>
      <c r="D19" s="11" t="str">
        <f>Master!D19</f>
        <v>9/1/2021 values</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Master!B22</f>
        <v>78.099999999999994</v>
      </c>
      <c r="C22"/>
      <c r="D22" s="123"/>
      <c r="E22" s="30"/>
      <c r="N22" s="158" t="s">
        <v>267</v>
      </c>
    </row>
    <row r="23" spans="1:14" x14ac:dyDescent="0.35">
      <c r="A23" t="s">
        <v>251</v>
      </c>
      <c r="B23" s="144">
        <f>Master!B23</f>
        <v>0.17</v>
      </c>
      <c r="C23"/>
      <c r="D23" s="123"/>
      <c r="E23" s="30"/>
      <c r="N23" s="158" t="s">
        <v>269</v>
      </c>
    </row>
    <row r="24" spans="1:14" x14ac:dyDescent="0.35">
      <c r="A24" t="s">
        <v>249</v>
      </c>
      <c r="B24" s="122">
        <f>Master!B24</f>
        <v>4.2300000000000058</v>
      </c>
      <c r="C24"/>
      <c r="D24" s="123"/>
      <c r="E24" s="30"/>
      <c r="N24" s="158" t="s">
        <v>270</v>
      </c>
    </row>
    <row r="25" spans="1:14" x14ac:dyDescent="0.35">
      <c r="A25" t="s">
        <v>308</v>
      </c>
      <c r="B25" s="122">
        <f>Master!B25</f>
        <v>1.2399999999999998</v>
      </c>
      <c r="C25"/>
      <c r="D25" s="123"/>
      <c r="E25" s="30"/>
      <c r="N25" s="178" t="s">
        <v>315</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f>IF(Master!C28&lt;&gt;"",Master!C28,"")</f>
        <v>8</v>
      </c>
      <c r="D28" s="108" t="str">
        <f>IF(Master!D28&lt;&gt;"",Master!D28,"")</f>
        <v/>
      </c>
      <c r="E28" s="108" t="str">
        <f>IF(Master!E28&lt;&gt;"",Master!E28,"")</f>
        <v/>
      </c>
      <c r="F28" s="108" t="str">
        <f>IF(Master!F28&lt;&gt;"",Master!F28,"")</f>
        <v/>
      </c>
      <c r="G28" s="108" t="str">
        <f>IF(Master!G28&lt;&gt;"",Master!G28,"")</f>
        <v/>
      </c>
      <c r="H28" s="108"/>
      <c r="I28" s="108"/>
      <c r="J28" s="108"/>
      <c r="K28" s="108"/>
      <c r="L28" s="108"/>
      <c r="N28" s="155" t="s">
        <v>271</v>
      </c>
    </row>
    <row r="29" spans="1:14" x14ac:dyDescent="0.35">
      <c r="A29" s="1" t="s">
        <v>86</v>
      </c>
      <c r="B29" s="1"/>
      <c r="C29" s="107">
        <f>IF(C$28&lt;&gt;"",Master!C29,"")</f>
        <v>0.8</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272</v>
      </c>
    </row>
    <row r="30" spans="1:14" x14ac:dyDescent="0.35">
      <c r="A30" s="1" t="s">
        <v>203</v>
      </c>
      <c r="B30" s="1"/>
      <c r="C30" s="107">
        <f>IF(C$28&lt;&gt;"",Master!C30,"")</f>
        <v>0.2</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273</v>
      </c>
    </row>
    <row r="31" spans="1:14" x14ac:dyDescent="0.35">
      <c r="A31" s="1" t="s">
        <v>182</v>
      </c>
      <c r="B31" s="1"/>
      <c r="C31" s="107">
        <f>IF(C$28&lt;&gt;"",Master!C31,"")</f>
        <v>0.6</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274</v>
      </c>
    </row>
    <row r="32" spans="1:14" x14ac:dyDescent="0.35">
      <c r="A32" s="138" t="s">
        <v>225</v>
      </c>
      <c r="C32" s="13">
        <f>IF(C$28&lt;&gt;"",SUM(B19:C19),"")</f>
        <v>16.2</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35">
      <c r="A33" t="str">
        <f t="shared" ref="A33:A38" si="4">IF(A5="","","    "&amp;A5&amp;" Balance")</f>
        <v xml:space="preserve">    Upper Basin Balance</v>
      </c>
      <c r="B33" s="89">
        <f>B19-B21</f>
        <v>1.2734237500000001</v>
      </c>
      <c r="C33" s="87">
        <f>IF(OR(C$28="",$A33=""),"",B33)</f>
        <v>1.2734237500000001</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3.1614070000000001</v>
      </c>
      <c r="C34" s="87">
        <f t="shared" ref="C34:C38" si="6">IF(OR(C$28="",$A34=""),"",B34)</f>
        <v>3.1614070000000001</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f t="shared" si="6"/>
        <v>0.17399999999999999</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f t="shared" si="6"/>
        <v>0</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f t="shared" si="6"/>
        <v>0</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f t="shared" si="6"/>
        <v>11.59116925</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235</v>
      </c>
      <c r="C39"/>
      <c r="N39" s="158" t="s">
        <v>295</v>
      </c>
    </row>
    <row r="40" spans="1:14" x14ac:dyDescent="0.35">
      <c r="A40" t="s">
        <v>83</v>
      </c>
      <c r="C40" s="13">
        <f>IF(C$28&lt;&gt;"",IF(COLUMN(C27)=COLUMN($C27),$B$19,B133),"")</f>
        <v>7.2</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f>IF(C$28&lt;&gt;"",IF(COLUMN(C28)=COLUMN($C28),$C$19,B134),"")</f>
        <v>9</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226</v>
      </c>
      <c r="B42" s="1"/>
      <c r="C42" s="13">
        <f>IF(C$28&lt;&gt;"",VLOOKUP(C40*1000000,'Powell-Elevation-Area'!$B$5:$D$689,3)*$B$18/1000000 + VLOOKUP(C41*1000000,'Mead-Elevation-Area'!$B$5:$D$676,3)*$C$18/1000000,"")</f>
        <v>0.86659952010057295</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35">
      <c r="A43" t="str">
        <f t="shared" ref="A43:A48" si="9">IF(A5="","","    "&amp;A5&amp;" Share")</f>
        <v xml:space="preserve">    Upper Basin Share</v>
      </c>
      <c r="B43" s="1"/>
      <c r="C43" s="13">
        <f t="shared" ref="C43:L48" si="10">IF(OR(C$28="",$A43=""),"",C$42*C33/C$32)</f>
        <v>6.8120272261399509E-2</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f t="shared" si="10"/>
        <v>0.16911566599028346</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f t="shared" si="10"/>
        <v>9.3079207714505986E-3</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f t="shared" si="10"/>
        <v>0</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f t="shared" si="10"/>
        <v>0</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f t="shared" si="10"/>
        <v>0.62005566107743937</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227</v>
      </c>
      <c r="B49" s="54"/>
      <c r="C49" s="33">
        <f>IF(C$28&lt;&gt;"",1.5-0.21/9/2-VLOOKUP(C41,MandatoryConservation!$C$5:$P$13,13),"")</f>
        <v>1.4083333333333332</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35">
      <c r="A50" s="138" t="s">
        <v>252</v>
      </c>
      <c r="B50" s="1"/>
      <c r="C50" s="13">
        <f>IF(C28="","",SUM(C28:C30))</f>
        <v>9</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278</v>
      </c>
      <c r="P50" t="s">
        <v>299</v>
      </c>
    </row>
    <row r="51" spans="1:16" x14ac:dyDescent="0.35">
      <c r="A51" t="str">
        <f t="shared" ref="A51:A56" si="12">IF(A5="","","    To "&amp;A5)</f>
        <v xml:space="preserve">    To Upper Basin</v>
      </c>
      <c r="B51" s="105" t="s">
        <v>309</v>
      </c>
      <c r="C51" s="87">
        <f>IF(OR(C$28="",$A52=""),"",MAX(0,MAX(0,C50-SUM(C52:C57))))</f>
        <v>1.2697518629478708</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35">
      <c r="A52" t="str">
        <f t="shared" si="12"/>
        <v xml:space="preserve">    To Lower Basin</v>
      </c>
      <c r="B52" s="106">
        <f>7.5-IF($A$9="",0,0.95)-IF(C57="",0.6,C57)*IF($A$9="",(7.2/8.7),(7.2-0.95)/8.7)</f>
        <v>6.1189655172413788</v>
      </c>
      <c r="C52" s="87">
        <f>IF(OR(C$28="",$A52=""),"",MAX(0,MIN($B$52,C28-SUM(C53/2,C54/4,C55,C56/2,C57)-MAX(0,MIN($B$25,C28-SUM(C56/2,C54/4,C53/2,1.06))))))</f>
        <v>3.2530468821049587</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35">
      <c r="A53" t="str">
        <f t="shared" si="12"/>
        <v xml:space="preserve">    To Mexico</v>
      </c>
      <c r="B53" s="106" t="s">
        <v>206</v>
      </c>
      <c r="C53" s="88">
        <f>IF(OR(C$28="",$A53=""),"",MIN(C49-C54/2,C$50-SUM(C54:C57))-C57*(1.5/8.7))</f>
        <v>1.2971072796934864</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35">
      <c r="A54" t="str">
        <f t="shared" si="12"/>
        <v xml:space="preserve">    To Colorado River Delta</v>
      </c>
      <c r="B54" s="115">
        <f>0.21/9*(2/3)</f>
        <v>1.5555555555555553E-2</v>
      </c>
      <c r="C54" s="116">
        <f>IF(OR(C$28="",$A54=""),"",MIN($B54,C$50-SUM(C55:C56)))</f>
        <v>1.5555555555555553E-2</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35">
      <c r="A55" t="str">
        <f t="shared" si="12"/>
        <v xml:space="preserve">    To First Nations</v>
      </c>
      <c r="B55" s="106">
        <f>IF($A$9&lt;&gt;"",2.01,"")</f>
        <v>2.0099999999999998</v>
      </c>
      <c r="C55" s="87">
        <f>IF(OR(C$28="",$A55=""),"",MIN($B55,C$50-SUM(C56:C57))-C57*0.95/8.7)</f>
        <v>1.9444827586206894</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35">
      <c r="A56" t="str">
        <f t="shared" si="12"/>
        <v xml:space="preserve">    To Shared, Reserve</v>
      </c>
      <c r="B56" s="106" t="s">
        <v>214</v>
      </c>
      <c r="C56" s="170">
        <f>IF(OR(C$28="",$A56=""),"",IF(C$50&gt;C48,C48,C50))</f>
        <v>0.62005566107743937</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35">
      <c r="A57" t="str">
        <f>IF(A31="","","    To "&amp;A31)</f>
        <v xml:space="preserve">    To Havasu / Parker evaporation and ET</v>
      </c>
      <c r="B57" s="169" t="s">
        <v>310</v>
      </c>
      <c r="C57" s="171">
        <f>IF(OR(C$28="",$A57=""),"",MIN(C31,C50-C56))</f>
        <v>0.6</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35">
      <c r="B58" s="20"/>
      <c r="C58" s="19"/>
      <c r="D58" s="19"/>
      <c r="E58" s="19"/>
      <c r="F58" s="129"/>
      <c r="G58" s="30"/>
      <c r="N58" s="159"/>
    </row>
    <row r="59" spans="1:16" x14ac:dyDescent="0.35">
      <c r="A59" s="112" t="s">
        <v>253</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279</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35">
      <c r="A63" s="21" t="str">
        <f>IF(A62="","","   Net trade volume all participants (should be zero)")</f>
        <v xml:space="preserve">   Net trade volume all participants (should be zero)</v>
      </c>
      <c r="C63" s="48">
        <f t="shared" ref="C63:M63" ca="1" si="20">IF(OR(C$28="",$A63=""),"",C$116)</f>
        <v>0</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282</v>
      </c>
    </row>
    <row r="64" spans="1:16" x14ac:dyDescent="0.35">
      <c r="A64" s="1" t="str">
        <f>IF(A62="","","   Available Water [maf]")</f>
        <v xml:space="preserve">   Available Water [maf]</v>
      </c>
      <c r="C64" s="130">
        <f>IF(OR(C$28="",$A64=""),"",C33+C51-C43+C61)</f>
        <v>2.4750553406864713</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283</v>
      </c>
    </row>
    <row r="65" spans="1:14" x14ac:dyDescent="0.35">
      <c r="A65" s="138" t="str">
        <f>IF(A64="","","   Enter withdraw [maf] within available water")</f>
        <v xml:space="preserve">   Enter withdraw [maf] within available water</v>
      </c>
      <c r="C65" s="183">
        <f>IF(C$28&lt;&gt;"",IF(C64&gt;4.2,4.2,MAX(C64,0)-0.01),"")</f>
        <v>2.4650553406864715</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296</v>
      </c>
    </row>
    <row r="66" spans="1:14" x14ac:dyDescent="0.35">
      <c r="A66" s="21" t="str">
        <f>IF(A65="","","   End of Year Balance [maf]")</f>
        <v xml:space="preserve">   End of Year Balance [maf]</v>
      </c>
      <c r="C66" s="47">
        <f>IF(OR(C$28="",$A66=""),"",C64-C65)</f>
        <v>9.9999999999997868E-3</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284</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279</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35">
      <c r="A71" s="145" t="str">
        <f>IF(A70="","",$A$63)</f>
        <v xml:space="preserve">   Net trade volume all participants (should be zero)</v>
      </c>
      <c r="C71" s="48">
        <f t="shared" ref="C71:M71" ca="1" si="25">IF(OR(C$28="",$A71=""),"",C$116)</f>
        <v>0</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282</v>
      </c>
    </row>
    <row r="72" spans="1:14" x14ac:dyDescent="0.35">
      <c r="A72" s="1" t="str">
        <f>IF(A70="","","   Available Water [maf]")</f>
        <v xml:space="preserve">   Available Water [maf]</v>
      </c>
      <c r="C72" s="13">
        <f>IF(OR(C$28="",$A72=""),"",C34+C52-C44+C69)</f>
        <v>6.2453382161146758</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283</v>
      </c>
    </row>
    <row r="73" spans="1:14" x14ac:dyDescent="0.35">
      <c r="A73" s="138" t="str">
        <f>IF(A72="","",$A$65)</f>
        <v xml:space="preserve">   Enter withdraw [maf] within available water</v>
      </c>
      <c r="C73" s="104">
        <f>IF(C28&lt;&gt;"",MIN(7.5-VLOOKUP(C41,MandatoryConservation!$C$5:$P$13,14),C72)-0.001,"")</f>
        <v>6.2443382161146754</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296</v>
      </c>
    </row>
    <row r="74" spans="1:14" x14ac:dyDescent="0.35">
      <c r="A74" s="21" t="str">
        <f>IF(A73="","","   End of Year Balance [maf]")</f>
        <v xml:space="preserve">   End of Year Balance [maf]</v>
      </c>
      <c r="C74" s="47">
        <f>IF(OR(C$28="",$A74=""),"",C72-C73)</f>
        <v>1.000000000000334E-3</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284</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279</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35">
      <c r="A79" s="145" t="str">
        <f>IF(A78="","",$A$63)</f>
        <v xml:space="preserve">   Net trade volume all participants (should be zero)</v>
      </c>
      <c r="C79" s="48">
        <f t="shared" ref="C79:M79" ca="1" si="28">IF(OR(C$28="",$A79=""),"",C$116)</f>
        <v>0</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282</v>
      </c>
    </row>
    <row r="80" spans="1:14" x14ac:dyDescent="0.35">
      <c r="A80" s="1" t="str">
        <f>IF(A78="","","   Available Water [maf]")</f>
        <v xml:space="preserve">   Available Water [maf]</v>
      </c>
      <c r="C80" s="13">
        <f>IF(OR(C$28="",$A80=""),"",C35+C53-C45+C77)</f>
        <v>1.4617993589220357</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283</v>
      </c>
    </row>
    <row r="81" spans="1:14" x14ac:dyDescent="0.35">
      <c r="A81" s="138" t="str">
        <f>IF(A80="","",$A$65)</f>
        <v xml:space="preserve">   Enter withdraw [maf] within available water</v>
      </c>
      <c r="C81" s="104">
        <f>IF(C28&lt;&gt;"",MIN(C49,C80-0.001),"")</f>
        <v>1.4083333333333332</v>
      </c>
      <c r="D81" s="104" t="str">
        <f t="shared" ref="D81:G81" si="30">IF(D28&lt;&gt;"",MIN(D49,D80-0.001),"")</f>
        <v/>
      </c>
      <c r="E81" s="104" t="str">
        <f t="shared" si="30"/>
        <v/>
      </c>
      <c r="F81" s="104" t="str">
        <f t="shared" si="30"/>
        <v/>
      </c>
      <c r="G81" s="104" t="str">
        <f t="shared" si="30"/>
        <v/>
      </c>
      <c r="H81" s="104"/>
      <c r="I81" s="104"/>
      <c r="J81" s="104"/>
      <c r="K81" s="104"/>
      <c r="L81" s="104"/>
      <c r="N81" s="158" t="s">
        <v>296</v>
      </c>
    </row>
    <row r="82" spans="1:14" x14ac:dyDescent="0.35">
      <c r="A82" s="21" t="str">
        <f>IF(A81="","","   End of Year Balance [maf]")</f>
        <v xml:space="preserve">   End of Year Balance [maf]</v>
      </c>
      <c r="C82" s="47">
        <f>IF(OR(C$28="",$A82=""),"",C80-C81)</f>
        <v>5.3466025588702504E-2</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284</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279</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35">
      <c r="A87" s="145" t="str">
        <f>IF(A86="","",$A$63)</f>
        <v xml:space="preserve">   Net trade volume all participants (should be zero)</v>
      </c>
      <c r="C87" s="48">
        <f t="shared" ref="C87:M87" ca="1" si="32">IF(OR(C$28="",$A87=""),"",C$116)</f>
        <v>0</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282</v>
      </c>
    </row>
    <row r="88" spans="1:14" x14ac:dyDescent="0.35">
      <c r="A88" s="1" t="str">
        <f>IF(A86="","","   Available Water [maf]")</f>
        <v xml:space="preserve">   Available Water [maf]</v>
      </c>
      <c r="C88" s="130">
        <f>IF(OR(C$28="",$A88=""),"",C36+C54-C46+C85)</f>
        <v>1.5555555555555553E-2</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283</v>
      </c>
    </row>
    <row r="89" spans="1:14" x14ac:dyDescent="0.35">
      <c r="A89" s="138" t="str">
        <f>IF(A88="","",$A$65)</f>
        <v xml:space="preserve">   Enter withdraw [maf] within available water</v>
      </c>
      <c r="C89" s="131"/>
      <c r="D89" s="131"/>
      <c r="E89" s="131"/>
      <c r="F89" s="131"/>
      <c r="G89" s="131"/>
      <c r="H89" s="131"/>
      <c r="I89" s="131"/>
      <c r="J89" s="131"/>
      <c r="K89" s="131"/>
      <c r="L89" s="131"/>
      <c r="N89" s="158" t="s">
        <v>296</v>
      </c>
    </row>
    <row r="90" spans="1:14" x14ac:dyDescent="0.35">
      <c r="A90" s="21" t="str">
        <f>IF(A89="","","   End of Year Balance [maf]")</f>
        <v xml:space="preserve">   End of Year Balance [maf]</v>
      </c>
      <c r="C90" s="47">
        <f>IF(OR(C$28="",$A90=""),"",C88-C89)</f>
        <v>1.5555555555555553E-2</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284</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279</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35">
      <c r="A95" s="145" t="str">
        <f>IF(A94="","",$A$63)</f>
        <v xml:space="preserve">   Net trade volume all participants (should be zero)</v>
      </c>
      <c r="C95" s="48">
        <f t="shared" ref="C95:M95" ca="1" si="35">IF(OR(C$28="",$A95=""),"",C$116)</f>
        <v>0</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282</v>
      </c>
    </row>
    <row r="96" spans="1:14" x14ac:dyDescent="0.35">
      <c r="A96" s="1" t="str">
        <f>IF(A94="","","   Available Water [maf]")</f>
        <v xml:space="preserve">   Available Water [maf]</v>
      </c>
      <c r="C96" s="13">
        <f>IF(OR(C$28="",$A96=""),"",C37+C55-C47+C93)</f>
        <v>1.9444827586206894</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283</v>
      </c>
    </row>
    <row r="97" spans="1:14" x14ac:dyDescent="0.35">
      <c r="A97" s="138" t="str">
        <f>IF(A96="","",$A$65)</f>
        <v xml:space="preserve">   Enter withdraw [maf] within available water</v>
      </c>
      <c r="C97" s="104">
        <f>IF(OR(C$28="",$A97=""),"",C96-0.001)</f>
        <v>1.9434827586206895</v>
      </c>
      <c r="D97" s="104" t="str">
        <f t="shared" ref="D97:G97" si="37">IF(OR(D$28="",$A97=""),"",D96-0.001)</f>
        <v/>
      </c>
      <c r="E97" s="104" t="str">
        <f t="shared" si="37"/>
        <v/>
      </c>
      <c r="F97" s="104" t="str">
        <f t="shared" si="37"/>
        <v/>
      </c>
      <c r="G97" s="104" t="str">
        <f t="shared" si="37"/>
        <v/>
      </c>
      <c r="H97" s="104"/>
      <c r="I97" s="104"/>
      <c r="J97" s="104"/>
      <c r="K97" s="104"/>
      <c r="L97" s="104"/>
      <c r="N97" s="158" t="s">
        <v>296</v>
      </c>
    </row>
    <row r="98" spans="1:14" x14ac:dyDescent="0.35">
      <c r="A98" s="21" t="str">
        <f>IF(A97="","","   End of Year Balance [maf]")</f>
        <v xml:space="preserve">   End of Year Balance [maf]</v>
      </c>
      <c r="C98" s="47">
        <f>IF(OR(C$28="",$A98=""),"",C96-C97)</f>
        <v>9.9999999999988987E-4</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284</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f t="shared" ref="C103:M103" ca="1" si="39">IF(OR(C$28="",$A103=""),"",C$116)</f>
        <v>0</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35">
      <c r="A104" s="1" t="str">
        <f>IF(A102="","","   Available Water [maf]")</f>
        <v xml:space="preserve">   Available Water [maf]</v>
      </c>
      <c r="C104" s="13">
        <f>IF(OR(C$28="",$A104=""),"",C38+C56-C48+C101)</f>
        <v>11.59116925</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f>IF(OR(C$28="",$A106=""),"",C104-C105)</f>
        <v>11.59116925</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35">
      <c r="C107"/>
      <c r="N107" s="159"/>
    </row>
    <row r="108" spans="1:14" x14ac:dyDescent="0.35">
      <c r="A108" s="112" t="s">
        <v>390</v>
      </c>
      <c r="B108" s="112"/>
      <c r="C108" s="112"/>
      <c r="D108" s="112"/>
      <c r="E108" s="112"/>
      <c r="F108" s="112"/>
      <c r="G108" s="112"/>
      <c r="H108" s="112"/>
      <c r="I108" s="112"/>
      <c r="J108" s="112"/>
      <c r="K108" s="112"/>
      <c r="L108" s="112"/>
      <c r="M108" s="112"/>
      <c r="N108" s="158" t="s">
        <v>285</v>
      </c>
    </row>
    <row r="109" spans="1:14" x14ac:dyDescent="0.35">
      <c r="A109" s="1" t="s">
        <v>219</v>
      </c>
      <c r="C109"/>
      <c r="M109" t="s">
        <v>114</v>
      </c>
      <c r="N109" s="159"/>
    </row>
    <row r="110" spans="1:14" x14ac:dyDescent="0.35">
      <c r="A110" t="str">
        <f t="shared" ref="A110:A115" si="42">IF(A5="","","    "&amp;A5)</f>
        <v xml:space="preserve">    Upper Basin</v>
      </c>
      <c r="B110" s="1"/>
      <c r="C110" s="48">
        <f t="shared" ref="C110:L115" ca="1" si="43">IF(OR(C$28="",$A110=""),"",OFFSET(C$61,8*(ROW(B110)-ROW(B$110)),0))</f>
        <v>0</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35">
      <c r="A111" t="str">
        <f t="shared" si="42"/>
        <v xml:space="preserve">    Lower Basin</v>
      </c>
      <c r="B111" s="1"/>
      <c r="C111" s="48">
        <f t="shared" ca="1" si="43"/>
        <v>0</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35">
      <c r="A112" t="str">
        <f t="shared" si="42"/>
        <v xml:space="preserve">    Mexico</v>
      </c>
      <c r="B112" s="1"/>
      <c r="C112" s="48">
        <f t="shared" ca="1" si="43"/>
        <v>0</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35">
      <c r="A113" t="str">
        <f t="shared" si="42"/>
        <v xml:space="preserve">    Colorado River Delta</v>
      </c>
      <c r="B113" s="1"/>
      <c r="C113" s="48">
        <f t="shared" ca="1" si="43"/>
        <v>0</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35">
      <c r="A114" t="str">
        <f t="shared" si="42"/>
        <v xml:space="preserve">    First Nations</v>
      </c>
      <c r="B114" s="1"/>
      <c r="C114" s="48">
        <f t="shared" ca="1" si="43"/>
        <v>0</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35">
      <c r="A115" t="str">
        <f t="shared" si="42"/>
        <v xml:space="preserve">    Shared, Reserve</v>
      </c>
      <c r="B115" s="1"/>
      <c r="C115" s="48">
        <f t="shared" ca="1" si="43"/>
        <v>0</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35">
      <c r="A116" t="s">
        <v>93</v>
      </c>
      <c r="B116" s="1"/>
      <c r="C116" s="35">
        <f ca="1">IF(C$28&lt;&gt;"",SUM(C110:C115),"")</f>
        <v>0</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f t="shared" ref="C118:L123" ca="1" si="46">IF(OR(C$28="",$A118=""),"",OFFSET(C$65,8*(ROW(B118)-ROW(B$118)),0))</f>
        <v>2.4650553406864715</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35">
      <c r="A119" t="str">
        <f>IF(A6="","","    "&amp;A6&amp;" - Release from Mead")</f>
        <v xml:space="preserve">    Lower Basin - Release from Mead</v>
      </c>
      <c r="C119" s="48">
        <f t="shared" ca="1" si="46"/>
        <v>6.2443382161146754</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35">
      <c r="A120" t="str">
        <f>IF(A7="","","    "&amp;A7&amp;" - Release from Mead")</f>
        <v xml:space="preserve">    Mexico - Release from Mead</v>
      </c>
      <c r="C120" s="48">
        <f t="shared" ca="1" si="46"/>
        <v>1.4083333333333332</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35">
      <c r="A121" t="str">
        <f>IF(A8="","","    "&amp;A8&amp;" - Release from Mead")</f>
        <v xml:space="preserve">    Colorado River Delta - Release from Mead</v>
      </c>
      <c r="C121" s="48">
        <f t="shared" ca="1" si="46"/>
        <v>0</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35">
      <c r="A122" t="str">
        <f>IF(A9="","","    "&amp;A9&amp;" - Release from Mead")</f>
        <v xml:space="preserve">    First Nations - Release from Mead</v>
      </c>
      <c r="C122" s="48">
        <f t="shared" ca="1" si="46"/>
        <v>1.9434827586206895</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35">
      <c r="A123" t="str">
        <f>IF(A10="","","    "&amp;A10&amp;" - Release from Mead")</f>
        <v xml:space="preserve">    Shared, Reserve - Release from Mead</v>
      </c>
      <c r="C123" s="48">
        <f t="shared" ca="1" si="46"/>
        <v>0</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47">IF(A5="","","    "&amp;A5)</f>
        <v xml:space="preserve">    Upper Basin</v>
      </c>
      <c r="C125" s="48">
        <f t="shared" ref="C125:L130" ca="1" si="48">IF(OR(C$28="",$A125=""),"",OFFSET(C$66,8*(ROW(B125)-ROW(B$125)),0))</f>
        <v>9.9999999999997868E-3</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35">
      <c r="A126" t="str">
        <f t="shared" si="47"/>
        <v xml:space="preserve">    Lower Basin</v>
      </c>
      <c r="C126" s="48">
        <f t="shared" ca="1" si="48"/>
        <v>1.000000000000334E-3</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35">
      <c r="A127" t="str">
        <f t="shared" si="47"/>
        <v xml:space="preserve">    Mexico</v>
      </c>
      <c r="C127" s="48">
        <f t="shared" ca="1" si="48"/>
        <v>5.3466025588702504E-2</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35">
      <c r="A128" t="str">
        <f t="shared" si="47"/>
        <v xml:space="preserve">    Colorado River Delta</v>
      </c>
      <c r="C128" s="48">
        <f t="shared" ca="1" si="48"/>
        <v>1.5555555555555553E-2</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35">
      <c r="A129" t="str">
        <f t="shared" si="47"/>
        <v xml:space="preserve">    First Nations</v>
      </c>
      <c r="C129" s="48">
        <f t="shared" ca="1" si="48"/>
        <v>9.9999999999988987E-4</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35">
      <c r="A130" t="str">
        <f t="shared" si="47"/>
        <v xml:space="preserve">    Shared, Reserve</v>
      </c>
      <c r="C130" s="48">
        <f t="shared" ca="1" si="48"/>
        <v>11.59116925</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35">
      <c r="A131" s="1" t="s">
        <v>221</v>
      </c>
      <c r="B131" s="1"/>
      <c r="C131" s="13">
        <f ca="1">IF(C$28&lt;&gt;"",SUM(C125:C130),"")</f>
        <v>11.672190831144258</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286</v>
      </c>
    </row>
    <row r="132" spans="1:14" ht="29.5" customHeight="1" x14ac:dyDescent="0.35">
      <c r="A132" s="260" t="s">
        <v>259</v>
      </c>
      <c r="B132" s="261"/>
      <c r="C132" s="140">
        <v>0.5</v>
      </c>
      <c r="D132" s="140">
        <v>0.5</v>
      </c>
      <c r="E132" s="140">
        <v>0.5</v>
      </c>
      <c r="F132" s="140"/>
      <c r="G132" s="140"/>
      <c r="H132" s="140"/>
      <c r="I132" s="140"/>
      <c r="J132" s="140"/>
      <c r="K132" s="140"/>
      <c r="L132" s="140"/>
      <c r="N132" s="155" t="s">
        <v>287</v>
      </c>
    </row>
    <row r="133" spans="1:14" x14ac:dyDescent="0.35">
      <c r="A133" s="1" t="s">
        <v>229</v>
      </c>
      <c r="B133" s="1"/>
      <c r="C133" s="13">
        <f ca="1">IF(C28="","",C$132*C$131)</f>
        <v>5.836095415572129</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298</v>
      </c>
    </row>
    <row r="134" spans="1:14" x14ac:dyDescent="0.35">
      <c r="A134" s="1" t="s">
        <v>230</v>
      </c>
      <c r="B134" s="1"/>
      <c r="C134" s="13">
        <f ca="1">IF(C29="","",(1-C$132)*C$131)</f>
        <v>5.836095415572129</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298</v>
      </c>
    </row>
    <row r="135" spans="1:14" x14ac:dyDescent="0.35">
      <c r="A135" s="21" t="s">
        <v>162</v>
      </c>
      <c r="B135" s="1"/>
      <c r="C135" s="63">
        <f ca="1">IF(C$28&lt;&gt;"",VLOOKUP(C133*1000000,'Powell-Elevation-Area'!$B$5:$H$689,7),"")</f>
        <v>3523.5</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35">
      <c r="A136" s="21" t="s">
        <v>163</v>
      </c>
      <c r="B136" s="1"/>
      <c r="C136" s="63">
        <f ca="1">IF(C$28&lt;&gt;"",VLOOKUP(C134*1000000,'Mead-Elevation-Area'!$B$5:$H$689,7),"")</f>
        <v>1022.5</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35">
      <c r="A137" s="1" t="s">
        <v>231</v>
      </c>
      <c r="B137" s="1"/>
      <c r="N137" s="158" t="s">
        <v>288</v>
      </c>
    </row>
    <row r="138" spans="1:14" x14ac:dyDescent="0.35">
      <c r="A138" s="21" t="s">
        <v>232</v>
      </c>
      <c r="B138" s="1"/>
      <c r="C138" s="13">
        <f ca="1">IF(C$28&lt;&gt;"",-C133+C40+C28-C65-VLOOKUP(C40*1000000,'Powell-Elevation-Area'!$B$5:$D$689,3)*$B$18/1000000,"")</f>
        <v>6.5024457236408271</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35">
      <c r="A139" s="21" t="s">
        <v>222</v>
      </c>
      <c r="B139" s="1"/>
      <c r="C139" s="63" t="str">
        <f ca="1">IF(C$28&lt;&gt;"",VLOOKUP(C135,PowellReleaseTemperature!$A$5:$B$11,2),"")</f>
        <v>&gt; 18</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5" customHeight="1" x14ac:dyDescent="0.35">
      <c r="A140" s="94" t="s">
        <v>223</v>
      </c>
      <c r="B140" s="64"/>
      <c r="C140" s="93" t="str">
        <f ca="1">IF(C$28&lt;&gt;"",VLOOKUP(C$135,PowellReleaseTemperature!$A$5:$E$11,5),"")</f>
        <v>Highly uncertain</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5" customHeight="1" x14ac:dyDescent="0.35">
      <c r="A141" s="94" t="s">
        <v>191</v>
      </c>
      <c r="B141" s="64"/>
      <c r="C141" s="93" t="str">
        <f ca="1">IF(C$28&lt;&gt;"",VLOOKUP(C$135,PowellReleaseTemperature!$A$5:$F$11,6),"")</f>
        <v>Unsuitable</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35">
      <c r="A142" s="151" t="s">
        <v>260</v>
      </c>
      <c r="C142" s="19"/>
      <c r="N142" s="158" t="s">
        <v>293</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A9EA-A56D-490F-9EB4-DA6EE7A725C9}">
  <dimension ref="A1:P58"/>
  <sheetViews>
    <sheetView tabSelected="1" topLeftCell="D38" zoomScale="150" zoomScaleNormal="150" workbookViewId="0">
      <selection activeCell="M39" sqref="M39"/>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376</v>
      </c>
      <c r="B2" s="1"/>
    </row>
    <row r="3" spans="1:14" ht="32.15" customHeight="1" x14ac:dyDescent="0.35">
      <c r="A3" s="263" t="s">
        <v>369</v>
      </c>
      <c r="B3" s="263"/>
      <c r="C3" s="263"/>
      <c r="D3" s="263"/>
      <c r="E3" s="263"/>
      <c r="F3" s="263"/>
      <c r="G3" s="263"/>
      <c r="H3" s="180"/>
      <c r="I3" s="180"/>
      <c r="J3" s="180"/>
      <c r="K3" s="180"/>
      <c r="N3" s="153" t="s">
        <v>297</v>
      </c>
    </row>
    <row r="4" spans="1:14" x14ac:dyDescent="0.35">
      <c r="A4" s="141" t="s">
        <v>236</v>
      </c>
      <c r="B4" s="141" t="s">
        <v>31</v>
      </c>
      <c r="C4" s="264" t="s">
        <v>32</v>
      </c>
      <c r="D4" s="265"/>
      <c r="E4" s="265"/>
      <c r="F4" s="265"/>
      <c r="G4" s="266"/>
      <c r="N4" s="155" t="s">
        <v>261</v>
      </c>
    </row>
    <row r="5" spans="1:14" x14ac:dyDescent="0.35">
      <c r="A5" s="205" t="s">
        <v>28</v>
      </c>
      <c r="B5" s="181"/>
      <c r="C5" s="267"/>
      <c r="D5" s="262"/>
      <c r="E5" s="262"/>
      <c r="F5" s="262"/>
      <c r="G5" s="262"/>
      <c r="N5" s="159"/>
    </row>
    <row r="6" spans="1:14" x14ac:dyDescent="0.35">
      <c r="A6" s="205" t="s">
        <v>29</v>
      </c>
      <c r="B6" s="181"/>
      <c r="C6" s="267"/>
      <c r="D6" s="262"/>
      <c r="E6" s="262"/>
      <c r="F6" s="262"/>
      <c r="G6" s="262"/>
      <c r="N6" s="159"/>
    </row>
    <row r="7" spans="1:14" x14ac:dyDescent="0.35">
      <c r="A7" s="205" t="s">
        <v>30</v>
      </c>
      <c r="B7" s="181"/>
      <c r="C7" s="267"/>
      <c r="D7" s="262"/>
      <c r="E7" s="262"/>
      <c r="F7" s="262"/>
      <c r="G7" s="262"/>
      <c r="N7" s="159"/>
    </row>
    <row r="8" spans="1:14" x14ac:dyDescent="0.35">
      <c r="A8" s="181" t="s">
        <v>94</v>
      </c>
      <c r="B8" s="205"/>
      <c r="C8" s="262"/>
      <c r="D8" s="262"/>
      <c r="E8" s="262"/>
      <c r="F8" s="262"/>
      <c r="G8" s="262"/>
      <c r="N8" s="159"/>
    </row>
    <row r="9" spans="1:14" x14ac:dyDescent="0.35">
      <c r="A9" s="181" t="s">
        <v>335</v>
      </c>
      <c r="B9" s="205"/>
      <c r="C9" s="268"/>
      <c r="D9" s="268"/>
      <c r="E9" s="268"/>
      <c r="F9" s="268"/>
      <c r="G9" s="268"/>
      <c r="N9" s="159"/>
    </row>
    <row r="10" spans="1:14" x14ac:dyDescent="0.35">
      <c r="A10" s="182" t="s">
        <v>97</v>
      </c>
      <c r="B10" s="182"/>
      <c r="C10" s="269"/>
      <c r="D10" s="269"/>
      <c r="E10" s="269"/>
      <c r="F10" s="269"/>
      <c r="G10" s="269"/>
      <c r="N10" s="159"/>
    </row>
    <row r="11" spans="1:14" x14ac:dyDescent="0.35">
      <c r="A11" s="14"/>
      <c r="B11" s="2"/>
      <c r="C11"/>
      <c r="N11" s="159"/>
    </row>
    <row r="12" spans="1:14" x14ac:dyDescent="0.35">
      <c r="A12" s="16" t="s">
        <v>237</v>
      </c>
      <c r="B12" s="270" t="s">
        <v>239</v>
      </c>
      <c r="C12" s="271"/>
      <c r="D12" s="272"/>
      <c r="N12" s="158" t="s">
        <v>262</v>
      </c>
    </row>
    <row r="13" spans="1:14" x14ac:dyDescent="0.35">
      <c r="B13" s="273" t="s">
        <v>240</v>
      </c>
      <c r="C13" s="274"/>
      <c r="D13" s="275"/>
      <c r="N13" s="159"/>
    </row>
    <row r="14" spans="1:14" x14ac:dyDescent="0.35">
      <c r="B14" s="254" t="s">
        <v>241</v>
      </c>
      <c r="C14" s="255"/>
      <c r="D14" s="256"/>
      <c r="N14" s="159"/>
    </row>
    <row r="15" spans="1:14" x14ac:dyDescent="0.35">
      <c r="B15" s="257" t="s">
        <v>33</v>
      </c>
      <c r="C15" s="258"/>
      <c r="D15" s="259"/>
      <c r="N15" s="159"/>
    </row>
    <row r="16" spans="1:14" x14ac:dyDescent="0.35">
      <c r="N16" s="159"/>
    </row>
    <row r="17" spans="1:14" x14ac:dyDescent="0.35">
      <c r="A17" s="1" t="s">
        <v>238</v>
      </c>
      <c r="B17" s="1" t="s">
        <v>81</v>
      </c>
      <c r="C17" s="12" t="s">
        <v>82</v>
      </c>
      <c r="N17" s="158" t="s">
        <v>263</v>
      </c>
    </row>
    <row r="18" spans="1:14" x14ac:dyDescent="0.35">
      <c r="A18" t="s">
        <v>80</v>
      </c>
      <c r="B18" s="122">
        <v>5.73</v>
      </c>
      <c r="C18" s="122">
        <v>6</v>
      </c>
      <c r="D18" s="17"/>
      <c r="N18" s="158" t="s">
        <v>265</v>
      </c>
    </row>
    <row r="19" spans="1:14" x14ac:dyDescent="0.35">
      <c r="A19" t="s">
        <v>258</v>
      </c>
      <c r="B19" s="122">
        <v>7.2</v>
      </c>
      <c r="C19" s="122">
        <v>9</v>
      </c>
      <c r="D19" s="143" t="s">
        <v>244</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78.1</f>
        <v>78.099999999999994</v>
      </c>
      <c r="C22"/>
      <c r="D22" s="123"/>
      <c r="E22" s="30"/>
      <c r="N22" s="158" t="s">
        <v>267</v>
      </c>
    </row>
    <row r="23" spans="1:14" x14ac:dyDescent="0.35">
      <c r="A23" t="s">
        <v>251</v>
      </c>
      <c r="B23" s="144">
        <v>0.17</v>
      </c>
      <c r="C23"/>
      <c r="D23" s="123"/>
      <c r="E23" s="30"/>
      <c r="N23" s="158" t="s">
        <v>269</v>
      </c>
    </row>
    <row r="24" spans="1:14" x14ac:dyDescent="0.35">
      <c r="A24" t="s">
        <v>249</v>
      </c>
      <c r="B24" s="122">
        <f>10*(7.5+1.5/2)-B22-B23</f>
        <v>4.2300000000000058</v>
      </c>
      <c r="C24"/>
      <c r="D24" s="123"/>
      <c r="E24" s="30"/>
      <c r="N24" s="158" t="s">
        <v>270</v>
      </c>
    </row>
    <row r="25" spans="1:14" x14ac:dyDescent="0.35">
      <c r="A25" t="s">
        <v>308</v>
      </c>
      <c r="B25" s="122">
        <f>2.3 - IF(A9&lt;&gt;"",1.06,0)</f>
        <v>1.2399999999999998</v>
      </c>
      <c r="C25"/>
      <c r="D25" s="123"/>
      <c r="E25" s="30"/>
      <c r="N25" s="178" t="s">
        <v>315</v>
      </c>
    </row>
    <row r="26" spans="1:14" x14ac:dyDescent="0.35">
      <c r="B26" s="30"/>
      <c r="N26" s="159"/>
    </row>
    <row r="27" spans="1:14" s="1" customFormat="1" hidden="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v>0</v>
      </c>
      <c r="D28" s="108">
        <v>0</v>
      </c>
      <c r="E28" s="108">
        <v>0.2</v>
      </c>
      <c r="F28" s="108">
        <v>2.1</v>
      </c>
      <c r="G28" s="108">
        <v>3.5</v>
      </c>
      <c r="H28" s="108">
        <v>6</v>
      </c>
      <c r="I28" s="108">
        <v>8</v>
      </c>
      <c r="J28" s="108">
        <v>11.26</v>
      </c>
      <c r="K28" s="108">
        <v>12.5</v>
      </c>
      <c r="L28" s="108">
        <v>16</v>
      </c>
      <c r="N28" s="155" t="s">
        <v>271</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272</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273</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274</v>
      </c>
    </row>
    <row r="32" spans="1:14" x14ac:dyDescent="0.35">
      <c r="A32" s="1" t="s">
        <v>371</v>
      </c>
      <c r="C32"/>
      <c r="N32" s="158" t="s">
        <v>295</v>
      </c>
    </row>
    <row r="33" spans="1:16" x14ac:dyDescent="0.35">
      <c r="A33" t="s">
        <v>83</v>
      </c>
      <c r="C33" s="13">
        <f>IF(C$28&lt;&gt;"",IF(COLUMN(C27)=COLUMN($C27),$B$19,#REF!),"")</f>
        <v>7.2</v>
      </c>
      <c r="D33" s="13">
        <f>C33</f>
        <v>7.2</v>
      </c>
      <c r="E33" s="13">
        <f t="shared" ref="E33:G33" si="3">D33</f>
        <v>7.2</v>
      </c>
      <c r="F33" s="13">
        <f t="shared" si="3"/>
        <v>7.2</v>
      </c>
      <c r="G33" s="13">
        <f t="shared" si="3"/>
        <v>7.2</v>
      </c>
      <c r="H33" s="13">
        <f t="shared" ref="H33:L33" si="4">G33</f>
        <v>7.2</v>
      </c>
      <c r="I33" s="13">
        <f t="shared" si="4"/>
        <v>7.2</v>
      </c>
      <c r="J33" s="13">
        <f t="shared" si="4"/>
        <v>7.2</v>
      </c>
      <c r="K33" s="13">
        <f t="shared" si="4"/>
        <v>7.2</v>
      </c>
      <c r="L33" s="13">
        <f t="shared" si="4"/>
        <v>7.2</v>
      </c>
      <c r="N33" s="159"/>
    </row>
    <row r="34" spans="1:16" x14ac:dyDescent="0.35">
      <c r="A34" t="s">
        <v>84</v>
      </c>
      <c r="C34" s="13">
        <f>IF(C$28&lt;&gt;"",IF(COLUMN(C28)=COLUMN($C28),$C$19,#REF!),"")</f>
        <v>9</v>
      </c>
      <c r="D34" s="13">
        <f>C34</f>
        <v>9</v>
      </c>
      <c r="E34" s="13">
        <f t="shared" ref="E34:G35" si="5">D34</f>
        <v>9</v>
      </c>
      <c r="F34" s="13">
        <f t="shared" si="5"/>
        <v>9</v>
      </c>
      <c r="G34" s="13">
        <f t="shared" si="5"/>
        <v>9</v>
      </c>
      <c r="H34" s="13">
        <f t="shared" ref="H34:L34" si="6">G34</f>
        <v>9</v>
      </c>
      <c r="I34" s="13">
        <f t="shared" si="6"/>
        <v>9</v>
      </c>
      <c r="J34" s="13">
        <f t="shared" si="6"/>
        <v>9</v>
      </c>
      <c r="K34" s="13">
        <f t="shared" si="6"/>
        <v>9</v>
      </c>
      <c r="L34" s="13">
        <f t="shared" si="6"/>
        <v>9</v>
      </c>
      <c r="N34" s="159"/>
    </row>
    <row r="35" spans="1:16" x14ac:dyDescent="0.35">
      <c r="A35" s="1" t="s">
        <v>372</v>
      </c>
      <c r="B35" s="53"/>
      <c r="C35" s="13">
        <f>SUM(B21:C21)</f>
        <v>11.59116925</v>
      </c>
      <c r="D35" s="13">
        <f>C35</f>
        <v>11.59116925</v>
      </c>
      <c r="E35" s="13">
        <f t="shared" si="5"/>
        <v>11.59116925</v>
      </c>
      <c r="F35" s="13">
        <f t="shared" si="5"/>
        <v>11.59116925</v>
      </c>
      <c r="G35" s="13">
        <f t="shared" si="5"/>
        <v>11.59116925</v>
      </c>
      <c r="H35" s="13">
        <f t="shared" ref="H35:L35" si="7">G35</f>
        <v>11.59116925</v>
      </c>
      <c r="I35" s="13">
        <f t="shared" si="7"/>
        <v>11.59116925</v>
      </c>
      <c r="J35" s="13">
        <f t="shared" si="7"/>
        <v>11.59116925</v>
      </c>
      <c r="K35" s="13">
        <f t="shared" si="7"/>
        <v>11.59116925</v>
      </c>
      <c r="L35" s="13">
        <f t="shared" si="7"/>
        <v>11.59116925</v>
      </c>
      <c r="N35" s="159"/>
    </row>
    <row r="36" spans="1:16" x14ac:dyDescent="0.35">
      <c r="A36" s="1" t="s">
        <v>226</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276</v>
      </c>
    </row>
    <row r="37" spans="1:16" x14ac:dyDescent="0.35">
      <c r="A37" t="str">
        <f>IF(A10="","","    "&amp;A10&amp;" Share")</f>
        <v xml:space="preserve">    Shared, Reserve Share</v>
      </c>
      <c r="B37" s="1"/>
      <c r="C37" s="13">
        <f>IF(OR(C$28="",$A37=""),"",C$36*C35/SUM(C33:C34))</f>
        <v>0.62005566107743937</v>
      </c>
      <c r="D37" s="13">
        <f t="shared" ref="D37:E37" si="8">IF(OR(D$28="",$A37=""),"",D$36*D35/SUM(D33:D34))</f>
        <v>0.62005566107743937</v>
      </c>
      <c r="E37" s="13">
        <f t="shared" si="8"/>
        <v>0.62005566107743937</v>
      </c>
      <c r="F37" s="13">
        <f t="shared" ref="F37:G37" si="9">IF(OR(F$28="",$A37=""),"",F$36*F35/SUM(F33:F34))</f>
        <v>0.62005566107743937</v>
      </c>
      <c r="G37" s="13">
        <f t="shared" si="9"/>
        <v>0.62005566107743937</v>
      </c>
      <c r="H37" s="13">
        <f t="shared" ref="H37:L37" si="10">IF(OR(H$28="",$A37=""),"",H$36*H35/SUM(H33:H34))</f>
        <v>0.62005566107743937</v>
      </c>
      <c r="I37" s="13">
        <f t="shared" si="10"/>
        <v>0.62005566107743937</v>
      </c>
      <c r="J37" s="13">
        <f t="shared" si="10"/>
        <v>0.62005566107743937</v>
      </c>
      <c r="K37" s="13">
        <f t="shared" si="10"/>
        <v>0.62005566107743937</v>
      </c>
      <c r="L37" s="13">
        <f t="shared" si="10"/>
        <v>0.62005566107743937</v>
      </c>
      <c r="N37" s="159"/>
    </row>
    <row r="38" spans="1:16" x14ac:dyDescent="0.35">
      <c r="A38" s="1" t="s">
        <v>227</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8</v>
      </c>
      <c r="N38" s="158" t="s">
        <v>277</v>
      </c>
    </row>
    <row r="39" spans="1:16" x14ac:dyDescent="0.35">
      <c r="A39" s="138" t="s">
        <v>252</v>
      </c>
      <c r="B39" s="1"/>
      <c r="C39" s="13">
        <f t="shared" ref="C39:L39" si="11">IF(C28="","",SUM(C28:C30))</f>
        <v>0</v>
      </c>
      <c r="D39" s="13">
        <f t="shared" si="11"/>
        <v>0.6</v>
      </c>
      <c r="E39" s="13">
        <f t="shared" si="11"/>
        <v>1.2</v>
      </c>
      <c r="F39" s="13">
        <f t="shared" si="11"/>
        <v>3.1000000000000005</v>
      </c>
      <c r="G39" s="13">
        <f t="shared" si="11"/>
        <v>4.5</v>
      </c>
      <c r="H39" s="13">
        <f t="shared" si="11"/>
        <v>7</v>
      </c>
      <c r="I39" s="13">
        <f t="shared" si="11"/>
        <v>9</v>
      </c>
      <c r="J39" s="13">
        <f t="shared" si="11"/>
        <v>12.26</v>
      </c>
      <c r="K39" s="13">
        <f t="shared" si="11"/>
        <v>13.5</v>
      </c>
      <c r="L39" s="13">
        <f t="shared" si="11"/>
        <v>17</v>
      </c>
      <c r="M39" s="30">
        <f>Master!C50</f>
        <v>9</v>
      </c>
      <c r="N39" s="156" t="s">
        <v>278</v>
      </c>
    </row>
    <row r="40" spans="1:16" x14ac:dyDescent="0.35">
      <c r="A40" t="str">
        <f t="shared" ref="A40:A45" si="12">IF(A5="","","    To "&amp;A5)</f>
        <v xml:space="preserve">    To Upper Basin</v>
      </c>
      <c r="B40" s="105" t="s">
        <v>309</v>
      </c>
      <c r="C40" s="87">
        <f>IF(OR(C$28="",$A41=""),"",MAX(0,C39-SUM(C41:C46)))</f>
        <v>0</v>
      </c>
      <c r="D40" s="87">
        <f t="shared" ref="D40:L40" si="13">IF(OR(D$28="",$A41=""),"",MAX(0,D39-SUM(D41:D46)))</f>
        <v>0</v>
      </c>
      <c r="E40" s="87">
        <f t="shared" si="13"/>
        <v>0</v>
      </c>
      <c r="F40" s="87">
        <f t="shared" si="13"/>
        <v>0</v>
      </c>
      <c r="G40" s="87">
        <f t="shared" si="13"/>
        <v>7.5104836375254891E-3</v>
      </c>
      <c r="H40" s="87">
        <f t="shared" si="13"/>
        <v>1.2399999999999993</v>
      </c>
      <c r="I40" s="87">
        <f t="shared" si="13"/>
        <v>1.2399999999999993</v>
      </c>
      <c r="J40" s="87">
        <f t="shared" si="13"/>
        <v>1.6638332278114518</v>
      </c>
      <c r="K40" s="87">
        <f t="shared" si="13"/>
        <v>2.903833227811452</v>
      </c>
      <c r="L40" s="87">
        <f t="shared" si="13"/>
        <v>6.403833227811452</v>
      </c>
      <c r="M40" s="129">
        <f>Master!C51</f>
        <v>1.2399999999999993</v>
      </c>
      <c r="N40" s="160"/>
      <c r="P40" s="87"/>
    </row>
    <row r="41" spans="1:16" x14ac:dyDescent="0.35">
      <c r="A41" t="str">
        <f t="shared" si="12"/>
        <v xml:space="preserve">    To Lower Basin</v>
      </c>
      <c r="B41" s="106">
        <f>7.5-IF($A$9="",0,0.95)-IF(C31="",0.6,C31)*IF($A$9="",(7.2/8.7),(7.2-0.95)/8.7)-B43/2</f>
        <v>6.1111877394636007</v>
      </c>
      <c r="C41" s="87">
        <f>IF(OR(C$28="",$A41=""),"",IF(C39&lt;=SUM(C42:C46),0,IF(C39&lt;=SUM(C42:C46)+2*$B$25,(C39-SUM(C42:C46))/2,IF(C39&lt;=SUM(C42:C46)+2*$B$25+$B$41-$B$25,C39-SUM(C42:C46)-$B$25,$B$41))))</f>
        <v>0</v>
      </c>
      <c r="D41" s="87">
        <f t="shared" ref="D41:L41" si="14">IF(OR(D$28="",$A41=""),"",IF(D39&lt;=SUM(D42:D46),0,IF(D39&lt;=SUM(D42:D46)+2*$B$25,(D39-SUM(D42:D46))/2,IF(D39&lt;=SUM(D42:D46)+2*$B$25+$B$41-$B$25,D39-SUM(D42:D46)-$B$25,$B$41))))</f>
        <v>0</v>
      </c>
      <c r="E41" s="87">
        <f t="shared" si="14"/>
        <v>0</v>
      </c>
      <c r="F41" s="87">
        <f t="shared" si="14"/>
        <v>0</v>
      </c>
      <c r="G41" s="87">
        <f t="shared" si="14"/>
        <v>7.5104836375259332E-3</v>
      </c>
      <c r="H41" s="87">
        <f t="shared" si="14"/>
        <v>1.2750209672750521</v>
      </c>
      <c r="I41" s="88">
        <f t="shared" si="14"/>
        <v>3.2750209672750521</v>
      </c>
      <c r="J41" s="88">
        <f t="shared" si="14"/>
        <v>6.1111877394636007</v>
      </c>
      <c r="K41" s="88">
        <f t="shared" si="14"/>
        <v>6.1111877394636007</v>
      </c>
      <c r="L41" s="88">
        <f t="shared" si="14"/>
        <v>6.1111877394636007</v>
      </c>
      <c r="M41" s="129">
        <f>Master!C52</f>
        <v>3.2750209672750521</v>
      </c>
      <c r="N41" s="160"/>
      <c r="P41" s="87"/>
    </row>
    <row r="42" spans="1:16" x14ac:dyDescent="0.35">
      <c r="A42" t="str">
        <f t="shared" si="12"/>
        <v xml:space="preserve">    To Mexico</v>
      </c>
      <c r="B42" s="106">
        <f>C38-C31*(1.5/8.7)</f>
        <v>1.2014367816091953</v>
      </c>
      <c r="C42" s="88">
        <f>IF(OR(C$28="",$A42=""),"",MIN(C38,C$39-SUM(C43:C46)))</f>
        <v>0</v>
      </c>
      <c r="D42" s="88">
        <f t="shared" ref="D42:G42" si="15">IF(OR(D$28="",$A42=""),"",MIN(D38,D$39-SUM(D43:D46)))</f>
        <v>0</v>
      </c>
      <c r="E42" s="88">
        <f t="shared" si="15"/>
        <v>0</v>
      </c>
      <c r="F42" s="88">
        <f t="shared" si="15"/>
        <v>0</v>
      </c>
      <c r="G42" s="88">
        <f t="shared" si="15"/>
        <v>1.3048850574712643</v>
      </c>
      <c r="H42" s="88">
        <f t="shared" ref="H42" si="16">IF(OR(H$28="",$A42=""),"",MIN(H38,H$39-SUM(H43:H46)))</f>
        <v>1.3048850574712643</v>
      </c>
      <c r="I42" s="88">
        <f t="shared" ref="I42" si="17">IF(OR(I$28="",$A42=""),"",MIN(I38,I$39-SUM(I43:I46)))</f>
        <v>1.3048850574712643</v>
      </c>
      <c r="J42" s="88">
        <f t="shared" ref="J42:K42" si="18">IF(OR(J$28="",$A42=""),"",MIN(J38,J$39-SUM(J43:J46)))</f>
        <v>1.3048850574712643</v>
      </c>
      <c r="K42" s="88">
        <f t="shared" si="18"/>
        <v>1.3048850574712643</v>
      </c>
      <c r="L42" s="88">
        <f t="shared" ref="L42" si="19">IF(OR(L$28="",$A42=""),"",MIN(L38,L$39-SUM(L43:L46)))</f>
        <v>1.3048850574712643</v>
      </c>
      <c r="M42" s="30">
        <f>Master!C53</f>
        <v>1.3048850574712643</v>
      </c>
      <c r="N42" s="160"/>
    </row>
    <row r="43" spans="1:16" x14ac:dyDescent="0.35">
      <c r="A43" t="str">
        <f t="shared" si="12"/>
        <v xml:space="preserve">    To Colorado River Delta</v>
      </c>
      <c r="B43" s="115">
        <f>0.21/9*(2/3)</f>
        <v>1.5555555555555553E-2</v>
      </c>
      <c r="C43" s="116">
        <f>IF(OR(C$28="",$A43=""),"",MIN($B43,C$39-SUM(C44:C46)))</f>
        <v>0</v>
      </c>
      <c r="D43" s="116">
        <f t="shared" ref="D43:L43" si="20">IF(OR(D$28="",$A43=""),"",MIN($B43,D$39-SUM(D44:D46)))</f>
        <v>0</v>
      </c>
      <c r="E43" s="116">
        <f t="shared" si="20"/>
        <v>0</v>
      </c>
      <c r="F43" s="116">
        <f t="shared" si="20"/>
        <v>0</v>
      </c>
      <c r="G43" s="116">
        <f t="shared" si="20"/>
        <v>1.5555555555555553E-2</v>
      </c>
      <c r="H43" s="116">
        <f t="shared" si="20"/>
        <v>1.5555555555555553E-2</v>
      </c>
      <c r="I43" s="116">
        <f t="shared" si="20"/>
        <v>1.5555555555555553E-2</v>
      </c>
      <c r="J43" s="116">
        <f t="shared" si="20"/>
        <v>1.5555555555555553E-2</v>
      </c>
      <c r="K43" s="116">
        <f t="shared" si="20"/>
        <v>1.5555555555555553E-2</v>
      </c>
      <c r="L43" s="116">
        <f t="shared" si="20"/>
        <v>1.5555555555555553E-2</v>
      </c>
      <c r="M43" s="212">
        <f>Master!C54</f>
        <v>1.5555555555555553E-2</v>
      </c>
      <c r="N43" s="160"/>
    </row>
    <row r="44" spans="1:16" x14ac:dyDescent="0.35">
      <c r="A44" t="str">
        <f t="shared" si="12"/>
        <v xml:space="preserve">    To First Nations</v>
      </c>
      <c r="B44" s="214">
        <f>IF($A$9&lt;&gt;"",2.01-C31*0.95/8.7,"")</f>
        <v>1.9444827586206894</v>
      </c>
      <c r="C44" s="87">
        <f>IF(OR(C$28="",$A44=""),"",MIN($B44,C$39-SUM(C45:C46)))</f>
        <v>0</v>
      </c>
      <c r="D44" s="87">
        <f t="shared" ref="D44:F44" si="21">IF(OR(D$28="",$A44=""),"",MIN($B44,D$39-SUM(D45:D46)))</f>
        <v>0</v>
      </c>
      <c r="E44" s="87">
        <f>IF(OR(E$28="",$A44=""),"",MIN($B44,E$39-SUM(E45:E46)))</f>
        <v>0</v>
      </c>
      <c r="F44" s="87">
        <f t="shared" si="21"/>
        <v>1.8799443389225612</v>
      </c>
      <c r="G44" s="87">
        <f>IF(OR(G$28="",$A44=""),"",MIN($B44,G$39-SUM(G45:G46)))</f>
        <v>1.9444827586206894</v>
      </c>
      <c r="H44" s="87">
        <f t="shared" ref="H44:L44" si="22">IF(OR(H$28="",$A44=""),"",MIN($B44,H$39-SUM(H45:H46)))</f>
        <v>1.9444827586206894</v>
      </c>
      <c r="I44" s="87">
        <f t="shared" si="22"/>
        <v>1.9444827586206894</v>
      </c>
      <c r="J44" s="87">
        <f t="shared" si="22"/>
        <v>1.9444827586206894</v>
      </c>
      <c r="K44" s="87">
        <f t="shared" si="22"/>
        <v>1.9444827586206894</v>
      </c>
      <c r="L44" s="87">
        <f t="shared" si="22"/>
        <v>1.9444827586206894</v>
      </c>
      <c r="M44" s="30">
        <f>Master!C55</f>
        <v>1.9444827586206894</v>
      </c>
      <c r="N44" s="160"/>
    </row>
    <row r="45" spans="1:16" x14ac:dyDescent="0.35">
      <c r="A45" t="str">
        <f t="shared" si="12"/>
        <v xml:space="preserve">    To Shared, Reserve</v>
      </c>
      <c r="B45" s="106" t="s">
        <v>214</v>
      </c>
      <c r="C45" s="210">
        <f>IF(OR(C$28="",$A45=""),"",IF(C$39&gt;C37,C37,C39))</f>
        <v>0</v>
      </c>
      <c r="D45" s="170">
        <f t="shared" ref="D45:L45" si="23">IF(OR(D$28="",$A45=""),"",IF(D$39&gt;D37,D37,D39))</f>
        <v>0.6</v>
      </c>
      <c r="E45" s="170">
        <f t="shared" si="23"/>
        <v>0.62005566107743937</v>
      </c>
      <c r="F45" s="170">
        <f t="shared" si="23"/>
        <v>0.62005566107743937</v>
      </c>
      <c r="G45" s="170">
        <f t="shared" si="23"/>
        <v>0.62005566107743937</v>
      </c>
      <c r="H45" s="170">
        <f t="shared" si="23"/>
        <v>0.62005566107743937</v>
      </c>
      <c r="I45" s="170">
        <f t="shared" si="23"/>
        <v>0.62005566107743937</v>
      </c>
      <c r="J45" s="170">
        <f t="shared" si="23"/>
        <v>0.62005566107743937</v>
      </c>
      <c r="K45" s="170">
        <f t="shared" si="23"/>
        <v>0.62005566107743937</v>
      </c>
      <c r="L45" s="170">
        <f t="shared" si="23"/>
        <v>0.62005566107743937</v>
      </c>
      <c r="M45" s="30">
        <f>Master!C56</f>
        <v>0.62005566107743937</v>
      </c>
      <c r="N45" s="160"/>
    </row>
    <row r="46" spans="1:16" x14ac:dyDescent="0.35">
      <c r="A46" t="str">
        <f>IF(A31="","","    To "&amp;A31)</f>
        <v xml:space="preserve">    To Havasu / Parker evaporation and ET</v>
      </c>
      <c r="B46" s="169" t="s">
        <v>310</v>
      </c>
      <c r="C46" s="211">
        <f>IF(OR(C$28="",$A46=""),"",MIN(C31,C39-C45))</f>
        <v>0</v>
      </c>
      <c r="D46" s="171">
        <f>IF(OR(D$28="",$A46=""),"",MIN(D31,D39-D45))</f>
        <v>0</v>
      </c>
      <c r="E46" s="171">
        <f t="shared" ref="E46:L46" si="24">IF(OR(E$28="",$A46=""),"",MIN(E31,E39-E45))</f>
        <v>0.57994433892256059</v>
      </c>
      <c r="F46" s="171">
        <f t="shared" si="24"/>
        <v>0.6</v>
      </c>
      <c r="G46" s="171">
        <f t="shared" si="24"/>
        <v>0.6</v>
      </c>
      <c r="H46" s="171">
        <f t="shared" si="24"/>
        <v>0.6</v>
      </c>
      <c r="I46" s="171">
        <f t="shared" si="24"/>
        <v>0.6</v>
      </c>
      <c r="J46" s="171">
        <f t="shared" si="24"/>
        <v>0.6</v>
      </c>
      <c r="K46" s="171">
        <f t="shared" si="24"/>
        <v>0.6</v>
      </c>
      <c r="L46" s="171">
        <f t="shared" si="24"/>
        <v>0.6</v>
      </c>
      <c r="M46" s="30">
        <f>Master!C57</f>
        <v>0.6</v>
      </c>
      <c r="N46" s="160"/>
    </row>
    <row r="47" spans="1:16" x14ac:dyDescent="0.35">
      <c r="B47" s="20"/>
      <c r="C47" s="19"/>
      <c r="D47" s="19"/>
      <c r="E47" s="19"/>
      <c r="F47" s="129"/>
      <c r="G47" s="30"/>
      <c r="N47" s="159"/>
    </row>
    <row r="48" spans="1:16" x14ac:dyDescent="0.35">
      <c r="B48" t="s">
        <v>394</v>
      </c>
      <c r="C48" s="212">
        <f>SUM(C40:C46)</f>
        <v>0</v>
      </c>
      <c r="D48" s="212">
        <f>SUM(D40:D46)</f>
        <v>0.6</v>
      </c>
      <c r="E48" s="212">
        <f t="shared" ref="E48:L48" si="25">SUM(E40:E46)</f>
        <v>1.2</v>
      </c>
      <c r="F48" s="212">
        <f t="shared" si="25"/>
        <v>3.1000000000000005</v>
      </c>
      <c r="G48" s="212">
        <f t="shared" si="25"/>
        <v>4.5</v>
      </c>
      <c r="H48" s="212">
        <f t="shared" si="25"/>
        <v>7</v>
      </c>
      <c r="I48" s="212">
        <f t="shared" si="25"/>
        <v>8.9999999999999982</v>
      </c>
      <c r="J48" s="212">
        <f t="shared" si="25"/>
        <v>12.26</v>
      </c>
      <c r="K48" s="212">
        <f t="shared" si="25"/>
        <v>13.5</v>
      </c>
      <c r="L48" s="212">
        <f t="shared" si="25"/>
        <v>17.000000000000004</v>
      </c>
      <c r="M48" s="30">
        <f>SUM(M40:M46)</f>
        <v>8.9999999999999982</v>
      </c>
    </row>
    <row r="49" spans="1:8" x14ac:dyDescent="0.35">
      <c r="D49" s="15"/>
    </row>
    <row r="50" spans="1:8" x14ac:dyDescent="0.35">
      <c r="B50" s="2"/>
      <c r="H50" s="129">
        <f>SUM(I42:I46)</f>
        <v>4.4849790327249481</v>
      </c>
    </row>
    <row r="53" spans="1:8" x14ac:dyDescent="0.35">
      <c r="A53" t="s">
        <v>395</v>
      </c>
      <c r="B53">
        <v>8.1999999999999993</v>
      </c>
    </row>
    <row r="54" spans="1:8" x14ac:dyDescent="0.35">
      <c r="A54" t="s">
        <v>397</v>
      </c>
      <c r="B54">
        <v>1.2</v>
      </c>
    </row>
    <row r="55" spans="1:8" x14ac:dyDescent="0.35">
      <c r="A55" t="s">
        <v>398</v>
      </c>
      <c r="B55">
        <v>0.95</v>
      </c>
    </row>
    <row r="56" spans="1:8" x14ac:dyDescent="0.35">
      <c r="A56" t="s">
        <v>399</v>
      </c>
      <c r="B56">
        <f>1.5/2</f>
        <v>0.75</v>
      </c>
    </row>
    <row r="57" spans="1:8" x14ac:dyDescent="0.35">
      <c r="A57" t="s">
        <v>400</v>
      </c>
      <c r="B57">
        <f>B53-SUM(B54:B56)</f>
        <v>5.2999999999999989</v>
      </c>
    </row>
    <row r="58" spans="1:8" x14ac:dyDescent="0.35">
      <c r="B58" s="213"/>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3771D7F1-405E-4907-8D68-7D77D1BE6179}"/>
    <hyperlink ref="N12" r:id="rId2" location="1a-explain-cell-types" xr:uid="{9F8B3EAF-8870-4B48-BBC5-38196D8ACCA0}"/>
    <hyperlink ref="N17" r:id="rId3" location="1b-make-assumptions" xr:uid="{6DA58E8E-41CA-434A-970A-D6467DB32F37}"/>
    <hyperlink ref="N18" r:id="rId4" location="i-evaporation-rates" xr:uid="{680111E1-E0AB-4BF4-BF60-9F0F553B1039}"/>
    <hyperlink ref="N19" r:id="rId5" location="ii-start-storage" xr:uid="{2FA7F6B8-E228-4CCD-A66A-B92077D9418F}"/>
    <hyperlink ref="N20" r:id="rId6" location="iii-protection-elevations" xr:uid="{A1486DEA-E2AD-4B6D-997A-DAE5E80BA030}"/>
    <hyperlink ref="N21" r:id="rId7" location="iv-the-protection-volumes" xr:uid="{BDC68759-EDFA-4B6D-8854-F8B97402D007}"/>
    <hyperlink ref="N22" r:id="rId8" location="v-prior-9-year-lake-powell-release" xr:uid="{99F70D19-DA2B-420B-BC97-2ABC997B97E9}"/>
    <hyperlink ref="N23" r:id="rId9" location="vi-prior-9-year-paria-river-flow" xr:uid="{C7FF0331-C3FF-4EAA-9D1A-204F0252FD23}"/>
    <hyperlink ref="N24" r:id="rId10" location="vii-delivery-to-meet-10-year-requirement" xr:uid="{0831661D-8BDF-4229-8149-E3DD01C27507}"/>
    <hyperlink ref="N28" r:id="rId11" location="step-2-specify-natural-inflow-to-lake-powell" xr:uid="{EDC68797-C7E6-4EA4-AFD6-4725457814A3}"/>
    <hyperlink ref="N29" r:id="rId12" location="2a-intervening-grand-canyon-flow" xr:uid="{60B9A195-EBC6-4E70-833A-DFB1082432D6}"/>
    <hyperlink ref="N30" r:id="rId13" location="2b-mead-to-imperial-dam-intervening-flow" xr:uid="{4CFD85EF-7E4A-4655-A9BE-214DC42A475C}"/>
    <hyperlink ref="N31" r:id="rId14" location="2c-havasuparker-evaporation-and-evapotranspiration" xr:uid="{CFA03683-EBA4-4287-BAB0-9253F05A7A26}"/>
    <hyperlink ref="N32" r:id="rId15" location="3a-begin-of-year-reservoir-storage" display="Help begin year storage" xr:uid="{CF9ED0DC-210F-4BEA-8D42-DAB20F021C1E}"/>
    <hyperlink ref="N36" r:id="rId16" location="3b-calculate-powell--mead-evaporation" xr:uid="{5B7E61AA-15CA-4B50-A6C9-08A7924DDFF9}"/>
    <hyperlink ref="N38" r:id="rId17" location="3c-calculate-mexico-water-allocation" xr:uid="{4E213099-B421-4CF9-BA63-C985B83F1BD6}"/>
    <hyperlink ref="N39" r:id="rId18" location="split-combined-natural-inflow-among-parties" xr:uid="{209DF862-1AE5-4744-87E8-6B6881FDB61C}"/>
    <hyperlink ref="N25" r:id="rId19" location="upper-basin-pre-1922-water-rights" xr:uid="{2D89F754-3853-4E36-BC9F-6DBCF44F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9" t="s">
        <v>138</v>
      </c>
      <c r="E3" s="279"/>
      <c r="F3" s="279" t="s">
        <v>139</v>
      </c>
      <c r="G3" s="279"/>
      <c r="H3" s="279"/>
      <c r="I3" s="279" t="s">
        <v>140</v>
      </c>
      <c r="J3" s="279"/>
      <c r="K3" s="279"/>
      <c r="L3" s="148"/>
      <c r="M3" s="279" t="s">
        <v>30</v>
      </c>
      <c r="N3" s="279"/>
      <c r="O3" s="279"/>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254</v>
      </c>
    </row>
    <row r="4" spans="1:9" s="58" customFormat="1" ht="43.5" x14ac:dyDescent="0.35">
      <c r="A4" s="39" t="s">
        <v>166</v>
      </c>
      <c r="B4" s="39" t="s">
        <v>171</v>
      </c>
      <c r="C4" s="39" t="s">
        <v>172</v>
      </c>
      <c r="D4" s="40" t="s">
        <v>167</v>
      </c>
      <c r="E4" s="39" t="s">
        <v>186</v>
      </c>
      <c r="F4" s="39" t="s">
        <v>187</v>
      </c>
      <c r="G4" s="133" t="s">
        <v>218</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2022-05-18T04:51:06Z</dcterms:modified>
</cp:coreProperties>
</file>