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99578365-DC54-4646-BCBC-EB4D2580E8DF}" xr6:coauthVersionLast="36" xr6:coauthVersionMax="36" xr10:uidLastSave="{00000000-0000-0000-0000-000000000000}"/>
  <bookViews>
    <workbookView xWindow="0" yWindow="0" windowWidth="19200" windowHeight="6645" activeTab="2" xr2:uid="{5373AB19-D84C-490D-97DC-C516D358024A}"/>
  </bookViews>
  <sheets>
    <sheet name="ReadMe-Directions" sheetId="6" r:id="rId1"/>
    <sheet name="Versions" sheetId="31" r:id="rId2"/>
    <sheet name="Master" sheetId="47" r:id="rId3"/>
    <sheet name="Master-LawOfRiver" sheetId="57" r:id="rId4"/>
    <sheet name="Master-Plots" sheetId="55" r:id="rId5"/>
    <sheet name="MandatoryConservation" sheetId="41" r:id="rId6"/>
    <sheet name="HydrologicScenarios" sheetId="7" r:id="rId7"/>
    <sheet name="PowellReleaseTemperature" sheetId="43" r:id="rId8"/>
    <sheet name="Powell-Elevation-Area" sheetId="2" r:id="rId9"/>
    <sheet name="Mead-Elevation-Area" sheetId="10" r:id="rId10"/>
    <sheet name="CellType" sheetId="54"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7" i="57" l="1"/>
  <c r="E97" i="57"/>
  <c r="F97" i="57"/>
  <c r="G97" i="57"/>
  <c r="D81" i="57"/>
  <c r="E81" i="57"/>
  <c r="F81" i="57"/>
  <c r="G81" i="57"/>
  <c r="C81" i="57"/>
  <c r="D73" i="57"/>
  <c r="E73" i="57"/>
  <c r="F73" i="57"/>
  <c r="G73" i="57"/>
  <c r="C73" i="57"/>
  <c r="D65" i="57"/>
  <c r="E65" i="57"/>
  <c r="F65" i="57"/>
  <c r="G65" i="57"/>
  <c r="C65" i="57"/>
  <c r="C28" i="57"/>
  <c r="C97" i="57" s="1"/>
  <c r="A6" i="57" l="1"/>
  <c r="A68" i="57" s="1"/>
  <c r="A7" i="57"/>
  <c r="A112" i="57" s="1"/>
  <c r="L112" i="57" s="1"/>
  <c r="A8" i="57"/>
  <c r="A36" i="57" s="1"/>
  <c r="A9" i="57"/>
  <c r="B9" i="57" s="1"/>
  <c r="A5" i="57"/>
  <c r="A43" i="57" s="1"/>
  <c r="J43" i="57" s="1"/>
  <c r="D28" i="57"/>
  <c r="E28" i="57"/>
  <c r="F28" i="57"/>
  <c r="F30" i="57" s="1"/>
  <c r="G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M101" i="57"/>
  <c r="A100" i="57"/>
  <c r="M94" i="57"/>
  <c r="M93" i="57"/>
  <c r="M86" i="57"/>
  <c r="M85" i="57"/>
  <c r="M78" i="57"/>
  <c r="M77" i="57"/>
  <c r="M70" i="57"/>
  <c r="M69" i="57"/>
  <c r="M62" i="57"/>
  <c r="M61" i="57"/>
  <c r="N59" i="57"/>
  <c r="K57" i="57"/>
  <c r="A57" i="57"/>
  <c r="H57" i="57" s="1"/>
  <c r="A56" i="57"/>
  <c r="K56" i="57" s="1"/>
  <c r="B54" i="57"/>
  <c r="L50" i="57"/>
  <c r="K50" i="57"/>
  <c r="J50" i="57"/>
  <c r="I50" i="57"/>
  <c r="H50" i="57"/>
  <c r="L49" i="57"/>
  <c r="K49" i="57"/>
  <c r="J49" i="57"/>
  <c r="I49" i="57"/>
  <c r="H49"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E31" i="57" l="1"/>
  <c r="I123" i="57"/>
  <c r="D31" i="57"/>
  <c r="H130" i="57"/>
  <c r="F29" i="57"/>
  <c r="F134" i="57" s="1"/>
  <c r="A129" i="57"/>
  <c r="J129" i="57" s="1"/>
  <c r="C115" i="57"/>
  <c r="A54" i="57"/>
  <c r="H54" i="57" s="1"/>
  <c r="E30" i="57"/>
  <c r="A33" i="57"/>
  <c r="K33" i="57" s="1"/>
  <c r="A60" i="57"/>
  <c r="A61" i="57" s="1"/>
  <c r="A62" i="57" s="1"/>
  <c r="F115" i="57"/>
  <c r="A122" i="57"/>
  <c r="K122" i="57" s="1"/>
  <c r="A37" i="57"/>
  <c r="H37" i="57" s="1"/>
  <c r="A55" i="57"/>
  <c r="L55" i="57" s="1"/>
  <c r="A92" i="57"/>
  <c r="G115" i="57"/>
  <c r="B55" i="57"/>
  <c r="H115" i="57"/>
  <c r="A47" i="57"/>
  <c r="L47" i="57" s="1"/>
  <c r="H48" i="57"/>
  <c r="I48" i="57"/>
  <c r="L48" i="57"/>
  <c r="I56" i="57"/>
  <c r="A34" i="57"/>
  <c r="I34" i="57" s="1"/>
  <c r="J56" i="57"/>
  <c r="G30" i="57"/>
  <c r="A110" i="57"/>
  <c r="L110" i="57" s="1"/>
  <c r="G31" i="57"/>
  <c r="B34" i="57"/>
  <c r="C34" i="57" s="1"/>
  <c r="F31" i="57"/>
  <c r="A52" i="57"/>
  <c r="J51" i="57" s="1"/>
  <c r="C40" i="57"/>
  <c r="D30" i="57"/>
  <c r="C123" i="57"/>
  <c r="C32" i="57"/>
  <c r="A114" i="57"/>
  <c r="L114" i="57" s="1"/>
  <c r="K36" i="57"/>
  <c r="L36" i="57"/>
  <c r="A76" i="57"/>
  <c r="A119" i="57"/>
  <c r="H119" i="57" s="1"/>
  <c r="A113" i="57"/>
  <c r="F113" i="57" s="1"/>
  <c r="K34" i="57"/>
  <c r="A45" i="57"/>
  <c r="J45" i="57" s="1"/>
  <c r="A126" i="57"/>
  <c r="J126" i="57" s="1"/>
  <c r="A53" i="57"/>
  <c r="H53" i="57" s="1"/>
  <c r="L34" i="57"/>
  <c r="A111" i="57"/>
  <c r="H111" i="57" s="1"/>
  <c r="A35" i="57"/>
  <c r="L35" i="57" s="1"/>
  <c r="A84" i="57"/>
  <c r="A85" i="57" s="1"/>
  <c r="F122" i="57"/>
  <c r="A51" i="57"/>
  <c r="P51" i="57" s="1"/>
  <c r="A118" i="57"/>
  <c r="G118" i="57" s="1"/>
  <c r="A125" i="57"/>
  <c r="J125" i="57" s="1"/>
  <c r="K53" i="57"/>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D29" i="57"/>
  <c r="F50" i="57"/>
  <c r="G29" i="57"/>
  <c r="C41" i="57"/>
  <c r="C49" i="57" s="1"/>
  <c r="C42" i="57"/>
  <c r="F118" i="57"/>
  <c r="G110" i="57"/>
  <c r="F110" i="57"/>
  <c r="J123" i="57"/>
  <c r="B38" i="57"/>
  <c r="B33" i="57"/>
  <c r="C33" i="57" s="1"/>
  <c r="H33" i="57"/>
  <c r="I55" i="57"/>
  <c r="C110" i="57"/>
  <c r="J118" i="57"/>
  <c r="K54" i="57"/>
  <c r="I129" i="57"/>
  <c r="I33" i="57"/>
  <c r="D110" i="57"/>
  <c r="J54" i="57"/>
  <c r="H56" i="57"/>
  <c r="L56" i="57"/>
  <c r="J110" i="57"/>
  <c r="K38" i="57"/>
  <c r="C38" i="57"/>
  <c r="J38" i="57"/>
  <c r="H38" i="57"/>
  <c r="L38" i="57"/>
  <c r="J55" i="57"/>
  <c r="I112" i="57"/>
  <c r="H112" i="57"/>
  <c r="G112" i="57"/>
  <c r="F112" i="57"/>
  <c r="E112" i="57"/>
  <c r="J33" i="57"/>
  <c r="H123" i="57"/>
  <c r="G123" i="57"/>
  <c r="F123" i="57"/>
  <c r="E123" i="57"/>
  <c r="L123" i="57"/>
  <c r="D123" i="57"/>
  <c r="I57" i="57"/>
  <c r="I113" i="57"/>
  <c r="I115" i="57"/>
  <c r="J130" i="57"/>
  <c r="J57" i="57"/>
  <c r="J111" i="57"/>
  <c r="J113" i="57"/>
  <c r="J115" i="57"/>
  <c r="K130" i="57"/>
  <c r="J119" i="57"/>
  <c r="L130" i="57"/>
  <c r="J36" i="57"/>
  <c r="J48" i="57"/>
  <c r="L57" i="57"/>
  <c r="L113" i="57"/>
  <c r="D115" i="57"/>
  <c r="L115" i="57"/>
  <c r="J122" i="57"/>
  <c r="L125" i="57"/>
  <c r="C36" i="57"/>
  <c r="E115" i="57"/>
  <c r="B55" i="47"/>
  <c r="B25" i="47"/>
  <c r="B25" i="57" s="1"/>
  <c r="I54" i="57" l="1"/>
  <c r="A69" i="57"/>
  <c r="A70" i="57" s="1"/>
  <c r="A72" i="57" s="1"/>
  <c r="K128" i="57"/>
  <c r="G55" i="57"/>
  <c r="L54" i="57"/>
  <c r="E110" i="57"/>
  <c r="F55" i="57"/>
  <c r="K119" i="57"/>
  <c r="K111" i="57"/>
  <c r="G111" i="57"/>
  <c r="I119" i="57"/>
  <c r="L33" i="57"/>
  <c r="J34" i="57"/>
  <c r="E111" i="57"/>
  <c r="D111" i="57"/>
  <c r="H34" i="57"/>
  <c r="K47" i="57"/>
  <c r="I122" i="57"/>
  <c r="F129" i="57"/>
  <c r="G129" i="57"/>
  <c r="J47" i="57"/>
  <c r="K55" i="57"/>
  <c r="H129" i="57"/>
  <c r="E122" i="57"/>
  <c r="H47" i="57"/>
  <c r="K129" i="57"/>
  <c r="L129" i="57"/>
  <c r="H122" i="57"/>
  <c r="F47" i="57"/>
  <c r="I47" i="57"/>
  <c r="G47" i="57"/>
  <c r="G122" i="57"/>
  <c r="H110" i="57"/>
  <c r="B37" i="57"/>
  <c r="C37" i="57" s="1"/>
  <c r="C47" i="57" s="1"/>
  <c r="I110" i="57"/>
  <c r="K110" i="57"/>
  <c r="H118" i="57"/>
  <c r="D122" i="57"/>
  <c r="L122" i="57"/>
  <c r="J53" i="57"/>
  <c r="H55" i="57"/>
  <c r="F37" i="57"/>
  <c r="A93" i="57"/>
  <c r="A94" i="57" s="1"/>
  <c r="A96" i="57" s="1"/>
  <c r="L96" i="57" s="1"/>
  <c r="I111" i="57"/>
  <c r="J37" i="57"/>
  <c r="L37" i="57"/>
  <c r="L52" i="57"/>
  <c r="H45" i="57"/>
  <c r="L126" i="57"/>
  <c r="K37" i="57"/>
  <c r="G37" i="57"/>
  <c r="C111" i="57"/>
  <c r="A77" i="57"/>
  <c r="A78" i="57" s="1"/>
  <c r="A80" i="57" s="1"/>
  <c r="P52" i="57"/>
  <c r="H52" i="57"/>
  <c r="I37" i="57"/>
  <c r="A101" i="57"/>
  <c r="A102" i="57" s="1"/>
  <c r="A104" i="57" s="1"/>
  <c r="G119" i="57"/>
  <c r="F111" i="57"/>
  <c r="J52" i="57"/>
  <c r="L111" i="57"/>
  <c r="K114" i="57"/>
  <c r="H44" i="57"/>
  <c r="I125" i="57"/>
  <c r="K51" i="57"/>
  <c r="K127" i="57"/>
  <c r="I120" i="57"/>
  <c r="L51" i="57"/>
  <c r="H51" i="57"/>
  <c r="I52" i="57"/>
  <c r="I35" i="57"/>
  <c r="K52" i="57"/>
  <c r="C113" i="57"/>
  <c r="I53" i="57"/>
  <c r="K113" i="57"/>
  <c r="L53" i="57"/>
  <c r="E113" i="57"/>
  <c r="J44" i="57"/>
  <c r="I51" i="57"/>
  <c r="G113" i="57"/>
  <c r="A86" i="57"/>
  <c r="A88" i="57" s="1"/>
  <c r="G114" i="57"/>
  <c r="H114" i="57"/>
  <c r="I114" i="57"/>
  <c r="C114" i="57"/>
  <c r="F114" i="57"/>
  <c r="J114" i="57"/>
  <c r="D114" i="57"/>
  <c r="E114" i="57"/>
  <c r="E116" i="57" s="1"/>
  <c r="I126" i="57"/>
  <c r="D113" i="57"/>
  <c r="I45" i="57"/>
  <c r="L127" i="57"/>
  <c r="C35" i="57"/>
  <c r="C45" i="57" s="1"/>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D50" i="57"/>
  <c r="C48" i="57"/>
  <c r="F116" i="57"/>
  <c r="G116" i="57"/>
  <c r="G50" i="57"/>
  <c r="G134" i="57"/>
  <c r="G136" i="57" s="1"/>
  <c r="G41" i="57"/>
  <c r="G49" i="57" s="1"/>
  <c r="F136" i="57"/>
  <c r="C44" i="57"/>
  <c r="C46" i="57"/>
  <c r="C43" i="57"/>
  <c r="M112" i="57"/>
  <c r="M115" i="57"/>
  <c r="A63" i="57"/>
  <c r="A64" i="57"/>
  <c r="F50" i="47"/>
  <c r="G50" i="47"/>
  <c r="H50" i="47"/>
  <c r="I50" i="47"/>
  <c r="J50" i="47"/>
  <c r="K50" i="47"/>
  <c r="L50" i="47"/>
  <c r="F51" i="47"/>
  <c r="G51" i="47"/>
  <c r="H51" i="47"/>
  <c r="I51" i="47"/>
  <c r="J51" i="47"/>
  <c r="K51" i="47"/>
  <c r="L51" i="47"/>
  <c r="F52" i="47"/>
  <c r="G52" i="47"/>
  <c r="H52" i="47"/>
  <c r="I52" i="47"/>
  <c r="J52" i="47"/>
  <c r="K52" i="47"/>
  <c r="L52" i="47"/>
  <c r="F53" i="47"/>
  <c r="G53" i="47"/>
  <c r="H53" i="47"/>
  <c r="I53" i="47"/>
  <c r="J53" i="47"/>
  <c r="K53" i="47"/>
  <c r="L53" i="47"/>
  <c r="F54" i="47"/>
  <c r="G54" i="47"/>
  <c r="H54" i="47"/>
  <c r="I54" i="47"/>
  <c r="J54" i="47"/>
  <c r="K54" i="47"/>
  <c r="L54" i="47"/>
  <c r="F56" i="47"/>
  <c r="G56" i="47"/>
  <c r="H56" i="47"/>
  <c r="I56" i="47"/>
  <c r="J56" i="47"/>
  <c r="K56" i="47"/>
  <c r="L56" i="47"/>
  <c r="F57" i="47"/>
  <c r="G57" i="47"/>
  <c r="H57" i="47"/>
  <c r="I57" i="47"/>
  <c r="J57" i="47"/>
  <c r="K57" i="47"/>
  <c r="L57" i="47"/>
  <c r="C116" i="57" l="1"/>
  <c r="M110" i="57"/>
  <c r="M111" i="57"/>
  <c r="A95" i="57"/>
  <c r="F95" i="57" s="1"/>
  <c r="G96" i="57"/>
  <c r="M114" i="57"/>
  <c r="F96" i="57"/>
  <c r="J96" i="57"/>
  <c r="I96" i="57"/>
  <c r="M113" i="57"/>
  <c r="D116" i="57"/>
  <c r="D63" i="57" s="1"/>
  <c r="H96" i="57"/>
  <c r="K96" i="57"/>
  <c r="I95" i="57"/>
  <c r="H95" i="57"/>
  <c r="J95" i="57"/>
  <c r="K95" i="57"/>
  <c r="L95" i="57"/>
  <c r="L63" i="57"/>
  <c r="K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H65" i="57" s="1"/>
  <c r="A65" i="57"/>
  <c r="L64" i="57"/>
  <c r="L65" i="57" s="1"/>
  <c r="I64" i="57"/>
  <c r="I65" i="57" s="1"/>
  <c r="J64" i="57"/>
  <c r="J65" i="57" s="1"/>
  <c r="K64" i="57"/>
  <c r="K65" i="57" s="1"/>
  <c r="A57" i="47"/>
  <c r="E95" i="57" l="1"/>
  <c r="C63" i="57"/>
  <c r="C95" i="57"/>
  <c r="G95" i="57"/>
  <c r="M95" i="57"/>
  <c r="D95" i="57"/>
  <c r="A66" i="57"/>
  <c r="J66" i="57" s="1"/>
  <c r="A97" i="57"/>
  <c r="A89" i="57"/>
  <c r="A90" i="57" s="1"/>
  <c r="I90" i="57" s="1"/>
  <c r="A73" i="57"/>
  <c r="A74" i="57" s="1"/>
  <c r="I74" i="57" s="1"/>
  <c r="A81" i="57"/>
  <c r="A82" i="57" s="1"/>
  <c r="L82" i="57" s="1"/>
  <c r="L87" i="57"/>
  <c r="D87" i="57"/>
  <c r="K87" i="57"/>
  <c r="C87" i="57"/>
  <c r="I87" i="57"/>
  <c r="H87" i="57"/>
  <c r="F87" i="57"/>
  <c r="E87" i="57"/>
  <c r="G87" i="57"/>
  <c r="J87" i="57"/>
  <c r="M87" i="57"/>
  <c r="L79" i="57"/>
  <c r="D79" i="57"/>
  <c r="K79" i="57"/>
  <c r="C79" i="57"/>
  <c r="I79" i="57"/>
  <c r="H79" i="57"/>
  <c r="M79" i="57"/>
  <c r="J79" i="57"/>
  <c r="E79" i="57"/>
  <c r="G79" i="57"/>
  <c r="F79" i="57"/>
  <c r="I66" i="57"/>
  <c r="H66" i="57"/>
  <c r="L103" i="57"/>
  <c r="D103" i="57"/>
  <c r="K103" i="57"/>
  <c r="C103" i="57"/>
  <c r="J103" i="57"/>
  <c r="I103" i="57"/>
  <c r="H103" i="57"/>
  <c r="F103" i="57"/>
  <c r="E103" i="57"/>
  <c r="G103" i="57"/>
  <c r="M103" i="57"/>
  <c r="A105" i="57"/>
  <c r="A106" i="57" s="1"/>
  <c r="L71" i="57"/>
  <c r="D71" i="57"/>
  <c r="K71" i="57"/>
  <c r="C71" i="57"/>
  <c r="I71" i="57"/>
  <c r="H71" i="57"/>
  <c r="J71" i="57"/>
  <c r="G71" i="57"/>
  <c r="F71" i="57"/>
  <c r="E71" i="57"/>
  <c r="M71" i="57"/>
  <c r="B24" i="47"/>
  <c r="A98" i="57" l="1"/>
  <c r="J98" i="57" s="1"/>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B22" i="47"/>
  <c r="G55" i="47" l="1"/>
  <c r="F55" i="47"/>
  <c r="H55" i="47"/>
  <c r="I55" i="47"/>
  <c r="J55" i="47"/>
  <c r="K55" i="47"/>
  <c r="L55" i="47"/>
  <c r="F40" i="47" l="1"/>
  <c r="G40" i="47"/>
  <c r="H40" i="47"/>
  <c r="I40" i="47"/>
  <c r="J40" i="47"/>
  <c r="K40" i="47"/>
  <c r="L40" i="47"/>
  <c r="F41" i="47"/>
  <c r="G41" i="47"/>
  <c r="H41" i="47"/>
  <c r="I41" i="47"/>
  <c r="J41" i="47"/>
  <c r="K41" i="47"/>
  <c r="L41" i="47"/>
  <c r="C41" i="47"/>
  <c r="C40" i="47"/>
  <c r="G7" i="43" l="1"/>
  <c r="G8" i="43"/>
  <c r="G9" i="43"/>
  <c r="G10" i="43"/>
  <c r="G11" i="43"/>
  <c r="G6" i="43"/>
  <c r="G5" i="43"/>
  <c r="D33" i="57" l="1"/>
  <c r="B54" i="47"/>
  <c r="D32" i="57" l="1"/>
  <c r="H30" i="47"/>
  <c r="I30" i="47"/>
  <c r="J30" i="47"/>
  <c r="K30" i="47"/>
  <c r="L30" i="47"/>
  <c r="D30" i="47"/>
  <c r="E30" i="47"/>
  <c r="F30" i="47"/>
  <c r="G30" i="47"/>
  <c r="C30" i="47"/>
  <c r="C30" i="57" s="1"/>
  <c r="D41" i="57" l="1"/>
  <c r="D49" i="57" s="1"/>
  <c r="D40" i="57"/>
  <c r="D42" i="57" s="1"/>
  <c r="D48" i="57" l="1"/>
  <c r="D56" i="57" s="1"/>
  <c r="D44" i="57"/>
  <c r="D45" i="57"/>
  <c r="D47" i="57"/>
  <c r="D46" i="57"/>
  <c r="D43" i="57"/>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C31" i="57" s="1"/>
  <c r="L29" i="47"/>
  <c r="L134" i="47" s="1"/>
  <c r="K29" i="47"/>
  <c r="K134" i="47" s="1"/>
  <c r="J29" i="47"/>
  <c r="J134" i="47" s="1"/>
  <c r="I29" i="47"/>
  <c r="I134" i="47" s="1"/>
  <c r="H29" i="47"/>
  <c r="G29" i="47"/>
  <c r="F29" i="47"/>
  <c r="E29" i="47"/>
  <c r="E50" i="47" s="1"/>
  <c r="D29" i="47"/>
  <c r="D50" i="47" s="1"/>
  <c r="C29" i="47"/>
  <c r="C21" i="47"/>
  <c r="B34" i="47" s="1"/>
  <c r="B21" i="47"/>
  <c r="A1" i="47"/>
  <c r="F9" i="43"/>
  <c r="E6" i="43"/>
  <c r="E7" i="43" s="1"/>
  <c r="E11" i="43"/>
  <c r="C50" i="47" l="1"/>
  <c r="C29" i="57"/>
  <c r="D57" i="57"/>
  <c r="D55" i="57" s="1"/>
  <c r="D104" i="57"/>
  <c r="D106" i="57" s="1"/>
  <c r="D130" i="57" s="1"/>
  <c r="E38" i="57" s="1"/>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C50" i="57" l="1"/>
  <c r="D96" i="57"/>
  <c r="D98" i="57" s="1"/>
  <c r="D129" i="57" s="1"/>
  <c r="E37" i="57" s="1"/>
  <c r="D54" i="57"/>
  <c r="C47" i="47"/>
  <c r="M114" i="47"/>
  <c r="A88" i="47"/>
  <c r="A87" i="47"/>
  <c r="C48" i="47"/>
  <c r="C56" i="47" s="1"/>
  <c r="C57" i="47" s="1"/>
  <c r="B52" i="47" s="1"/>
  <c r="M115" i="47"/>
  <c r="C36" i="47"/>
  <c r="C46" i="47" s="1"/>
  <c r="M113" i="47"/>
  <c r="F116" i="47"/>
  <c r="G116" i="47"/>
  <c r="D116" i="47"/>
  <c r="E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6" i="57" l="1"/>
  <c r="C104" i="57" s="1"/>
  <c r="C106" i="57" s="1"/>
  <c r="C130" i="57" s="1"/>
  <c r="D38" i="57" s="1"/>
  <c r="D88" i="57"/>
  <c r="D90" i="57" s="1"/>
  <c r="D128" i="57" s="1"/>
  <c r="E36" i="57" s="1"/>
  <c r="D53" i="57"/>
  <c r="C55" i="47"/>
  <c r="C54" i="47" s="1"/>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7" i="57" l="1"/>
  <c r="D52" i="57"/>
  <c r="D80" i="57"/>
  <c r="C53" i="47"/>
  <c r="C52" i="47" s="1"/>
  <c r="C96" i="47"/>
  <c r="A105" i="47"/>
  <c r="A106" i="47" s="1"/>
  <c r="A73" i="47"/>
  <c r="A74" i="47" s="1"/>
  <c r="A81" i="47"/>
  <c r="A82" i="47" s="1"/>
  <c r="A66" i="47"/>
  <c r="A90" i="47"/>
  <c r="A98" i="47"/>
  <c r="B52" i="57" l="1"/>
  <c r="C55" i="57"/>
  <c r="D120" i="57"/>
  <c r="D51" i="57"/>
  <c r="D64" i="57" s="1"/>
  <c r="D72" i="57"/>
  <c r="C51" i="47"/>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C98" i="47"/>
  <c r="C129" i="47" s="1"/>
  <c r="D37" i="47" s="1"/>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6" i="57" l="1"/>
  <c r="C54" i="57"/>
  <c r="D82" i="57"/>
  <c r="D127" i="57" s="1"/>
  <c r="E35" i="57" s="1"/>
  <c r="D119" i="57"/>
  <c r="D118" i="57"/>
  <c r="C64" i="47"/>
  <c r="C66" i="47" s="1"/>
  <c r="C125" i="47" s="1"/>
  <c r="D33" i="4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53" i="57" l="1"/>
  <c r="C88" i="57"/>
  <c r="C90" i="57" s="1"/>
  <c r="C128" i="57" s="1"/>
  <c r="D36" i="57" s="1"/>
  <c r="C122" i="57"/>
  <c r="D66" i="57"/>
  <c r="D125" i="57" s="1"/>
  <c r="D74" i="57"/>
  <c r="D126" i="57" s="1"/>
  <c r="E34" i="57" s="1"/>
  <c r="E33" i="57"/>
  <c r="C72" i="47"/>
  <c r="C74" i="47" s="1"/>
  <c r="C126" i="47" s="1"/>
  <c r="D34" i="47" s="1"/>
  <c r="P5" i="41"/>
  <c r="C98" i="57" l="1"/>
  <c r="C129" i="57" s="1"/>
  <c r="D37" i="57" s="1"/>
  <c r="C80" i="57"/>
  <c r="C120" i="57" s="1"/>
  <c r="C52" i="57"/>
  <c r="D131" i="57"/>
  <c r="D133" i="57"/>
  <c r="D134" i="57"/>
  <c r="E32" i="57"/>
  <c r="C131" i="47"/>
  <c r="C134" i="47" s="1"/>
  <c r="D41" i="47" s="1"/>
  <c r="D49" i="47" s="1"/>
  <c r="F30" i="31"/>
  <c r="C82" i="57" l="1"/>
  <c r="C127" i="57" s="1"/>
  <c r="D35" i="57" s="1"/>
  <c r="C72" i="57"/>
  <c r="C119" i="57" s="1"/>
  <c r="C51" i="57"/>
  <c r="C64" i="57" s="1"/>
  <c r="C118" i="57" s="1"/>
  <c r="E41" i="57"/>
  <c r="E49" i="57" s="1"/>
  <c r="D136" i="57"/>
  <c r="D138" i="57"/>
  <c r="D135" i="57"/>
  <c r="E40" i="57"/>
  <c r="E42" i="57" s="1"/>
  <c r="D32" i="47"/>
  <c r="C133" i="47"/>
  <c r="C138" i="47" s="1"/>
  <c r="C136" i="47"/>
  <c r="C66" i="57" l="1"/>
  <c r="C125" i="57" s="1"/>
  <c r="C74" i="57"/>
  <c r="C126" i="57" s="1"/>
  <c r="D34" i="57"/>
  <c r="D141" i="57"/>
  <c r="D139" i="57"/>
  <c r="D140" i="57"/>
  <c r="E48" i="57"/>
  <c r="E56" i="57" s="1"/>
  <c r="E47" i="57"/>
  <c r="E46" i="57"/>
  <c r="E43" i="57"/>
  <c r="E44" i="57"/>
  <c r="E45" i="57"/>
  <c r="F32" i="57"/>
  <c r="D40" i="47"/>
  <c r="D42" i="47" s="1"/>
  <c r="D47" i="47" s="1"/>
  <c r="C135" i="47"/>
  <c r="C141" i="47" s="1"/>
  <c r="C131" i="57" l="1"/>
  <c r="C134" i="57" s="1"/>
  <c r="C136" i="57" s="1"/>
  <c r="E104" i="57"/>
  <c r="E106" i="57" s="1"/>
  <c r="E130" i="57" s="1"/>
  <c r="F38" i="57" s="1"/>
  <c r="E57" i="57"/>
  <c r="E55" i="57" s="1"/>
  <c r="F33" i="57"/>
  <c r="F41" i="57"/>
  <c r="F49" i="57" s="1"/>
  <c r="D45" i="47"/>
  <c r="D48" i="47"/>
  <c r="D56" i="47" s="1"/>
  <c r="D46" i="47"/>
  <c r="D44" i="47"/>
  <c r="D43" i="47"/>
  <c r="C140" i="47"/>
  <c r="C139" i="47"/>
  <c r="C133" i="57" l="1"/>
  <c r="C138" i="57" s="1"/>
  <c r="E54" i="57"/>
  <c r="E96" i="57"/>
  <c r="E98" i="57" s="1"/>
  <c r="E129" i="57" s="1"/>
  <c r="F42" i="57"/>
  <c r="F44" i="57" s="1"/>
  <c r="D57" i="47"/>
  <c r="D55" i="47" s="1"/>
  <c r="D54" i="47" s="1"/>
  <c r="D53" i="47" s="1"/>
  <c r="D52" i="47" s="1"/>
  <c r="D51" i="47" s="1"/>
  <c r="D104" i="47"/>
  <c r="D106" i="47" s="1"/>
  <c r="D130" i="47" s="1"/>
  <c r="E38" i="47" s="1"/>
  <c r="C135" i="57" l="1"/>
  <c r="C141" i="57" s="1"/>
  <c r="E88" i="57"/>
  <c r="E90" i="57" s="1"/>
  <c r="E128" i="57" s="1"/>
  <c r="F36" i="57" s="1"/>
  <c r="E53" i="57"/>
  <c r="F40" i="57"/>
  <c r="F43" i="57"/>
  <c r="F48" i="57"/>
  <c r="F56" i="57" s="1"/>
  <c r="F54" i="57" s="1"/>
  <c r="F45" i="57"/>
  <c r="F46" i="57"/>
  <c r="F57" i="57"/>
  <c r="F104" i="57"/>
  <c r="F106" i="57" s="1"/>
  <c r="F130" i="57" s="1"/>
  <c r="G38" i="57" s="1"/>
  <c r="C139" i="57" l="1"/>
  <c r="C140" i="57"/>
  <c r="E52" i="57"/>
  <c r="E80" i="57"/>
  <c r="F88" i="57"/>
  <c r="F90" i="57" s="1"/>
  <c r="F128" i="57" s="1"/>
  <c r="G36" i="57" s="1"/>
  <c r="F53" i="57"/>
  <c r="D96" i="47"/>
  <c r="D98" i="47" s="1"/>
  <c r="D129" i="47" s="1"/>
  <c r="E37" i="47" s="1"/>
  <c r="D88" i="47"/>
  <c r="D90" i="47" s="1"/>
  <c r="D128" i="47" s="1"/>
  <c r="E36" i="47" s="1"/>
  <c r="D80" i="47"/>
  <c r="D82" i="47" s="1"/>
  <c r="D127" i="47" s="1"/>
  <c r="E35" i="47" s="1"/>
  <c r="E120" i="57" l="1"/>
  <c r="E82" i="57"/>
  <c r="E127" i="57" s="1"/>
  <c r="F35" i="57" s="1"/>
  <c r="E51" i="57"/>
  <c r="E64" i="57" s="1"/>
  <c r="E72" i="57"/>
  <c r="F52" i="57"/>
  <c r="F80" i="57"/>
  <c r="F82" i="57" s="1"/>
  <c r="F127" i="57" s="1"/>
  <c r="G35" i="57" s="1"/>
  <c r="D64" i="47"/>
  <c r="D66" i="47" s="1"/>
  <c r="D125" i="47" s="1"/>
  <c r="E33" i="47" s="1"/>
  <c r="D72" i="47"/>
  <c r="D74" i="47" s="1"/>
  <c r="D126" i="47" s="1"/>
  <c r="E34" i="47" s="1"/>
  <c r="E118" i="57" l="1"/>
  <c r="E66" i="57"/>
  <c r="E125" i="57" s="1"/>
  <c r="E119" i="57"/>
  <c r="F51" i="57"/>
  <c r="F64" i="57" s="1"/>
  <c r="F66" i="57" s="1"/>
  <c r="F125" i="57" s="1"/>
  <c r="F72" i="57"/>
  <c r="F74" i="57" s="1"/>
  <c r="F126" i="57" s="1"/>
  <c r="G34" i="57" s="1"/>
  <c r="D131" i="47"/>
  <c r="E32" i="47" s="1"/>
  <c r="E74" i="57" l="1"/>
  <c r="E126" i="57" s="1"/>
  <c r="F34" i="57" s="1"/>
  <c r="F131" i="57"/>
  <c r="G33" i="57"/>
  <c r="D133" i="47"/>
  <c r="E40" i="47" s="1"/>
  <c r="D134" i="47"/>
  <c r="D136" i="47" s="1"/>
  <c r="E131" i="57" l="1"/>
  <c r="G32" i="57"/>
  <c r="F133" i="57"/>
  <c r="E41" i="47"/>
  <c r="E49" i="47" s="1"/>
  <c r="D138" i="47"/>
  <c r="D135" i="47"/>
  <c r="D140" i="47" s="1"/>
  <c r="E133" i="57" l="1"/>
  <c r="E134" i="57"/>
  <c r="E136" i="57" s="1"/>
  <c r="F135" i="57"/>
  <c r="F138" i="57"/>
  <c r="G40" i="57"/>
  <c r="G42" i="57" s="1"/>
  <c r="E42" i="47"/>
  <c r="D141" i="47"/>
  <c r="D139" i="47"/>
  <c r="E135" i="57" l="1"/>
  <c r="E138" i="57"/>
  <c r="E48" i="47"/>
  <c r="E56" i="47" s="1"/>
  <c r="E104" i="47" s="1"/>
  <c r="E106" i="47" s="1"/>
  <c r="E130" i="47" s="1"/>
  <c r="F38" i="47" s="1"/>
  <c r="E47" i="47"/>
  <c r="G46" i="57"/>
  <c r="G43" i="57"/>
  <c r="G44" i="57"/>
  <c r="G48" i="57"/>
  <c r="G56" i="57" s="1"/>
  <c r="G45" i="57"/>
  <c r="F140" i="57"/>
  <c r="F141" i="57"/>
  <c r="F139" i="57"/>
  <c r="E45" i="47"/>
  <c r="E46" i="47"/>
  <c r="E43" i="47"/>
  <c r="E44" i="47"/>
  <c r="E57" i="47" l="1"/>
  <c r="E140" i="57"/>
  <c r="E139" i="57"/>
  <c r="E141" i="57"/>
  <c r="E55" i="47"/>
  <c r="E96" i="47" s="1"/>
  <c r="E98" i="47" s="1"/>
  <c r="E129" i="47" s="1"/>
  <c r="G54" i="57"/>
  <c r="G57" i="57"/>
  <c r="G104" i="57"/>
  <c r="G106" i="57" s="1"/>
  <c r="G130" i="57" s="1"/>
  <c r="E54" i="47" l="1"/>
  <c r="G53" i="57"/>
  <c r="G88" i="57"/>
  <c r="G90" i="57" s="1"/>
  <c r="G128" i="57" s="1"/>
  <c r="E88" i="47" l="1"/>
  <c r="E90" i="47" s="1"/>
  <c r="E128" i="47" s="1"/>
  <c r="F36" i="47" s="1"/>
  <c r="E53" i="47"/>
  <c r="G52" i="57"/>
  <c r="G80" i="57"/>
  <c r="G82" i="57" s="1"/>
  <c r="G127" i="57" s="1"/>
  <c r="F49" i="47"/>
  <c r="E52" i="47" l="1"/>
  <c r="E80" i="47"/>
  <c r="E82" i="47" s="1"/>
  <c r="E127" i="47" s="1"/>
  <c r="F35" i="47" s="1"/>
  <c r="G51" i="57"/>
  <c r="G64" i="57" s="1"/>
  <c r="G66" i="57" s="1"/>
  <c r="G125" i="57" s="1"/>
  <c r="G131" i="57" s="1"/>
  <c r="G133" i="57" s="1"/>
  <c r="G72" i="57"/>
  <c r="G74" i="57" s="1"/>
  <c r="G126" i="57" s="1"/>
  <c r="F42" i="47"/>
  <c r="E51" i="47" l="1"/>
  <c r="E64" i="47" s="1"/>
  <c r="E66" i="47" s="1"/>
  <c r="E125" i="47" s="1"/>
  <c r="E72" i="47"/>
  <c r="E74" i="47" s="1"/>
  <c r="E126" i="47" s="1"/>
  <c r="F34" i="47" s="1"/>
  <c r="G135" i="57"/>
  <c r="G138" i="57"/>
  <c r="F46" i="4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9" i="47"/>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alcChain>
</file>

<file path=xl/sharedStrings.xml><?xml version="1.0" encoding="utf-8"?>
<sst xmlns="http://schemas.openxmlformats.org/spreadsheetml/2006/main" count="705" uniqueCount="379">
  <si>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</si>
  <si>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</si>
  <si>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</si>
  <si>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</si>
  <si>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</si>
  <si>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</si>
  <si>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</si>
  <si>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</si>
  <si>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</si>
  <si>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</si>
  <si>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</si>
  <si>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</si>
  <si>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</si>
  <si>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</si>
  <si>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</si>
  <si>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</si>
  <si>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</si>
  <si>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</si>
  <si>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</si>
  <si>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</si>
  <si>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</si>
  <si>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</si>
  <si>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</si>
  <si>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</si>
  <si>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</si>
  <si>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</si>
  <si>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</si>
  <si>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</si>
  <si>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</si>
  <si>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</si>
  <si>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</si>
  <si>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</si>
  <si>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</si>
  <si>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</si>
  <si>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</si>
  <si>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</si>
  <si>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</si>
  <si>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</si>
  <si>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</si>
  <si>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</si>
  <si>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</si>
  <si>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</si>
  <si>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</si>
  <si>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</si>
  <si>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</si>
  <si>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</si>
  <si>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</si>
  <si>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</si>
  <si>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</si>
  <si>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</si>
  <si>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</si>
  <si>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</si>
  <si>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</si>
  <si>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</si>
  <si>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</si>
  <si>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</si>
  <si>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</si>
  <si>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</si>
  <si>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</si>
  <si>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</si>
  <si>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</si>
  <si>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</si>
  <si>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</si>
  <si>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</si>
  <si>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</si>
  <si>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</si>
  <si>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</si>
  <si>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</si>
  <si>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</si>
  <si>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</si>
  <si>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</si>
  <si>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</si>
  <si>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</si>
  <si>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</si>
  <si>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</si>
  <si>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</si>
  <si>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</si>
  <si>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</si>
  <si>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</si>
  <si>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</si>
  <si>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</si>
  <si>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</si>
  <si>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</si>
  <si>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</si>
  <si>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</si>
  <si>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</si>
  <si>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</si>
  <si>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</si>
  <si>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</si>
  <si>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</si>
  <si>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</si>
  <si>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</si>
  <si>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</si>
  <si>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</si>
  <si>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</si>
  <si>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</si>
  <si>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</si>
  <si>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</si>
  <si>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</si>
  <si>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</si>
  <si>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</si>
  <si>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</si>
  <si>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</si>
  <si>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</si>
  <si>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</si>
  <si>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</si>
  <si>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</si>
  <si>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</si>
  <si>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</si>
  <si>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</si>
  <si>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</si>
  <si>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</si>
  <si>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</si>
  <si>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</si>
  <si>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</si>
  <si>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</si>
  <si>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</si>
  <si>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</si>
  <si>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</si>
  <si>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</si>
  <si>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</si>
  <si>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</si>
  <si>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</si>
  <si>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</si>
  <si>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</si>
  <si>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</si>
  <si>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</si>
  <si>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</si>
  <si>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</si>
  <si>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</si>
  <si>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</si>
  <si>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</si>
  <si>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</si>
  <si>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</si>
  <si>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</si>
  <si>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</si>
  <si>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</si>
  <si>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</si>
  <si>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</si>
  <si>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</si>
  <si>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</si>
  <si>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</si>
  <si>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</si>
  <si>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</si>
  <si>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</si>
  <si>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</si>
  <si>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</si>
  <si>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</si>
  <si>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</si>
  <si>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</si>
  <si>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</si>
  <si>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</si>
  <si>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</si>
  <si>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</si>
  <si>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</si>
  <si>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</si>
  <si>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</si>
  <si>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</si>
  <si>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</si>
  <si>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</si>
  <si>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</si>
  <si>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</si>
  <si>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</si>
  <si>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</si>
  <si>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</si>
  <si>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</si>
  <si>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</si>
  <si>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</si>
  <si>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</si>
  <si>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</si>
  <si>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</si>
  <si>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</si>
  <si>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</si>
  <si>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</si>
  <si>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</si>
  <si>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</si>
  <si>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</si>
  <si>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</si>
  <si>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</si>
  <si>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</si>
  <si>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</si>
  <si>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</si>
  <si>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</si>
  <si>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</si>
  <si>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</si>
  <si>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</si>
  <si>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</si>
  <si>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</si>
  <si>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</si>
  <si>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</si>
  <si>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</si>
  <si>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</si>
  <si>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</si>
  <si>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</si>
  <si>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</si>
  <si>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</si>
  <si>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</si>
  <si>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</si>
  <si>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</si>
  <si>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</si>
  <si>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</si>
  <si>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</si>
  <si>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</si>
  <si>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</si>
  <si>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</si>
  <si>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</si>
  <si>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</si>
  <si>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</si>
  <si>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</si>
  <si>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</si>
  <si>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</si>
  <si>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</si>
  <si>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</si>
  <si>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</si>
  <si>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</si>
  <si>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</si>
  <si>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</si>
  <si>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</si>
  <si>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</si>
  <si>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</si>
  <si>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</si>
  <si>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</si>
  <si>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</si>
  <si>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</si>
  <si>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</si>
  <si>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</si>
  <si>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</si>
  <si>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</si>
  <si>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</si>
  <si>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</si>
  <si>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</si>
  <si>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</si>
  <si>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</si>
  <si>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</si>
  <si>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</si>
  <si>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</si>
  <si>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</si>
  <si>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</si>
  <si>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</si>
  <si>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</si>
  <si>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</si>
  <si>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</si>
  <si>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</si>
  <si>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</si>
  <si>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</si>
  <si>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</si>
  <si>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</si>
  <si>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</si>
  <si>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</si>
  <si>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</si>
  <si>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</si>
  <si>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</si>
  <si>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</si>
  <si>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</si>
  <si>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</si>
  <si>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</si>
  <si>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</si>
  <si>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</si>
  <si>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</si>
  <si>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</si>
  <si>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</si>
  <si>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</si>
  <si>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</si>
  <si>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</si>
  <si>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</si>
  <si>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</si>
  <si>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</si>
  <si>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</si>
  <si>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</si>
  <si>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</si>
  <si>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</si>
  <si>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</si>
  <si>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</si>
  <si>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</si>
  <si>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</si>
  <si>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</si>
  <si>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</si>
  <si>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</si>
  <si>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</si>
  <si>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</si>
  <si>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</si>
  <si>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</si>
  <si>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</si>
  <si>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</si>
  <si>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</si>
  <si>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</si>
  <si>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</si>
  <si>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</si>
  <si>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</si>
  <si>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</si>
  <si>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</si>
  <si>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</si>
  <si>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</si>
  <si>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</si>
  <si>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</si>
  <si>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</si>
  <si>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</si>
  <si>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</si>
  <si>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</si>
  <si>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</si>
  <si>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</si>
  <si>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</si>
  <si>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</si>
  <si>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</si>
  <si>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</si>
  <si>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</si>
  <si>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</si>
  <si>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</si>
  <si>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</si>
  <si>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</si>
  <si>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</si>
  <si>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</si>
  <si>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</si>
  <si>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</si>
  <si>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Add Parker/Havasu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</si>
  <si>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</si>
  <si>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</si>
  <si>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</si>
  <si>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</si>
  <si>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</si>
  <si>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</si>
  <si>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</si>
  <si>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</si>
  <si>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</si>
  <si>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</si>
  <si>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</si>
  <si>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</si>
  <si>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</si>
  <si>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</si>
  <si>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</si>
  <si>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https://github.com/dzeke/ColoradoRiverFutures/tree/master/ModelMusings</t>
  </si>
  <si>
    <t>David E. Rosenberg (2021). "Pilot flex accounting for a combined Lake Powell-Lake Mead system." Utah State University, Logan, UT. https://github.com/dzeke/ColoradoRiverFutures/tree/master/ModelMusings. https://github.com/dzeke/ColoradoRiverFutures/tree/master/ModelMusings.</t>
  </si>
  <si>
    <t>Model Repository</t>
  </si>
  <si>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</si>
  <si>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</si>
  <si>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</si>
  <si>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</si>
  <si>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</si>
  <si>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</si>
  <si>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</si>
  <si>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</si>
  <si>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</si>
  <si>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</si>
  <si>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</si>
  <si>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</si>
  <si>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</si>
  <si>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</si>
  <si>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</si>
  <si>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</si>
  <si>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</si>
  <si>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</si>
  <si>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</si>
  <si>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</si>
  <si>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</si>
  <si>
    <t>OVERVIEW</t>
  </si>
  <si>
    <t>Flex Accounting in a Combined Lake Powell-Lake Mead System: Tool and Discussion Activity</t>
  </si>
  <si>
    <t>This tool gives users the opportunity to experiment with flex accounts in a combined Lake Powell-Lake Mead system. The purpose of the activity to is provoke thought and discussion about new operations for Lake Powell and Lake Mead.</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</si>
  <si>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</si>
  <si>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</si>
  <si>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</si>
  <si>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</si>
  <si>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</si>
  <si>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</si>
  <si>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</si>
  <si>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</si>
  <si>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</si>
  <si>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</si>
  <si>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</si>
  <si>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</si>
  <si>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</si>
  <si>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b. Enter the Lake Powell natural flow for Year 1 in </t>
    </r>
    <r>
      <rPr>
        <b/>
        <sz val="11"/>
        <color rgb="FF0000FF"/>
        <rFont val="Calibri"/>
        <family val="2"/>
        <scheme val="minor"/>
      </rPr>
      <t>Cell C28</t>
    </r>
    <r>
      <rPr>
        <sz val="11"/>
        <color theme="1"/>
        <rFont val="Calibri"/>
        <family val="2"/>
        <scheme val="minor"/>
      </rPr>
      <t>. Cells below will populate.</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</si>
  <si>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</si>
  <si>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d. Move to Year 2 (Column D). Enter Lake Powell natural flow in </t>
    </r>
    <r>
      <rPr>
        <b/>
        <sz val="11"/>
        <color rgb="FF0000FF"/>
        <rFont val="Calibri"/>
        <family val="2"/>
        <scheme val="minor"/>
      </rPr>
      <t>Cell D28</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</si>
  <si>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</si>
  <si>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River). Law  of River operations are calculated on the Master-LawOfRiver Worksheet.</t>
    </r>
  </si>
  <si>
    <t>VISUALS of KEY IDEAS</t>
  </si>
  <si>
    <t>MODEL GUIDE (Help)</t>
  </si>
  <si>
    <t>Download this Excel file (done :)</t>
  </si>
  <si>
    <r>
      <t xml:space="preserve">Participants enter values in rows with bold </t>
    </r>
    <r>
      <rPr>
        <b/>
        <sz val="11"/>
        <color rgb="FF0000FF"/>
        <rFont val="Calibri"/>
        <family val="2"/>
        <scheme val="minor"/>
      </rPr>
      <t>blue instructions</t>
    </r>
    <r>
      <rPr>
        <b/>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</si>
</sst>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s>
  <fonts count="17"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s>
  <fills count="22">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66">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169" fontId="2" fillId="13" borderId="1" xfId="9" applyNumberFormat="1" applyBorder="1" applyAlignment="1">
      <alignment horizontal="center"/>
    </xf>
    <xf numFmtId="0" fontId="0" fillId="0" borderId="0" xfId="0" applyAlignment="1">
      <alignment horizontal="left" wrapText="1"/>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0" borderId="0" xfId="0"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9" borderId="17"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6" xfId="0" applyFont="1" applyFill="1" applyBorder="1" applyAlignment="1">
      <alignment horizontal="left" vertical="top" wrapText="1"/>
    </xf>
    <xf numFmtId="0" fontId="0" fillId="7" borderId="17"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5" borderId="0" xfId="0" applyFont="1" applyFill="1" applyBorder="1" applyAlignment="1">
      <alignment vertical="top" wrapText="1"/>
    </xf>
    <xf numFmtId="0" fontId="0" fillId="5" borderId="6" xfId="0" applyFont="1" applyFill="1" applyBorder="1" applyAlignment="1">
      <alignment vertical="top" wrapText="1"/>
    </xf>
    <xf numFmtId="171" fontId="0" fillId="5" borderId="5" xfId="0" applyNumberFormat="1" applyFont="1" applyFill="1" applyBorder="1" applyAlignment="1">
      <alignment vertical="top" wrapText="1"/>
    </xf>
    <xf numFmtId="171" fontId="0" fillId="5" borderId="5" xfId="0" applyNumberFormat="1" applyFont="1" applyFill="1" applyBorder="1" applyAlignment="1">
      <alignment vertical="top"/>
    </xf>
    <xf numFmtId="171" fontId="0" fillId="5" borderId="17" xfId="0" applyNumberFormat="1" applyFont="1" applyFill="1" applyBorder="1" applyAlignment="1">
      <alignment vertical="top"/>
    </xf>
    <xf numFmtId="0" fontId="0" fillId="5" borderId="7" xfId="0" applyFont="1" applyFill="1" applyBorder="1" applyAlignment="1">
      <alignment horizontal="left" vertical="top" wrapText="1"/>
    </xf>
    <xf numFmtId="0" fontId="0" fillId="5" borderId="8" xfId="0" applyFont="1" applyFill="1" applyBorder="1" applyAlignment="1">
      <alignment horizontal="left" vertical="top" wrapText="1"/>
    </xf>
    <xf numFmtId="171" fontId="0" fillId="0" borderId="0" xfId="0" applyNumberFormat="1" applyFont="1" applyFill="1" applyBorder="1" applyAlignment="1">
      <alignment vertical="top"/>
    </xf>
    <xf numFmtId="0" fontId="0" fillId="0" borderId="0" xfId="0" applyFont="1" applyFill="1" applyBorder="1" applyAlignment="1">
      <alignment horizontal="left" vertical="top" wrapText="1"/>
    </xf>
    <xf numFmtId="0" fontId="0" fillId="0" borderId="0" xfId="0" applyFont="1" applyFill="1" applyAlignment="1">
      <alignment vertical="top"/>
    </xf>
    <xf numFmtId="0" fontId="15" fillId="21" borderId="2" xfId="6" applyFont="1" applyFill="1" applyBorder="1" applyAlignment="1">
      <alignment horizontal="left"/>
    </xf>
    <xf numFmtId="0" fontId="15" fillId="21" borderId="3" xfId="6" applyFont="1" applyFill="1" applyBorder="1" applyAlignment="1">
      <alignment horizontal="left"/>
    </xf>
    <xf numFmtId="0" fontId="15" fillId="21" borderId="4" xfId="6" applyFont="1" applyFill="1" applyBorder="1" applyAlignment="1">
      <alignment horizontal="left"/>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Border="1" applyAlignment="1">
      <alignment horizontal="center" vertical="top"/>
    </xf>
    <xf numFmtId="0" fontId="0" fillId="7" borderId="0" xfId="0" applyFill="1" applyBorder="1" applyAlignment="1">
      <alignment horizontal="left" vertical="top"/>
    </xf>
    <xf numFmtId="0" fontId="0" fillId="7" borderId="6" xfId="0" applyFill="1" applyBorder="1" applyAlignment="1">
      <alignment horizontal="left" vertical="top"/>
    </xf>
    <xf numFmtId="0" fontId="0" fillId="7" borderId="0" xfId="0" applyFill="1" applyBorder="1" applyAlignment="1">
      <alignment horizontal="left" vertical="top" wrapText="1"/>
    </xf>
    <xf numFmtId="0" fontId="0" fillId="7" borderId="6" xfId="0" applyFill="1" applyBorder="1" applyAlignment="1">
      <alignment horizontal="left" vertical="top" wrapText="1"/>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6">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raw/main/ModelMusings/PilotFlexAccounting-KeyIdeas.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8"/>
  <sheetViews>
    <sheetView zoomScale="150" zoomScaleNormal="150" workbookViewId="0">
      <selection sqref="A1:L1"/>
    </sheetView>
  </sheetViews>
  <sheetFormatPr defaultRowHeight="15" x14ac:dyDescent="0.25"/>
  <cols>
    <col min="1" max="1" width="3.5703125" customWidth="1"/>
    <col min="2" max="2" width="30"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193" t="s">
        <v>355</v>
      </c>
      <c r="B1" s="193"/>
      <c r="C1" s="193"/>
      <c r="D1" s="193"/>
      <c r="E1" s="193"/>
      <c r="F1" s="193"/>
      <c r="G1" s="193"/>
      <c r="H1" s="193"/>
      <c r="I1" s="193"/>
      <c r="J1" s="193"/>
      <c r="K1" s="193"/>
      <c r="L1" s="193"/>
    </row>
    <row r="2" spans="1:18" x14ac:dyDescent="0.25">
      <c r="A2" s="1"/>
      <c r="B2" s="1"/>
      <c r="C2" s="2"/>
      <c r="D2"/>
    </row>
    <row r="3" spans="1:18" x14ac:dyDescent="0.25">
      <c r="A3" s="172" t="s">
        <v>354</v>
      </c>
      <c r="B3" s="173"/>
      <c r="C3" s="174"/>
      <c r="D3" s="175"/>
      <c r="E3" s="175"/>
      <c r="F3" s="175"/>
      <c r="G3" s="175"/>
      <c r="H3" s="175"/>
      <c r="I3" s="175"/>
      <c r="J3" s="175"/>
      <c r="K3" s="175"/>
      <c r="L3" s="176"/>
      <c r="N3" s="1"/>
    </row>
    <row r="4" spans="1:18" s="59" customFormat="1" ht="30.75" customHeight="1" x14ac:dyDescent="0.25">
      <c r="A4" s="226" t="s">
        <v>356</v>
      </c>
      <c r="B4" s="191"/>
      <c r="C4" s="191"/>
      <c r="D4" s="191"/>
      <c r="E4" s="191"/>
      <c r="F4" s="191"/>
      <c r="G4" s="191"/>
      <c r="H4" s="191"/>
      <c r="I4" s="191"/>
      <c r="J4" s="191"/>
      <c r="K4" s="191"/>
      <c r="L4" s="192"/>
      <c r="N4" s="190"/>
      <c r="O4" s="190"/>
      <c r="P4" s="190"/>
      <c r="Q4" s="190"/>
      <c r="R4" s="190"/>
    </row>
    <row r="5" spans="1:18" s="94" customFormat="1" ht="14.45" customHeight="1" x14ac:dyDescent="0.25">
      <c r="A5" s="125"/>
      <c r="B5" s="125"/>
      <c r="C5" s="125"/>
      <c r="D5" s="125"/>
      <c r="E5" s="125"/>
      <c r="F5" s="125"/>
      <c r="G5" s="125"/>
      <c r="H5" s="125"/>
      <c r="I5" s="125"/>
      <c r="J5" s="125"/>
      <c r="K5" s="125"/>
      <c r="L5" s="125"/>
    </row>
    <row r="6" spans="1:18" s="94" customFormat="1" ht="14.45" customHeight="1" x14ac:dyDescent="0.25">
      <c r="A6" s="227" t="s">
        <v>357</v>
      </c>
      <c r="B6" s="228"/>
      <c r="C6" s="228"/>
      <c r="D6" s="228"/>
      <c r="E6" s="228"/>
      <c r="F6" s="228"/>
      <c r="G6" s="228"/>
      <c r="H6" s="228"/>
      <c r="I6" s="228"/>
      <c r="J6" s="228"/>
      <c r="K6" s="228"/>
      <c r="L6" s="229"/>
    </row>
    <row r="7" spans="1:18" s="94" customFormat="1" ht="14.45" customHeight="1" x14ac:dyDescent="0.25">
      <c r="A7" s="230" t="s">
        <v>358</v>
      </c>
      <c r="B7" s="231"/>
      <c r="C7" s="231"/>
      <c r="D7" s="231"/>
      <c r="E7" s="231"/>
      <c r="F7" s="231"/>
      <c r="G7" s="231"/>
      <c r="H7" s="231"/>
      <c r="I7" s="231"/>
      <c r="J7" s="231"/>
      <c r="K7" s="231"/>
      <c r="L7" s="232"/>
    </row>
    <row r="8" spans="1:18" s="94" customFormat="1" ht="14.45" customHeight="1" x14ac:dyDescent="0.25">
      <c r="A8" s="230" t="s">
        <v>359</v>
      </c>
      <c r="B8" s="231"/>
      <c r="C8" s="231"/>
      <c r="D8" s="231"/>
      <c r="E8" s="231"/>
      <c r="F8" s="231"/>
      <c r="G8" s="231"/>
      <c r="H8" s="231"/>
      <c r="I8" s="231"/>
      <c r="J8" s="231"/>
      <c r="K8" s="231"/>
      <c r="L8" s="232"/>
    </row>
    <row r="9" spans="1:18" s="94" customFormat="1" ht="14.45" customHeight="1" x14ac:dyDescent="0.25">
      <c r="A9" s="233" t="s">
        <v>360</v>
      </c>
      <c r="B9" s="234"/>
      <c r="C9" s="234"/>
      <c r="D9" s="234"/>
      <c r="E9" s="234"/>
      <c r="F9" s="234"/>
      <c r="G9" s="234"/>
      <c r="H9" s="234"/>
      <c r="I9" s="234"/>
      <c r="J9" s="234"/>
      <c r="K9" s="234"/>
      <c r="L9" s="235"/>
    </row>
    <row r="10" spans="1:18" s="94" customFormat="1" ht="14.45" customHeight="1" x14ac:dyDescent="0.25">
      <c r="A10" s="125"/>
      <c r="B10" s="125"/>
      <c r="C10" s="125"/>
      <c r="D10" s="125"/>
      <c r="E10" s="125"/>
      <c r="F10" s="125"/>
      <c r="G10" s="125"/>
      <c r="H10" s="125"/>
      <c r="I10" s="125"/>
      <c r="J10" s="125"/>
      <c r="K10" s="125"/>
      <c r="L10" s="125"/>
    </row>
    <row r="11" spans="1:18" s="94" customFormat="1" ht="16.5" customHeight="1" x14ac:dyDescent="0.25">
      <c r="A11" s="187" t="s">
        <v>361</v>
      </c>
      <c r="B11" s="188"/>
      <c r="C11" s="188"/>
      <c r="D11" s="188"/>
      <c r="E11" s="188"/>
      <c r="F11" s="188"/>
      <c r="G11" s="188"/>
      <c r="H11" s="188"/>
      <c r="I11" s="188"/>
      <c r="J11" s="188"/>
      <c r="K11" s="188"/>
      <c r="L11" s="189"/>
      <c r="N11" s="1"/>
    </row>
    <row r="12" spans="1:18" s="94" customFormat="1" ht="15" customHeight="1" x14ac:dyDescent="0.25">
      <c r="A12" s="238">
        <v>1</v>
      </c>
      <c r="B12" s="185" t="s">
        <v>377</v>
      </c>
      <c r="C12" s="185"/>
      <c r="D12" s="185"/>
      <c r="E12" s="185"/>
      <c r="F12" s="185"/>
      <c r="G12" s="185"/>
      <c r="H12" s="185"/>
      <c r="I12" s="185"/>
      <c r="J12" s="185"/>
      <c r="K12" s="185"/>
      <c r="L12" s="186"/>
    </row>
    <row r="13" spans="1:18" s="94" customFormat="1" ht="15" customHeight="1" x14ac:dyDescent="0.25">
      <c r="A13" s="238">
        <v>2</v>
      </c>
      <c r="B13" s="185" t="s">
        <v>367</v>
      </c>
      <c r="C13" s="185"/>
      <c r="D13" s="185"/>
      <c r="E13" s="185"/>
      <c r="F13" s="185"/>
      <c r="G13" s="185"/>
      <c r="H13" s="185"/>
      <c r="I13" s="185"/>
      <c r="J13" s="185"/>
      <c r="K13" s="185"/>
      <c r="L13" s="186"/>
      <c r="N13" s="117"/>
    </row>
    <row r="14" spans="1:18" s="94" customFormat="1" ht="15" customHeight="1" x14ac:dyDescent="0.25">
      <c r="A14" s="238">
        <v>3</v>
      </c>
      <c r="B14" s="185" t="s">
        <v>362</v>
      </c>
      <c r="C14" s="185"/>
      <c r="D14" s="185"/>
      <c r="E14" s="185"/>
      <c r="F14" s="185"/>
      <c r="G14" s="185"/>
      <c r="H14" s="185"/>
      <c r="I14" s="185"/>
      <c r="J14" s="185"/>
      <c r="K14" s="185"/>
      <c r="L14" s="186"/>
      <c r="N14" s="117"/>
    </row>
    <row r="15" spans="1:18" s="94" customFormat="1" ht="15" customHeight="1" x14ac:dyDescent="0.25">
      <c r="A15" s="238">
        <v>4</v>
      </c>
      <c r="B15" s="185" t="s">
        <v>363</v>
      </c>
      <c r="C15" s="185"/>
      <c r="D15" s="185"/>
      <c r="E15" s="185"/>
      <c r="F15" s="185"/>
      <c r="G15" s="185"/>
      <c r="H15" s="185"/>
      <c r="I15" s="185"/>
      <c r="J15" s="185"/>
      <c r="K15" s="185"/>
      <c r="L15" s="186"/>
      <c r="N15" s="117"/>
    </row>
    <row r="16" spans="1:18" s="94" customFormat="1" ht="15" customHeight="1" x14ac:dyDescent="0.25">
      <c r="A16" s="238">
        <v>5</v>
      </c>
      <c r="B16" s="185" t="s">
        <v>364</v>
      </c>
      <c r="C16" s="185"/>
      <c r="D16" s="185"/>
      <c r="E16" s="185"/>
      <c r="F16" s="185"/>
      <c r="G16" s="185"/>
      <c r="H16" s="185"/>
      <c r="I16" s="185"/>
      <c r="J16" s="185"/>
      <c r="K16" s="185"/>
      <c r="L16" s="186"/>
      <c r="N16" s="117"/>
    </row>
    <row r="17" spans="1:14" s="94" customFormat="1" ht="15" customHeight="1" x14ac:dyDescent="0.25">
      <c r="A17" s="238"/>
      <c r="B17" s="185" t="s">
        <v>365</v>
      </c>
      <c r="C17" s="185"/>
      <c r="D17" s="185"/>
      <c r="E17" s="185"/>
      <c r="F17" s="185"/>
      <c r="G17" s="185"/>
      <c r="H17" s="185"/>
      <c r="I17" s="185"/>
      <c r="J17" s="185"/>
      <c r="K17" s="185"/>
      <c r="L17" s="186"/>
      <c r="N17" s="117"/>
    </row>
    <row r="18" spans="1:14" s="94" customFormat="1" ht="15" customHeight="1" x14ac:dyDescent="0.25">
      <c r="A18" s="238"/>
      <c r="B18" s="185" t="s">
        <v>366</v>
      </c>
      <c r="C18" s="185"/>
      <c r="D18" s="185"/>
      <c r="E18" s="185"/>
      <c r="F18" s="185"/>
      <c r="G18" s="185"/>
      <c r="H18" s="185"/>
      <c r="I18" s="185"/>
      <c r="J18" s="185"/>
      <c r="K18" s="185"/>
      <c r="L18" s="186"/>
      <c r="N18" s="117"/>
    </row>
    <row r="19" spans="1:14" s="94" customFormat="1" ht="15" customHeight="1" x14ac:dyDescent="0.25">
      <c r="A19" s="238">
        <v>6</v>
      </c>
      <c r="B19" s="185" t="s">
        <v>368</v>
      </c>
      <c r="C19" s="185"/>
      <c r="D19" s="185"/>
      <c r="E19" s="185"/>
      <c r="F19" s="185"/>
      <c r="G19" s="185"/>
      <c r="H19" s="185"/>
      <c r="I19" s="185"/>
      <c r="J19" s="185"/>
      <c r="K19" s="185"/>
      <c r="L19" s="186"/>
      <c r="N19" s="117"/>
    </row>
    <row r="20" spans="1:14" s="94" customFormat="1" ht="30.75" customHeight="1" x14ac:dyDescent="0.25">
      <c r="A20" s="238"/>
      <c r="B20" s="236" t="s">
        <v>369</v>
      </c>
      <c r="C20" s="236"/>
      <c r="D20" s="236"/>
      <c r="E20" s="236"/>
      <c r="F20" s="236"/>
      <c r="G20" s="236"/>
      <c r="H20" s="236"/>
      <c r="I20" s="236"/>
      <c r="J20" s="236"/>
      <c r="K20" s="236"/>
      <c r="L20" s="237"/>
      <c r="N20" s="117"/>
    </row>
    <row r="21" spans="1:14" s="94" customFormat="1" ht="15" customHeight="1" x14ac:dyDescent="0.25">
      <c r="A21" s="238"/>
      <c r="B21" s="236" t="s">
        <v>370</v>
      </c>
      <c r="C21" s="236"/>
      <c r="D21" s="236"/>
      <c r="E21" s="236"/>
      <c r="F21" s="236"/>
      <c r="G21" s="236"/>
      <c r="H21" s="236"/>
      <c r="I21" s="236"/>
      <c r="J21" s="236"/>
      <c r="K21" s="236"/>
      <c r="L21" s="237"/>
      <c r="N21" s="117"/>
    </row>
    <row r="22" spans="1:14" s="94" customFormat="1" ht="15" customHeight="1" x14ac:dyDescent="0.25">
      <c r="A22" s="238"/>
      <c r="B22" s="236" t="s">
        <v>371</v>
      </c>
      <c r="C22" s="236"/>
      <c r="D22" s="236"/>
      <c r="E22" s="236"/>
      <c r="F22" s="236"/>
      <c r="G22" s="236"/>
      <c r="H22" s="236"/>
      <c r="I22" s="236"/>
      <c r="J22" s="236"/>
      <c r="K22" s="236"/>
      <c r="L22" s="237"/>
      <c r="N22" s="117"/>
    </row>
    <row r="23" spans="1:14" s="94" customFormat="1" ht="16.5" customHeight="1" x14ac:dyDescent="0.25">
      <c r="A23" s="238"/>
      <c r="B23" s="185" t="s">
        <v>372</v>
      </c>
      <c r="C23" s="185"/>
      <c r="D23" s="185"/>
      <c r="E23" s="185"/>
      <c r="F23" s="185"/>
      <c r="G23" s="185"/>
      <c r="H23" s="185"/>
      <c r="I23" s="185"/>
      <c r="J23" s="185"/>
      <c r="K23" s="185"/>
      <c r="L23" s="186"/>
    </row>
    <row r="24" spans="1:14" s="65" customFormat="1" ht="15" customHeight="1" x14ac:dyDescent="0.25">
      <c r="A24" s="239">
        <v>7</v>
      </c>
      <c r="B24" s="185" t="s">
        <v>373</v>
      </c>
      <c r="C24" s="185"/>
      <c r="D24" s="185"/>
      <c r="E24" s="185"/>
      <c r="F24" s="185"/>
      <c r="G24" s="185"/>
      <c r="H24" s="185"/>
      <c r="I24" s="185"/>
      <c r="J24" s="185"/>
      <c r="K24" s="185"/>
      <c r="L24" s="186"/>
    </row>
    <row r="25" spans="1:14" s="94" customFormat="1" ht="30.75" customHeight="1" x14ac:dyDescent="0.25">
      <c r="A25" s="240">
        <v>8</v>
      </c>
      <c r="B25" s="241" t="s">
        <v>374</v>
      </c>
      <c r="C25" s="241"/>
      <c r="D25" s="241"/>
      <c r="E25" s="241"/>
      <c r="F25" s="241"/>
      <c r="G25" s="241"/>
      <c r="H25" s="241"/>
      <c r="I25" s="241"/>
      <c r="J25" s="241"/>
      <c r="K25" s="241"/>
      <c r="L25" s="242"/>
    </row>
    <row r="26" spans="1:14" s="245" customFormat="1" ht="18" customHeight="1" x14ac:dyDescent="0.25">
      <c r="A26" s="243"/>
      <c r="B26" s="244"/>
      <c r="C26" s="244"/>
      <c r="D26" s="244"/>
      <c r="E26" s="244"/>
      <c r="F26" s="244"/>
      <c r="G26" s="244"/>
      <c r="H26" s="244"/>
      <c r="I26" s="244"/>
      <c r="J26" s="244"/>
      <c r="K26" s="244"/>
      <c r="L26" s="244"/>
    </row>
    <row r="27" spans="1:14" s="1" customFormat="1" ht="16.5" customHeight="1" x14ac:dyDescent="0.25">
      <c r="A27" s="246" t="s">
        <v>375</v>
      </c>
      <c r="B27" s="247"/>
      <c r="C27" s="247"/>
      <c r="D27" s="247"/>
      <c r="E27" s="247"/>
      <c r="F27" s="247"/>
      <c r="G27" s="247"/>
      <c r="H27" s="247"/>
      <c r="I27" s="247"/>
      <c r="J27" s="247"/>
      <c r="K27" s="247"/>
      <c r="L27" s="248"/>
    </row>
    <row r="28" spans="1:14" s="1" customFormat="1" ht="16.5" customHeight="1" x14ac:dyDescent="0.25">
      <c r="A28" s="249" t="s">
        <v>376</v>
      </c>
      <c r="B28" s="250"/>
      <c r="C28" s="250"/>
      <c r="D28" s="250"/>
      <c r="E28" s="250"/>
      <c r="F28" s="250"/>
      <c r="G28" s="250"/>
      <c r="H28" s="250"/>
      <c r="I28" s="250"/>
      <c r="J28" s="250"/>
      <c r="K28" s="250"/>
      <c r="L28" s="251"/>
    </row>
    <row r="29" spans="1:14" ht="14.25" customHeight="1" x14ac:dyDescent="0.25">
      <c r="B29" s="180"/>
      <c r="C29" s="180"/>
      <c r="D29" s="180"/>
      <c r="E29" s="180"/>
      <c r="F29" s="180"/>
      <c r="G29" s="180"/>
      <c r="H29" s="180"/>
      <c r="I29" s="180"/>
      <c r="J29" s="180"/>
      <c r="K29" s="180"/>
      <c r="L29" s="180"/>
    </row>
    <row r="30" spans="1:14" ht="16.5" customHeight="1" x14ac:dyDescent="0.25">
      <c r="A30" s="252" t="s">
        <v>260</v>
      </c>
      <c r="B30" s="253"/>
      <c r="C30" s="253"/>
      <c r="D30" s="254"/>
      <c r="E30" s="253"/>
      <c r="F30" s="253"/>
      <c r="G30" s="253"/>
      <c r="H30" s="253"/>
      <c r="I30" s="253"/>
      <c r="J30" s="253"/>
      <c r="K30" s="253"/>
      <c r="L30" s="255"/>
    </row>
    <row r="31" spans="1:14" ht="15" customHeight="1" x14ac:dyDescent="0.25">
      <c r="A31" s="256"/>
      <c r="B31" s="257" t="s">
        <v>74</v>
      </c>
      <c r="C31" s="258" t="s">
        <v>96</v>
      </c>
      <c r="D31" s="258"/>
      <c r="E31" s="258"/>
      <c r="F31" s="258"/>
      <c r="G31" s="258"/>
      <c r="H31" s="258"/>
      <c r="I31" s="258"/>
      <c r="J31" s="258"/>
      <c r="K31" s="258"/>
      <c r="L31" s="259"/>
    </row>
    <row r="32" spans="1:14" ht="14.25" customHeight="1" x14ac:dyDescent="0.25">
      <c r="A32" s="256"/>
      <c r="B32" s="257" t="s">
        <v>98</v>
      </c>
      <c r="C32" s="258" t="s">
        <v>123</v>
      </c>
      <c r="D32" s="258"/>
      <c r="E32" s="258"/>
      <c r="F32" s="258"/>
      <c r="G32" s="258"/>
      <c r="H32" s="258"/>
      <c r="I32" s="258"/>
      <c r="J32" s="258"/>
      <c r="K32" s="258"/>
      <c r="L32" s="259"/>
    </row>
    <row r="33" spans="1:12" s="64" customFormat="1" ht="33.75" customHeight="1" x14ac:dyDescent="0.25">
      <c r="A33" s="256"/>
      <c r="B33" s="257" t="s">
        <v>74</v>
      </c>
      <c r="C33" s="260" t="s">
        <v>210</v>
      </c>
      <c r="D33" s="260"/>
      <c r="E33" s="260"/>
      <c r="F33" s="260"/>
      <c r="G33" s="260"/>
      <c r="H33" s="260"/>
      <c r="I33" s="260"/>
      <c r="J33" s="260"/>
      <c r="K33" s="260"/>
      <c r="L33" s="261"/>
    </row>
    <row r="34" spans="1:12" s="65" customFormat="1" ht="30.75" customHeight="1" x14ac:dyDescent="0.25">
      <c r="A34" s="256"/>
      <c r="B34" s="257" t="s">
        <v>208</v>
      </c>
      <c r="C34" s="260" t="s">
        <v>211</v>
      </c>
      <c r="D34" s="260"/>
      <c r="E34" s="260"/>
      <c r="F34" s="260"/>
      <c r="G34" s="260"/>
      <c r="H34" s="260"/>
      <c r="I34" s="260"/>
      <c r="J34" s="260"/>
      <c r="K34" s="260"/>
      <c r="L34" s="261"/>
    </row>
    <row r="35" spans="1:12" ht="30.75" customHeight="1" x14ac:dyDescent="0.25">
      <c r="A35" s="256"/>
      <c r="B35" s="257" t="s">
        <v>209</v>
      </c>
      <c r="C35" s="260" t="s">
        <v>212</v>
      </c>
      <c r="D35" s="260"/>
      <c r="E35" s="260"/>
      <c r="F35" s="260"/>
      <c r="G35" s="260"/>
      <c r="H35" s="260"/>
      <c r="I35" s="260"/>
      <c r="J35" s="260"/>
      <c r="K35" s="260"/>
      <c r="L35" s="261"/>
    </row>
    <row r="36" spans="1:12" x14ac:dyDescent="0.25">
      <c r="A36" s="256"/>
      <c r="B36" s="257" t="s">
        <v>348</v>
      </c>
      <c r="C36" s="258" t="s">
        <v>154</v>
      </c>
      <c r="D36" s="258"/>
      <c r="E36" s="258"/>
      <c r="F36" s="258"/>
      <c r="G36" s="258"/>
      <c r="H36" s="258"/>
      <c r="I36" s="258"/>
      <c r="J36" s="258"/>
      <c r="K36" s="258"/>
      <c r="L36" s="259"/>
    </row>
    <row r="37" spans="1:12" ht="29.25" customHeight="1" x14ac:dyDescent="0.25">
      <c r="A37" s="256"/>
      <c r="B37" s="257" t="s">
        <v>75</v>
      </c>
      <c r="C37" s="260" t="s">
        <v>76</v>
      </c>
      <c r="D37" s="260"/>
      <c r="E37" s="260"/>
      <c r="F37" s="260"/>
      <c r="G37" s="260"/>
      <c r="H37" s="260"/>
      <c r="I37" s="260"/>
      <c r="J37" s="260"/>
      <c r="K37" s="260"/>
      <c r="L37" s="261"/>
    </row>
    <row r="38" spans="1:12" x14ac:dyDescent="0.25">
      <c r="A38" s="256"/>
      <c r="B38" s="257" t="s">
        <v>77</v>
      </c>
      <c r="C38" s="258" t="s">
        <v>78</v>
      </c>
      <c r="D38" s="258"/>
      <c r="E38" s="258"/>
      <c r="F38" s="258"/>
      <c r="G38" s="258"/>
      <c r="H38" s="258"/>
      <c r="I38" s="258"/>
      <c r="J38" s="258"/>
      <c r="K38" s="258"/>
      <c r="L38" s="259"/>
    </row>
    <row r="39" spans="1:12" x14ac:dyDescent="0.25">
      <c r="A39" s="256"/>
      <c r="B39" s="257" t="s">
        <v>91</v>
      </c>
      <c r="C39" s="258" t="s">
        <v>92</v>
      </c>
      <c r="D39" s="258"/>
      <c r="E39" s="258"/>
      <c r="F39" s="258"/>
      <c r="G39" s="258"/>
      <c r="H39" s="258"/>
      <c r="I39" s="258"/>
      <c r="J39" s="258"/>
      <c r="K39" s="258"/>
      <c r="L39" s="259"/>
    </row>
    <row r="40" spans="1:12" x14ac:dyDescent="0.25">
      <c r="A40" s="262"/>
      <c r="B40" s="263" t="s">
        <v>249</v>
      </c>
      <c r="C40" s="264" t="s">
        <v>250</v>
      </c>
      <c r="D40" s="264"/>
      <c r="E40" s="264"/>
      <c r="F40" s="264"/>
      <c r="G40" s="264"/>
      <c r="H40" s="264"/>
      <c r="I40" s="264"/>
      <c r="J40" s="264"/>
      <c r="K40" s="264"/>
      <c r="L40" s="265"/>
    </row>
    <row r="42" spans="1:12" x14ac:dyDescent="0.25">
      <c r="A42" s="1" t="s">
        <v>126</v>
      </c>
    </row>
    <row r="43" spans="1:12" x14ac:dyDescent="0.25">
      <c r="A43" t="s">
        <v>127</v>
      </c>
    </row>
    <row r="44" spans="1:12" x14ac:dyDescent="0.25">
      <c r="A44" t="s">
        <v>128</v>
      </c>
    </row>
    <row r="45" spans="1:12" x14ac:dyDescent="0.25">
      <c r="A45" s="49" t="s">
        <v>129</v>
      </c>
    </row>
    <row r="46" spans="1:12" x14ac:dyDescent="0.25">
      <c r="A46" s="49" t="s">
        <v>130</v>
      </c>
    </row>
    <row r="47" spans="1:12" x14ac:dyDescent="0.25">
      <c r="A47" s="49"/>
    </row>
    <row r="48" spans="1:12" x14ac:dyDescent="0.25">
      <c r="A48" s="1" t="s">
        <v>332</v>
      </c>
    </row>
    <row r="49" spans="1:12" x14ac:dyDescent="0.25">
      <c r="A49" s="49" t="s">
        <v>330</v>
      </c>
    </row>
    <row r="51" spans="1:12" x14ac:dyDescent="0.25">
      <c r="A51" s="1" t="s">
        <v>35</v>
      </c>
    </row>
    <row r="52" spans="1:12" ht="29.1" customHeight="1" x14ac:dyDescent="0.25">
      <c r="A52" s="184" t="s">
        <v>331</v>
      </c>
      <c r="B52" s="184"/>
      <c r="C52" s="184"/>
      <c r="D52" s="184"/>
      <c r="E52" s="184"/>
      <c r="F52" s="184"/>
      <c r="G52" s="184"/>
      <c r="H52" s="184"/>
      <c r="I52" s="184"/>
      <c r="J52" s="184"/>
      <c r="K52" s="184"/>
      <c r="L52" s="184"/>
    </row>
    <row r="57" spans="1:12" ht="15.95" customHeight="1" x14ac:dyDescent="0.25"/>
    <row r="58" spans="1:12" ht="29.25" customHeight="1" x14ac:dyDescent="0.25"/>
  </sheetData>
  <mergeCells count="28">
    <mergeCell ref="C33:L33"/>
    <mergeCell ref="C34:L34"/>
    <mergeCell ref="C35:L35"/>
    <mergeCell ref="C37:L37"/>
    <mergeCell ref="B19:L19"/>
    <mergeCell ref="B20:L20"/>
    <mergeCell ref="B21:L21"/>
    <mergeCell ref="B22:L22"/>
    <mergeCell ref="A6:L6"/>
    <mergeCell ref="A7:L7"/>
    <mergeCell ref="A8:L8"/>
    <mergeCell ref="A9:L9"/>
    <mergeCell ref="B12:L12"/>
    <mergeCell ref="N4:R4"/>
    <mergeCell ref="A4:L4"/>
    <mergeCell ref="A1:L1"/>
    <mergeCell ref="A52:L52"/>
    <mergeCell ref="A27:L27"/>
    <mergeCell ref="A11:L11"/>
    <mergeCell ref="B13:L13"/>
    <mergeCell ref="B14:L14"/>
    <mergeCell ref="B15:L15"/>
    <mergeCell ref="B16:L16"/>
    <mergeCell ref="B17:L17"/>
    <mergeCell ref="B18:L18"/>
    <mergeCell ref="B23:L23"/>
    <mergeCell ref="B24:L24"/>
    <mergeCell ref="B25:L25"/>
  </mergeCells>
  <hyperlinks>
    <hyperlink ref="A45" r:id="rId1" xr:uid="{6B934EC2-E381-41EE-938C-08FAF5E51BBE}"/>
    <hyperlink ref="A46" r:id="rId2" xr:uid="{785DB934-D308-4A7B-B51A-B3D1C1CB613D}"/>
    <hyperlink ref="A49" r:id="rId3" xr:uid="{628F21D8-1E97-4CD2-A7F4-B694F56F2A98}"/>
    <hyperlink ref="A27:L27" r:id="rId4" display="Visuals of Key Ideas" xr:uid="{859BFD9E-D08B-44CA-9DE3-FFEC8C0810A4}"/>
    <hyperlink ref="A28"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85</v>
      </c>
    </row>
    <row r="2" spans="1:13" x14ac:dyDescent="0.25">
      <c r="A2" t="s">
        <v>9</v>
      </c>
    </row>
    <row r="3" spans="1:13" x14ac:dyDescent="0.25">
      <c r="C3">
        <v>2035000</v>
      </c>
    </row>
    <row r="4" spans="1:13" x14ac:dyDescent="0.25">
      <c r="A4" s="3" t="s">
        <v>10</v>
      </c>
      <c r="B4" s="3" t="s">
        <v>11</v>
      </c>
      <c r="C4" s="3" t="s">
        <v>12</v>
      </c>
      <c r="D4" s="3" t="s">
        <v>13</v>
      </c>
      <c r="E4" s="4" t="s">
        <v>14</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23">
        <v>60736</v>
      </c>
      <c r="C9" s="6">
        <f t="shared" si="0"/>
        <v>2095736</v>
      </c>
      <c r="D9" s="6">
        <v>30563.999999899999</v>
      </c>
      <c r="E9" s="2">
        <v>5</v>
      </c>
      <c r="H9" s="8">
        <f t="shared" si="1"/>
        <v>897</v>
      </c>
    </row>
    <row r="10" spans="1:13" x14ac:dyDescent="0.25">
      <c r="A10" s="5">
        <v>897.5</v>
      </c>
      <c r="B10" s="23">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6" zoomScale="280" zoomScaleNormal="280" workbookViewId="0">
      <selection activeCell="A11" sqref="A11:C14"/>
    </sheetView>
  </sheetViews>
  <sheetFormatPr defaultRowHeight="15" x14ac:dyDescent="0.25"/>
  <cols>
    <col min="1" max="2" width="8.7109375" style="65"/>
    <col min="3" max="3" width="3.7109375" style="65" customWidth="1"/>
    <col min="4" max="4" width="46.5703125" style="65" customWidth="1"/>
  </cols>
  <sheetData>
    <row r="1" spans="1:4" x14ac:dyDescent="0.25">
      <c r="A1" s="65" t="s">
        <v>248</v>
      </c>
    </row>
    <row r="3" spans="1:4" s="1" customFormat="1" x14ac:dyDescent="0.25">
      <c r="A3" s="221" t="s">
        <v>246</v>
      </c>
      <c r="B3" s="221"/>
      <c r="C3" s="221"/>
      <c r="D3" s="142" t="s">
        <v>245</v>
      </c>
    </row>
    <row r="4" spans="1:4" ht="45" x14ac:dyDescent="0.25">
      <c r="A4" s="222" t="s">
        <v>239</v>
      </c>
      <c r="B4" s="222"/>
      <c r="C4" s="222"/>
      <c r="D4" s="41" t="s">
        <v>244</v>
      </c>
    </row>
    <row r="5" spans="1:4" ht="45" x14ac:dyDescent="0.25">
      <c r="A5" s="223" t="s">
        <v>240</v>
      </c>
      <c r="B5" s="223"/>
      <c r="C5" s="223"/>
      <c r="D5" s="41" t="s">
        <v>259</v>
      </c>
    </row>
    <row r="6" spans="1:4" ht="75" x14ac:dyDescent="0.25">
      <c r="A6" s="224" t="s">
        <v>241</v>
      </c>
      <c r="B6" s="224"/>
      <c r="C6" s="224"/>
      <c r="D6" s="41" t="s">
        <v>243</v>
      </c>
    </row>
    <row r="7" spans="1:4" ht="30" x14ac:dyDescent="0.25">
      <c r="A7" s="225" t="s">
        <v>33</v>
      </c>
      <c r="B7" s="225"/>
      <c r="C7" s="225"/>
      <c r="D7" s="41" t="s">
        <v>242</v>
      </c>
    </row>
    <row r="11" spans="1:4" x14ac:dyDescent="0.25">
      <c r="A11" s="222" t="s">
        <v>239</v>
      </c>
      <c r="B11" s="222"/>
      <c r="C11" s="222"/>
    </row>
    <row r="12" spans="1:4" x14ac:dyDescent="0.25">
      <c r="A12" s="223" t="s">
        <v>240</v>
      </c>
      <c r="B12" s="223"/>
      <c r="C12" s="223"/>
    </row>
    <row r="13" spans="1:4" x14ac:dyDescent="0.25">
      <c r="A13" s="224" t="s">
        <v>241</v>
      </c>
      <c r="B13" s="224"/>
      <c r="C13" s="224"/>
    </row>
    <row r="14" spans="1:4" x14ac:dyDescent="0.25">
      <c r="A14" s="225" t="s">
        <v>33</v>
      </c>
      <c r="B14" s="225"/>
      <c r="C14" s="225"/>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3"/>
  <sheetViews>
    <sheetView zoomScale="150" zoomScaleNormal="150" workbookViewId="0">
      <selection activeCell="E4" sqref="E4"/>
    </sheetView>
  </sheetViews>
  <sheetFormatPr defaultRowHeight="15" x14ac:dyDescent="0.25"/>
  <cols>
    <col min="1" max="1" width="12.5703125" style="42" customWidth="1"/>
    <col min="2" max="2" width="7.85546875" style="168" customWidth="1"/>
    <col min="3" max="3" width="29.85546875" style="41" customWidth="1"/>
    <col min="4" max="4" width="12.42578125" style="44" customWidth="1"/>
    <col min="5" max="5" width="15.140625" style="44" customWidth="1"/>
    <col min="6" max="6" width="12" style="42" customWidth="1"/>
    <col min="8" max="8" width="32.42578125" style="59" customWidth="1"/>
    <col min="9" max="9" width="12.42578125" style="59" customWidth="1"/>
    <col min="10" max="10" width="11" style="121" customWidth="1"/>
  </cols>
  <sheetData>
    <row r="1" spans="1:10" s="38" customFormat="1" ht="30.6" customHeight="1" x14ac:dyDescent="0.25">
      <c r="A1" s="39" t="s">
        <v>99</v>
      </c>
      <c r="B1" s="166" t="s">
        <v>111</v>
      </c>
      <c r="C1" s="40" t="s">
        <v>100</v>
      </c>
      <c r="D1" s="39" t="s">
        <v>102</v>
      </c>
      <c r="E1" s="39" t="s">
        <v>101</v>
      </c>
      <c r="F1" s="39" t="s">
        <v>103</v>
      </c>
      <c r="H1" s="118" t="s">
        <v>135</v>
      </c>
      <c r="I1" s="118" t="s">
        <v>101</v>
      </c>
      <c r="J1" s="119" t="s">
        <v>103</v>
      </c>
    </row>
    <row r="2" spans="1:10" x14ac:dyDescent="0.25">
      <c r="A2" s="62"/>
      <c r="B2" s="167"/>
      <c r="C2" s="61"/>
      <c r="D2" s="60"/>
      <c r="E2" s="60"/>
      <c r="F2" s="62"/>
      <c r="H2" s="41"/>
      <c r="I2" s="41"/>
      <c r="J2" s="42"/>
    </row>
    <row r="3" spans="1:10" ht="60" x14ac:dyDescent="0.25">
      <c r="A3" s="62">
        <v>44588</v>
      </c>
      <c r="B3" s="167" t="s">
        <v>352</v>
      </c>
      <c r="C3" s="61" t="s">
        <v>353</v>
      </c>
      <c r="D3" s="60" t="s">
        <v>95</v>
      </c>
      <c r="E3" s="60" t="s">
        <v>95</v>
      </c>
      <c r="F3" s="62"/>
      <c r="H3" s="41"/>
      <c r="I3" s="41"/>
      <c r="J3" s="42"/>
    </row>
    <row r="4" spans="1:10" ht="45" x14ac:dyDescent="0.25">
      <c r="A4" s="62">
        <v>44581</v>
      </c>
      <c r="B4" s="167" t="s">
        <v>350</v>
      </c>
      <c r="C4" s="61" t="s">
        <v>351</v>
      </c>
      <c r="D4" s="60" t="s">
        <v>95</v>
      </c>
      <c r="E4" s="60" t="s">
        <v>95</v>
      </c>
      <c r="F4" s="62"/>
      <c r="H4" s="41"/>
      <c r="I4" s="41"/>
      <c r="J4" s="43"/>
    </row>
    <row r="5" spans="1:10" ht="40.5" customHeight="1" x14ac:dyDescent="0.25">
      <c r="A5" s="62">
        <v>44581</v>
      </c>
      <c r="B5" s="167" t="s">
        <v>344</v>
      </c>
      <c r="C5" s="61" t="s">
        <v>345</v>
      </c>
      <c r="D5" s="60" t="s">
        <v>95</v>
      </c>
      <c r="E5" s="60" t="s">
        <v>346</v>
      </c>
      <c r="F5" s="62" t="s">
        <v>347</v>
      </c>
      <c r="H5" s="41"/>
      <c r="I5" s="41"/>
      <c r="J5" s="43"/>
    </row>
    <row r="6" spans="1:10" ht="38.450000000000003" customHeight="1" x14ac:dyDescent="0.25">
      <c r="A6" s="62">
        <v>44532</v>
      </c>
      <c r="B6" s="167" t="s">
        <v>329</v>
      </c>
      <c r="C6" s="61" t="s">
        <v>333</v>
      </c>
      <c r="D6" s="60" t="s">
        <v>95</v>
      </c>
      <c r="E6" s="60" t="s">
        <v>95</v>
      </c>
      <c r="F6" s="62"/>
      <c r="H6" s="41" t="s">
        <v>136</v>
      </c>
      <c r="I6" s="41" t="s">
        <v>95</v>
      </c>
      <c r="J6" s="42"/>
    </row>
    <row r="7" spans="1:10" ht="30" x14ac:dyDescent="0.25">
      <c r="A7" s="62">
        <v>44501</v>
      </c>
      <c r="B7" s="167" t="s">
        <v>327</v>
      </c>
      <c r="C7" s="61" t="s">
        <v>328</v>
      </c>
      <c r="D7" s="60" t="s">
        <v>95</v>
      </c>
      <c r="E7" s="60" t="s">
        <v>95</v>
      </c>
      <c r="F7" s="62"/>
      <c r="H7" s="41" t="s">
        <v>313</v>
      </c>
      <c r="I7" s="120" t="s">
        <v>155</v>
      </c>
      <c r="J7" s="43">
        <v>44482</v>
      </c>
    </row>
    <row r="8" spans="1:10" ht="90" x14ac:dyDescent="0.25">
      <c r="A8" s="62">
        <v>44500</v>
      </c>
      <c r="B8" s="167" t="s">
        <v>325</v>
      </c>
      <c r="C8" s="61" t="s">
        <v>326</v>
      </c>
      <c r="D8" s="60" t="s">
        <v>95</v>
      </c>
      <c r="E8" s="60" t="s">
        <v>95</v>
      </c>
      <c r="F8" s="62"/>
      <c r="H8" s="41" t="s">
        <v>314</v>
      </c>
      <c r="I8" s="120" t="s">
        <v>95</v>
      </c>
      <c r="J8" s="43"/>
    </row>
    <row r="9" spans="1:10" ht="45" x14ac:dyDescent="0.25">
      <c r="A9" s="62">
        <v>44496</v>
      </c>
      <c r="B9" s="167" t="s">
        <v>320</v>
      </c>
      <c r="C9" s="61" t="s">
        <v>321</v>
      </c>
      <c r="D9" s="60" t="s">
        <v>95</v>
      </c>
      <c r="E9" s="60" t="s">
        <v>312</v>
      </c>
      <c r="F9" s="62"/>
      <c r="H9" s="41" t="s">
        <v>159</v>
      </c>
      <c r="I9" s="41" t="s">
        <v>155</v>
      </c>
      <c r="J9" s="43">
        <v>44385</v>
      </c>
    </row>
    <row r="10" spans="1:10" ht="90" x14ac:dyDescent="0.25">
      <c r="A10" s="62">
        <v>44496</v>
      </c>
      <c r="B10" s="167" t="s">
        <v>318</v>
      </c>
      <c r="C10" s="61" t="s">
        <v>319</v>
      </c>
      <c r="D10" s="60" t="s">
        <v>95</v>
      </c>
      <c r="E10" s="60" t="s">
        <v>334</v>
      </c>
      <c r="F10" s="62">
        <v>44495</v>
      </c>
      <c r="H10" s="41" t="s">
        <v>204</v>
      </c>
      <c r="I10" s="120" t="s">
        <v>199</v>
      </c>
      <c r="J10" s="43">
        <v>44391</v>
      </c>
    </row>
    <row r="11" spans="1:10" ht="75" x14ac:dyDescent="0.25">
      <c r="A11" s="62">
        <v>44480</v>
      </c>
      <c r="B11" s="167" t="s">
        <v>311</v>
      </c>
      <c r="C11" s="61" t="s">
        <v>308</v>
      </c>
      <c r="D11" s="60" t="s">
        <v>95</v>
      </c>
      <c r="E11" s="60"/>
      <c r="F11" s="62"/>
      <c r="H11" s="41" t="s">
        <v>157</v>
      </c>
      <c r="I11" s="120" t="s">
        <v>199</v>
      </c>
      <c r="J11" s="43">
        <v>44391</v>
      </c>
    </row>
    <row r="12" spans="1:10" ht="45" x14ac:dyDescent="0.25">
      <c r="A12" s="62">
        <v>44480</v>
      </c>
      <c r="B12" s="167" t="s">
        <v>310</v>
      </c>
      <c r="C12" s="61" t="s">
        <v>307</v>
      </c>
      <c r="D12" s="60" t="s">
        <v>95</v>
      </c>
      <c r="E12" s="60" t="s">
        <v>95</v>
      </c>
      <c r="F12" s="62"/>
      <c r="H12" s="41" t="s">
        <v>158</v>
      </c>
      <c r="I12" s="120" t="s">
        <v>199</v>
      </c>
      <c r="J12" s="43">
        <v>44391</v>
      </c>
    </row>
    <row r="13" spans="1:10" ht="30" x14ac:dyDescent="0.25">
      <c r="A13" s="62">
        <v>44480</v>
      </c>
      <c r="B13" s="167" t="s">
        <v>309</v>
      </c>
      <c r="C13" s="61" t="s">
        <v>306</v>
      </c>
      <c r="D13" s="60" t="s">
        <v>95</v>
      </c>
      <c r="E13" s="60" t="s">
        <v>261</v>
      </c>
      <c r="F13" s="62" t="s">
        <v>262</v>
      </c>
      <c r="H13" s="41"/>
      <c r="I13" s="41"/>
      <c r="J13" s="42"/>
    </row>
    <row r="14" spans="1:10" ht="45" x14ac:dyDescent="0.25">
      <c r="A14" s="62">
        <v>44474</v>
      </c>
      <c r="B14" s="60">
        <v>3.7</v>
      </c>
      <c r="C14" s="61" t="s">
        <v>251</v>
      </c>
      <c r="D14" s="60" t="s">
        <v>95</v>
      </c>
      <c r="E14" s="60" t="s">
        <v>95</v>
      </c>
      <c r="F14" s="62"/>
      <c r="H14" s="41"/>
      <c r="I14" s="41"/>
      <c r="J14" s="42"/>
    </row>
    <row r="15" spans="1:10" ht="45" x14ac:dyDescent="0.25">
      <c r="A15" s="62">
        <v>44463</v>
      </c>
      <c r="B15" s="60" t="s">
        <v>324</v>
      </c>
      <c r="C15" s="61" t="s">
        <v>233</v>
      </c>
      <c r="D15" s="60" t="s">
        <v>95</v>
      </c>
      <c r="E15" s="60" t="s">
        <v>335</v>
      </c>
      <c r="F15" s="62">
        <v>44432</v>
      </c>
      <c r="H15" s="41"/>
      <c r="I15" s="41"/>
      <c r="J15" s="42"/>
    </row>
    <row r="16" spans="1:10" ht="75" x14ac:dyDescent="0.25">
      <c r="A16" s="62">
        <v>44459</v>
      </c>
      <c r="B16" s="60" t="s">
        <v>215</v>
      </c>
      <c r="C16" s="61" t="s">
        <v>216</v>
      </c>
      <c r="D16" s="60" t="s">
        <v>95</v>
      </c>
      <c r="E16" s="60" t="s">
        <v>95</v>
      </c>
      <c r="F16" s="62"/>
      <c r="H16" s="41"/>
      <c r="I16" s="41"/>
      <c r="J16" s="42"/>
    </row>
    <row r="17" spans="1:6" ht="45" x14ac:dyDescent="0.25">
      <c r="A17" s="62">
        <v>44459</v>
      </c>
      <c r="B17" s="60">
        <v>3.6</v>
      </c>
      <c r="C17" s="61" t="s">
        <v>217</v>
      </c>
      <c r="D17" s="60" t="s">
        <v>95</v>
      </c>
      <c r="E17" s="60" t="s">
        <v>95</v>
      </c>
      <c r="F17" s="62"/>
    </row>
    <row r="18" spans="1:6" ht="75" x14ac:dyDescent="0.25">
      <c r="A18" s="62">
        <v>44432</v>
      </c>
      <c r="B18" s="60">
        <v>3.5</v>
      </c>
      <c r="C18" s="61" t="s">
        <v>207</v>
      </c>
      <c r="D18" s="60" t="s">
        <v>95</v>
      </c>
      <c r="E18" s="60" t="s">
        <v>95</v>
      </c>
      <c r="F18" s="62">
        <v>44424</v>
      </c>
    </row>
    <row r="19" spans="1:6" ht="120" x14ac:dyDescent="0.25">
      <c r="A19" s="62">
        <v>44432</v>
      </c>
      <c r="B19" s="60">
        <v>3.5</v>
      </c>
      <c r="C19" s="61" t="s">
        <v>213</v>
      </c>
      <c r="D19" s="60" t="s">
        <v>95</v>
      </c>
      <c r="E19" s="60" t="s">
        <v>336</v>
      </c>
      <c r="F19" s="62">
        <v>44424</v>
      </c>
    </row>
    <row r="20" spans="1:6" ht="105" x14ac:dyDescent="0.25">
      <c r="A20" s="62">
        <v>44432</v>
      </c>
      <c r="B20" s="60">
        <v>3.5</v>
      </c>
      <c r="C20" s="61" t="s">
        <v>205</v>
      </c>
      <c r="D20" s="60" t="s">
        <v>95</v>
      </c>
      <c r="E20" s="60"/>
      <c r="F20" s="62"/>
    </row>
    <row r="21" spans="1:6" ht="45" x14ac:dyDescent="0.25">
      <c r="A21" s="62">
        <v>44423</v>
      </c>
      <c r="B21" s="60" t="s">
        <v>201</v>
      </c>
      <c r="C21" s="61" t="s">
        <v>202</v>
      </c>
      <c r="D21" s="60" t="s">
        <v>95</v>
      </c>
      <c r="E21" s="60" t="s">
        <v>95</v>
      </c>
      <c r="F21" s="62"/>
    </row>
    <row r="22" spans="1:6" ht="45" x14ac:dyDescent="0.25">
      <c r="A22" s="62">
        <v>44405</v>
      </c>
      <c r="B22" s="60" t="s">
        <v>198</v>
      </c>
      <c r="C22" s="41" t="s">
        <v>200</v>
      </c>
      <c r="D22" s="60" t="s">
        <v>95</v>
      </c>
      <c r="E22" s="60" t="s">
        <v>337</v>
      </c>
      <c r="F22" s="62">
        <v>44405</v>
      </c>
    </row>
    <row r="23" spans="1:6" ht="45" x14ac:dyDescent="0.25">
      <c r="A23" s="62">
        <v>44405</v>
      </c>
      <c r="B23" s="60" t="s">
        <v>196</v>
      </c>
      <c r="C23" s="61" t="s">
        <v>197</v>
      </c>
      <c r="D23" s="60" t="s">
        <v>95</v>
      </c>
      <c r="E23" s="60" t="s">
        <v>95</v>
      </c>
      <c r="F23" s="62">
        <v>44405</v>
      </c>
    </row>
    <row r="24" spans="1:6" ht="75" x14ac:dyDescent="0.25">
      <c r="A24" s="62">
        <v>44405</v>
      </c>
      <c r="B24" s="60" t="s">
        <v>183</v>
      </c>
      <c r="C24" s="61" t="s">
        <v>195</v>
      </c>
      <c r="D24" s="60" t="s">
        <v>95</v>
      </c>
      <c r="E24" s="60" t="s">
        <v>337</v>
      </c>
      <c r="F24" s="62">
        <v>44391</v>
      </c>
    </row>
    <row r="25" spans="1:6" ht="45" x14ac:dyDescent="0.25">
      <c r="A25" s="60" t="s">
        <v>180</v>
      </c>
      <c r="B25" s="60" t="s">
        <v>179</v>
      </c>
      <c r="C25" s="41" t="s">
        <v>181</v>
      </c>
      <c r="D25" s="60" t="s">
        <v>95</v>
      </c>
      <c r="E25" s="60" t="s">
        <v>337</v>
      </c>
      <c r="F25" s="62">
        <v>44391</v>
      </c>
    </row>
    <row r="26" spans="1:6" ht="30" x14ac:dyDescent="0.25">
      <c r="A26" s="60" t="s">
        <v>180</v>
      </c>
      <c r="B26" s="60" t="s">
        <v>179</v>
      </c>
      <c r="C26" s="41" t="s">
        <v>156</v>
      </c>
      <c r="D26" s="60" t="s">
        <v>95</v>
      </c>
      <c r="E26" s="60" t="s">
        <v>337</v>
      </c>
      <c r="F26" s="62">
        <v>44391</v>
      </c>
    </row>
    <row r="27" spans="1:6" ht="105" x14ac:dyDescent="0.25">
      <c r="A27" s="62">
        <v>44403</v>
      </c>
      <c r="B27" s="60" t="s">
        <v>160</v>
      </c>
      <c r="C27" s="61" t="s">
        <v>161</v>
      </c>
      <c r="D27" s="60" t="s">
        <v>95</v>
      </c>
      <c r="E27" s="60" t="s">
        <v>337</v>
      </c>
      <c r="F27" s="62">
        <v>44391</v>
      </c>
    </row>
    <row r="28" spans="1:6" ht="60" x14ac:dyDescent="0.25">
      <c r="A28" s="43">
        <v>44389</v>
      </c>
      <c r="B28" s="42" t="s">
        <v>152</v>
      </c>
      <c r="C28" s="41" t="s">
        <v>153</v>
      </c>
      <c r="D28" s="44" t="s">
        <v>95</v>
      </c>
      <c r="E28" s="44" t="s">
        <v>95</v>
      </c>
      <c r="F28" s="43">
        <v>44389</v>
      </c>
    </row>
    <row r="29" spans="1:6" ht="45" x14ac:dyDescent="0.25">
      <c r="A29" s="43">
        <v>44389</v>
      </c>
      <c r="B29" s="42" t="s">
        <v>150</v>
      </c>
      <c r="C29" s="41" t="s">
        <v>151</v>
      </c>
      <c r="D29" s="44" t="s">
        <v>95</v>
      </c>
      <c r="E29" s="44" t="s">
        <v>155</v>
      </c>
      <c r="F29" s="43">
        <v>44385</v>
      </c>
    </row>
    <row r="30" spans="1:6" ht="60" x14ac:dyDescent="0.25">
      <c r="A30" s="43">
        <v>44385</v>
      </c>
      <c r="B30" s="42" t="s">
        <v>131</v>
      </c>
      <c r="C30" s="41" t="s">
        <v>132</v>
      </c>
      <c r="D30" s="44" t="s">
        <v>95</v>
      </c>
      <c r="E30" s="44" t="s">
        <v>95</v>
      </c>
      <c r="F30" s="43">
        <f>A30</f>
        <v>44385</v>
      </c>
    </row>
    <row r="31" spans="1:6" ht="30" x14ac:dyDescent="0.25">
      <c r="A31" s="43">
        <v>44384</v>
      </c>
      <c r="B31" s="42" t="s">
        <v>124</v>
      </c>
      <c r="C31" s="41" t="s">
        <v>133</v>
      </c>
      <c r="D31" s="44" t="s">
        <v>95</v>
      </c>
      <c r="E31" s="44" t="s">
        <v>95</v>
      </c>
      <c r="F31" s="43">
        <v>44384</v>
      </c>
    </row>
    <row r="32" spans="1:6" ht="60" x14ac:dyDescent="0.25">
      <c r="A32" s="43">
        <v>44384</v>
      </c>
      <c r="B32" s="42" t="s">
        <v>122</v>
      </c>
      <c r="C32" s="41" t="s">
        <v>134</v>
      </c>
      <c r="D32" s="44" t="s">
        <v>95</v>
      </c>
      <c r="E32" s="44" t="s">
        <v>95</v>
      </c>
      <c r="F32" s="43">
        <v>44384</v>
      </c>
    </row>
    <row r="33" spans="1:6" ht="45" x14ac:dyDescent="0.25">
      <c r="A33" s="43">
        <v>44378</v>
      </c>
      <c r="B33" s="42" t="s">
        <v>119</v>
      </c>
      <c r="C33" s="41" t="s">
        <v>120</v>
      </c>
      <c r="D33" s="44" t="s">
        <v>95</v>
      </c>
      <c r="E33" s="44" t="s">
        <v>95</v>
      </c>
      <c r="F33" s="43">
        <v>44378</v>
      </c>
    </row>
    <row r="34" spans="1:6" x14ac:dyDescent="0.25">
      <c r="A34" s="43">
        <v>44377</v>
      </c>
      <c r="B34" s="42" t="s">
        <v>117</v>
      </c>
      <c r="C34" s="41" t="s">
        <v>121</v>
      </c>
      <c r="D34" s="44" t="s">
        <v>95</v>
      </c>
      <c r="E34" s="44" t="s">
        <v>95</v>
      </c>
      <c r="F34" s="43">
        <v>44377</v>
      </c>
    </row>
    <row r="35" spans="1:6" ht="90" x14ac:dyDescent="0.25">
      <c r="A35" s="43">
        <v>44377</v>
      </c>
      <c r="B35" s="42" t="s">
        <v>115</v>
      </c>
      <c r="C35" s="41" t="s">
        <v>116</v>
      </c>
      <c r="D35" s="44" t="s">
        <v>95</v>
      </c>
      <c r="E35" s="44" t="s">
        <v>338</v>
      </c>
      <c r="F35" s="43">
        <v>44372</v>
      </c>
    </row>
    <row r="36" spans="1:6" ht="60" x14ac:dyDescent="0.25">
      <c r="A36" s="43">
        <v>44377</v>
      </c>
      <c r="B36" s="42">
        <v>3.3</v>
      </c>
      <c r="C36" s="41" t="s">
        <v>113</v>
      </c>
      <c r="D36" s="44" t="s">
        <v>95</v>
      </c>
      <c r="E36" s="44" t="s">
        <v>338</v>
      </c>
      <c r="F36" s="43">
        <v>44372</v>
      </c>
    </row>
    <row r="37" spans="1:6" ht="30" x14ac:dyDescent="0.25">
      <c r="A37" s="43">
        <v>44377</v>
      </c>
      <c r="B37" s="42" t="s">
        <v>112</v>
      </c>
      <c r="C37" s="41" t="s">
        <v>104</v>
      </c>
      <c r="D37" s="44" t="s">
        <v>95</v>
      </c>
      <c r="E37" s="44" t="s">
        <v>95</v>
      </c>
      <c r="F37" s="43">
        <v>44377</v>
      </c>
    </row>
    <row r="38" spans="1:6" ht="135" x14ac:dyDescent="0.25">
      <c r="A38" s="43">
        <v>44367</v>
      </c>
      <c r="B38" s="42">
        <v>3.2</v>
      </c>
      <c r="C38" s="41" t="s">
        <v>109</v>
      </c>
      <c r="D38" s="44" t="s">
        <v>95</v>
      </c>
      <c r="E38" s="44" t="s">
        <v>95</v>
      </c>
      <c r="F38" s="43">
        <v>44367</v>
      </c>
    </row>
    <row r="39" spans="1:6" ht="30" x14ac:dyDescent="0.25">
      <c r="A39" s="43">
        <v>44331</v>
      </c>
      <c r="B39" s="42">
        <v>3.1</v>
      </c>
      <c r="C39" s="41" t="s">
        <v>108</v>
      </c>
      <c r="D39" s="44" t="s">
        <v>95</v>
      </c>
      <c r="E39" s="44" t="s">
        <v>95</v>
      </c>
      <c r="F39" s="43">
        <v>44331</v>
      </c>
    </row>
    <row r="40" spans="1:6" ht="75" x14ac:dyDescent="0.25">
      <c r="A40" s="43">
        <v>44319</v>
      </c>
      <c r="B40" s="42">
        <v>3</v>
      </c>
      <c r="C40" s="41" t="s">
        <v>107</v>
      </c>
      <c r="D40" s="44" t="s">
        <v>95</v>
      </c>
      <c r="E40" s="44" t="s">
        <v>339</v>
      </c>
      <c r="F40" s="43">
        <v>44315</v>
      </c>
    </row>
    <row r="41" spans="1:6" ht="30" x14ac:dyDescent="0.25">
      <c r="A41" s="43">
        <v>44307</v>
      </c>
      <c r="B41" s="42">
        <v>2</v>
      </c>
      <c r="C41" s="41" t="s">
        <v>105</v>
      </c>
      <c r="D41" s="44" t="s">
        <v>95</v>
      </c>
      <c r="E41" s="44" t="s">
        <v>155</v>
      </c>
      <c r="F41" s="43">
        <v>44294</v>
      </c>
    </row>
    <row r="42" spans="1:6" ht="30" x14ac:dyDescent="0.25">
      <c r="A42" s="43">
        <v>44293</v>
      </c>
      <c r="B42" s="45">
        <v>1</v>
      </c>
      <c r="C42" s="41" t="s">
        <v>106</v>
      </c>
      <c r="D42" s="44" t="s">
        <v>95</v>
      </c>
      <c r="E42" s="44" t="s">
        <v>339</v>
      </c>
      <c r="F42" s="43">
        <v>44291</v>
      </c>
    </row>
    <row r="43" spans="1:6" x14ac:dyDescent="0.25">
      <c r="A43" s="43">
        <v>44291</v>
      </c>
      <c r="B43" s="45">
        <v>0.5</v>
      </c>
      <c r="C43" s="41" t="s">
        <v>323</v>
      </c>
      <c r="D43" s="44" t="s">
        <v>95</v>
      </c>
      <c r="E43" s="44" t="s">
        <v>95</v>
      </c>
      <c r="F43"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abSelected="1" zoomScale="150" zoomScaleNormal="150" workbookViewId="0">
      <selection activeCell="A3" sqref="A3:G3"/>
    </sheetView>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157"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ht="15.75" x14ac:dyDescent="0.25">
      <c r="A1" s="194" t="str">
        <f>'ReadMe-Directions'!A1</f>
        <v>Flex Accounting in a Combined Lake Powell-Lake Mead System: Tool and Discussion Activity</v>
      </c>
      <c r="B1" s="194"/>
      <c r="C1" s="194"/>
      <c r="D1" s="194"/>
      <c r="E1" s="194"/>
      <c r="F1" s="194"/>
      <c r="G1" s="194"/>
    </row>
    <row r="2" spans="1:14" x14ac:dyDescent="0.25">
      <c r="A2" s="1" t="s">
        <v>378</v>
      </c>
      <c r="B2" s="1"/>
    </row>
    <row r="3" spans="1:14" ht="32.1" customHeight="1" x14ac:dyDescent="0.25">
      <c r="A3" s="204" t="s">
        <v>258</v>
      </c>
      <c r="B3" s="204"/>
      <c r="C3" s="204"/>
      <c r="D3" s="204"/>
      <c r="E3" s="204"/>
      <c r="F3" s="204"/>
      <c r="G3" s="204"/>
      <c r="H3" s="91"/>
      <c r="I3" s="91"/>
      <c r="J3" s="91"/>
      <c r="K3" s="91"/>
      <c r="N3" s="153" t="s">
        <v>303</v>
      </c>
    </row>
    <row r="4" spans="1:14" x14ac:dyDescent="0.25">
      <c r="A4" s="141" t="s">
        <v>236</v>
      </c>
      <c r="B4" s="141" t="s">
        <v>31</v>
      </c>
      <c r="C4" s="205" t="s">
        <v>32</v>
      </c>
      <c r="D4" s="206"/>
      <c r="E4" s="206"/>
      <c r="F4" s="206"/>
      <c r="G4" s="207"/>
      <c r="N4" s="155" t="s">
        <v>267</v>
      </c>
    </row>
    <row r="5" spans="1:14" x14ac:dyDescent="0.25">
      <c r="A5" s="101" t="s">
        <v>28</v>
      </c>
      <c r="B5" s="181"/>
      <c r="C5" s="208"/>
      <c r="D5" s="203"/>
      <c r="E5" s="203"/>
      <c r="F5" s="203"/>
      <c r="G5" s="203"/>
      <c r="N5" s="159"/>
    </row>
    <row r="6" spans="1:14" x14ac:dyDescent="0.25">
      <c r="A6" s="101" t="s">
        <v>29</v>
      </c>
      <c r="B6" s="181"/>
      <c r="C6" s="208"/>
      <c r="D6" s="203"/>
      <c r="E6" s="203"/>
      <c r="F6" s="203"/>
      <c r="G6" s="203"/>
      <c r="N6" s="159"/>
    </row>
    <row r="7" spans="1:14" x14ac:dyDescent="0.25">
      <c r="A7" s="101" t="s">
        <v>30</v>
      </c>
      <c r="B7" s="181"/>
      <c r="C7" s="208"/>
      <c r="D7" s="203"/>
      <c r="E7" s="203"/>
      <c r="F7" s="203"/>
      <c r="G7" s="203"/>
      <c r="N7" s="159"/>
    </row>
    <row r="8" spans="1:14" x14ac:dyDescent="0.25">
      <c r="A8" s="127" t="s">
        <v>94</v>
      </c>
      <c r="B8" s="126"/>
      <c r="C8" s="203"/>
      <c r="D8" s="203"/>
      <c r="E8" s="203"/>
      <c r="F8" s="203"/>
      <c r="G8" s="203"/>
      <c r="N8" s="159"/>
    </row>
    <row r="9" spans="1:14" x14ac:dyDescent="0.25">
      <c r="A9" s="152" t="s">
        <v>343</v>
      </c>
      <c r="B9" s="101"/>
      <c r="C9" s="209"/>
      <c r="D9" s="209"/>
      <c r="E9" s="209"/>
      <c r="F9" s="209"/>
      <c r="G9" s="209"/>
      <c r="N9" s="159"/>
    </row>
    <row r="10" spans="1:14" x14ac:dyDescent="0.25">
      <c r="A10" s="128" t="s">
        <v>97</v>
      </c>
      <c r="B10" s="128"/>
      <c r="C10" s="210"/>
      <c r="D10" s="210"/>
      <c r="E10" s="210"/>
      <c r="F10" s="210"/>
      <c r="G10" s="210"/>
      <c r="N10" s="159"/>
    </row>
    <row r="11" spans="1:14" x14ac:dyDescent="0.25">
      <c r="A11" s="14"/>
      <c r="B11" s="2"/>
      <c r="C11"/>
      <c r="N11" s="159"/>
    </row>
    <row r="12" spans="1:14" x14ac:dyDescent="0.25">
      <c r="A12" s="16" t="s">
        <v>237</v>
      </c>
      <c r="B12" s="211" t="s">
        <v>239</v>
      </c>
      <c r="C12" s="212"/>
      <c r="D12" s="213"/>
      <c r="N12" s="158" t="s">
        <v>268</v>
      </c>
    </row>
    <row r="13" spans="1:14" x14ac:dyDescent="0.25">
      <c r="B13" s="214" t="s">
        <v>240</v>
      </c>
      <c r="C13" s="215"/>
      <c r="D13" s="216"/>
      <c r="N13" s="159"/>
    </row>
    <row r="14" spans="1:14" x14ac:dyDescent="0.25">
      <c r="B14" s="195" t="s">
        <v>241</v>
      </c>
      <c r="C14" s="196"/>
      <c r="D14" s="197"/>
      <c r="N14" s="159"/>
    </row>
    <row r="15" spans="1:14" x14ac:dyDescent="0.25">
      <c r="B15" s="198" t="s">
        <v>33</v>
      </c>
      <c r="C15" s="199"/>
      <c r="D15" s="200"/>
      <c r="N15" s="159"/>
    </row>
    <row r="16" spans="1:14" x14ac:dyDescent="0.25">
      <c r="N16" s="159"/>
    </row>
    <row r="17" spans="1:14" x14ac:dyDescent="0.25">
      <c r="A17" s="1" t="s">
        <v>238</v>
      </c>
      <c r="B17" s="1" t="s">
        <v>81</v>
      </c>
      <c r="C17" s="12" t="s">
        <v>82</v>
      </c>
      <c r="N17" s="158" t="s">
        <v>269</v>
      </c>
    </row>
    <row r="18" spans="1:14" x14ac:dyDescent="0.25">
      <c r="A18" t="s">
        <v>80</v>
      </c>
      <c r="B18" s="122">
        <v>5.73</v>
      </c>
      <c r="C18" s="122">
        <v>6</v>
      </c>
      <c r="D18" s="17"/>
      <c r="N18" s="158" t="s">
        <v>271</v>
      </c>
    </row>
    <row r="19" spans="1:14" x14ac:dyDescent="0.25">
      <c r="A19" t="s">
        <v>263</v>
      </c>
      <c r="B19" s="122">
        <v>7.2</v>
      </c>
      <c r="C19" s="122">
        <v>9</v>
      </c>
      <c r="D19" s="143" t="s">
        <v>247</v>
      </c>
      <c r="F19" s="143"/>
      <c r="N19" s="158" t="s">
        <v>270</v>
      </c>
    </row>
    <row r="20" spans="1:14" x14ac:dyDescent="0.25">
      <c r="A20" t="s">
        <v>118</v>
      </c>
      <c r="B20" s="177">
        <v>3525</v>
      </c>
      <c r="C20" s="177">
        <v>1020</v>
      </c>
      <c r="D20" s="11"/>
      <c r="N20" s="158" t="s">
        <v>272</v>
      </c>
    </row>
    <row r="21" spans="1:14" x14ac:dyDescent="0.25">
      <c r="A21" t="s">
        <v>110</v>
      </c>
      <c r="B21" s="122">
        <f>VLOOKUP(B20,'Powell-Elevation-Area'!$A$5:$B$689,2)/1000000</f>
        <v>5.9265762500000001</v>
      </c>
      <c r="C21" s="122">
        <f>VLOOKUP(C20,'Mead-Elevation-Area'!$A$5:$B$689,2)/1000000</f>
        <v>5.664593</v>
      </c>
      <c r="D21" s="11"/>
      <c r="E21" s="30"/>
      <c r="N21" s="158" t="s">
        <v>274</v>
      </c>
    </row>
    <row r="22" spans="1:14" x14ac:dyDescent="0.25">
      <c r="A22" t="s">
        <v>253</v>
      </c>
      <c r="B22" s="122">
        <f>78.1</f>
        <v>78.099999999999994</v>
      </c>
      <c r="C22"/>
      <c r="D22" s="123"/>
      <c r="E22" s="30"/>
      <c r="N22" s="158" t="s">
        <v>273</v>
      </c>
    </row>
    <row r="23" spans="1:14" x14ac:dyDescent="0.25">
      <c r="A23" t="s">
        <v>254</v>
      </c>
      <c r="B23" s="144">
        <v>0.17</v>
      </c>
      <c r="C23"/>
      <c r="D23" s="123"/>
      <c r="E23" s="30"/>
      <c r="N23" s="158" t="s">
        <v>275</v>
      </c>
    </row>
    <row r="24" spans="1:14" x14ac:dyDescent="0.25">
      <c r="A24" t="s">
        <v>252</v>
      </c>
      <c r="B24" s="122">
        <f>10*(7.5+1.5/2)-B22-B23</f>
        <v>4.2300000000000058</v>
      </c>
      <c r="C24"/>
      <c r="D24" s="123"/>
      <c r="E24" s="30"/>
      <c r="N24" s="158" t="s">
        <v>276</v>
      </c>
    </row>
    <row r="25" spans="1:14" x14ac:dyDescent="0.25">
      <c r="A25" t="s">
        <v>315</v>
      </c>
      <c r="B25" s="122">
        <f>2.7 + 0.3 - IF(A9&lt;&gt;"",1.06,0)</f>
        <v>1.94</v>
      </c>
      <c r="C25"/>
      <c r="D25" s="123"/>
      <c r="E25" s="30"/>
      <c r="N25" s="178" t="s">
        <v>322</v>
      </c>
    </row>
    <row r="26" spans="1:14" x14ac:dyDescent="0.25">
      <c r="B26" s="30"/>
      <c r="N26" s="159"/>
    </row>
    <row r="27" spans="1:14" s="1" customFormat="1" x14ac:dyDescent="0.2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25">
      <c r="A28" s="138" t="s">
        <v>224</v>
      </c>
      <c r="B28" s="1"/>
      <c r="C28" s="108"/>
      <c r="D28" s="108"/>
      <c r="E28" s="108"/>
      <c r="F28" s="108"/>
      <c r="G28" s="108"/>
      <c r="H28" s="108"/>
      <c r="I28" s="108"/>
      <c r="J28" s="108"/>
      <c r="K28" s="108"/>
      <c r="L28" s="108"/>
      <c r="N28" s="155" t="s">
        <v>277</v>
      </c>
    </row>
    <row r="29" spans="1:14" x14ac:dyDescent="0.2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8" t="s">
        <v>278</v>
      </c>
    </row>
    <row r="30" spans="1:14" x14ac:dyDescent="0.25">
      <c r="A30" s="1" t="s">
        <v>203</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8" t="s">
        <v>279</v>
      </c>
    </row>
    <row r="31" spans="1:14" x14ac:dyDescent="0.2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8" t="s">
        <v>280</v>
      </c>
    </row>
    <row r="32" spans="1:14" x14ac:dyDescent="0.25">
      <c r="A32" s="138" t="s">
        <v>225</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281</v>
      </c>
    </row>
    <row r="33" spans="1:14" x14ac:dyDescent="0.25">
      <c r="A33" t="str">
        <f t="shared" ref="A33:A38" si="4">IF(A5="","","    "&amp;A5&amp;" Balance")</f>
        <v xml:space="preserve">    Upper Basin Balance</v>
      </c>
      <c r="B33" s="89">
        <f>B19-B21</f>
        <v>1.2734237500000001</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59"/>
    </row>
    <row r="34" spans="1:14" x14ac:dyDescent="0.25">
      <c r="A34" t="str">
        <f t="shared" si="4"/>
        <v xml:space="preserve">    Lower Basin Balance</v>
      </c>
      <c r="B34" s="89">
        <f>C19-C21-B35</f>
        <v>3.1614070000000001</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59"/>
    </row>
    <row r="35" spans="1:14" x14ac:dyDescent="0.2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59"/>
    </row>
    <row r="36" spans="1:14" x14ac:dyDescent="0.2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59"/>
    </row>
    <row r="37" spans="1:14" x14ac:dyDescent="0.2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59"/>
    </row>
    <row r="38" spans="1:14" x14ac:dyDescent="0.2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59"/>
    </row>
    <row r="39" spans="1:14" x14ac:dyDescent="0.25">
      <c r="A39" s="1" t="s">
        <v>235</v>
      </c>
      <c r="C39"/>
      <c r="N39" s="158" t="s">
        <v>301</v>
      </c>
    </row>
    <row r="40" spans="1:14" x14ac:dyDescent="0.2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59"/>
    </row>
    <row r="41" spans="1:14" x14ac:dyDescent="0.2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59"/>
    </row>
    <row r="42" spans="1:14" x14ac:dyDescent="0.25">
      <c r="A42" s="1" t="s">
        <v>226</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282</v>
      </c>
    </row>
    <row r="43" spans="1:14" x14ac:dyDescent="0.2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59"/>
    </row>
    <row r="44" spans="1:14" x14ac:dyDescent="0.2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59"/>
    </row>
    <row r="45" spans="1:14" x14ac:dyDescent="0.2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59"/>
    </row>
    <row r="46" spans="1:14" x14ac:dyDescent="0.25">
      <c r="A46" t="str">
        <f t="shared" si="11"/>
        <v xml:space="preserve">    Colorado River Delta Share</v>
      </c>
      <c r="B46" s="1"/>
      <c r="C46" s="13" t="str">
        <f t="shared" ref="C46:L46" si="15">IF(OR(C$28="",$A46=""),"",C$42*C36/C$32)</f>
        <v/>
      </c>
      <c r="D46" s="13" t="str">
        <f t="shared" si="15"/>
        <v/>
      </c>
      <c r="E46" s="13" t="str">
        <f t="shared" si="15"/>
        <v/>
      </c>
      <c r="F46" s="13" t="str">
        <f t="shared" si="15"/>
        <v/>
      </c>
      <c r="G46" s="13" t="str">
        <f t="shared" si="15"/>
        <v/>
      </c>
      <c r="H46" s="13" t="str">
        <f t="shared" si="15"/>
        <v/>
      </c>
      <c r="I46" s="13" t="str">
        <f t="shared" si="15"/>
        <v/>
      </c>
      <c r="J46" s="13" t="str">
        <f t="shared" si="15"/>
        <v/>
      </c>
      <c r="K46" s="13" t="str">
        <f t="shared" si="15"/>
        <v/>
      </c>
      <c r="L46" s="13" t="str">
        <f t="shared" si="15"/>
        <v/>
      </c>
      <c r="N46" s="159"/>
    </row>
    <row r="47" spans="1:14" x14ac:dyDescent="0.2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59"/>
    </row>
    <row r="48" spans="1:14" x14ac:dyDescent="0.2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59"/>
    </row>
    <row r="49" spans="1:16" x14ac:dyDescent="0.25">
      <c r="A49" s="1" t="s">
        <v>227</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8" t="s">
        <v>283</v>
      </c>
    </row>
    <row r="50" spans="1:16" x14ac:dyDescent="0.25">
      <c r="A50" s="138" t="s">
        <v>255</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6" t="s">
        <v>284</v>
      </c>
      <c r="P50" t="s">
        <v>305</v>
      </c>
    </row>
    <row r="51" spans="1:16" x14ac:dyDescent="0.25">
      <c r="A51" t="str">
        <f t="shared" ref="A51:A56" si="19">IF(A5="","","    To "&amp;A5)</f>
        <v xml:space="preserve">    To Upper Basin</v>
      </c>
      <c r="B51" s="105" t="s">
        <v>316</v>
      </c>
      <c r="C51" s="87" t="str">
        <f>IF(OR(C$28="",$A52=""),"",MAX(0,MAX(0,C50-SUM(C52:C57))))</f>
        <v/>
      </c>
      <c r="D51" s="87" t="str">
        <f t="shared" ref="D51:L51" si="20">IF(OR(D$28="",$A52=""),"",MAX(0,MAX(0,D50-SUM(D52:D57))))</f>
        <v/>
      </c>
      <c r="E51" s="87" t="str">
        <f t="shared" si="20"/>
        <v/>
      </c>
      <c r="F51" s="87" t="str">
        <f t="shared" si="20"/>
        <v/>
      </c>
      <c r="G51" s="87" t="str">
        <f t="shared" si="20"/>
        <v/>
      </c>
      <c r="H51" s="87" t="str">
        <f t="shared" si="20"/>
        <v/>
      </c>
      <c r="I51" s="87" t="str">
        <f t="shared" si="20"/>
        <v/>
      </c>
      <c r="J51" s="87" t="str">
        <f t="shared" si="20"/>
        <v/>
      </c>
      <c r="K51" s="87" t="str">
        <f t="shared" si="20"/>
        <v/>
      </c>
      <c r="L51" s="87" t="str">
        <f t="shared" si="20"/>
        <v/>
      </c>
      <c r="M51" s="19"/>
      <c r="N51" s="160"/>
      <c r="P51" s="87" t="str">
        <f>IF(OR(P$28="",$A51=""),"",MAX(P28-($B$24)-P56*$B$21/SUM($B$21:$C$21),0))</f>
        <v/>
      </c>
    </row>
    <row r="52" spans="1:16" x14ac:dyDescent="0.25">
      <c r="A52" t="str">
        <f t="shared" si="19"/>
        <v xml:space="preserve">    To Lower Basin</v>
      </c>
      <c r="B52" s="106">
        <f>7.5-IF($A$9="",0,0.95)-IF(C57="",0.6,C57)*IF($A$9="",(7.2/8.7),(7.2-0.95)/8.7)</f>
        <v>6.1189655172413788</v>
      </c>
      <c r="C52" s="87" t="str">
        <f>IF(OR(C$28="",$A52=""),"",MAX(0,MIN($B$52,C28-SUM(C53/2,C54/4,C55,C56/2,C57)-MAX(0,MIN($B$25,C28-SUM(C56/2,C54/4,C53/2,1.06))))))</f>
        <v/>
      </c>
      <c r="D52" s="87" t="str">
        <f t="shared" ref="D52:L52" si="21">IF(OR(D$28="",$A52=""),"",MAX(0,MIN($B$52,D28-SUM(D53/2,D54/4,D55,D56/2,D57)-MAX(0,MIN($B$25,D28-SUM(D56/2,D54/4,D53/2,1.06))))))</f>
        <v/>
      </c>
      <c r="E52" s="87" t="str">
        <f t="shared" si="21"/>
        <v/>
      </c>
      <c r="F52" s="87" t="str">
        <f t="shared" si="21"/>
        <v/>
      </c>
      <c r="G52" s="87" t="str">
        <f t="shared" si="21"/>
        <v/>
      </c>
      <c r="H52" s="87" t="str">
        <f t="shared" si="21"/>
        <v/>
      </c>
      <c r="I52" s="87" t="str">
        <f t="shared" si="21"/>
        <v/>
      </c>
      <c r="J52" s="87" t="str">
        <f t="shared" si="21"/>
        <v/>
      </c>
      <c r="K52" s="87" t="str">
        <f t="shared" si="21"/>
        <v/>
      </c>
      <c r="L52" s="87" t="str">
        <f t="shared" si="21"/>
        <v/>
      </c>
      <c r="M52" s="19"/>
      <c r="N52" s="160"/>
      <c r="P52" s="87" t="str">
        <f>IF(OR(P$28="",$A52=""),"",P29+P30-P31-P56*$C$21/SUM($B$21:$C$21)-P53+MIN($B$24,P28))</f>
        <v/>
      </c>
    </row>
    <row r="53" spans="1:16" x14ac:dyDescent="0.25">
      <c r="A53" t="str">
        <f t="shared" si="19"/>
        <v xml:space="preserve">    To Mexico</v>
      </c>
      <c r="B53" s="106" t="s">
        <v>206</v>
      </c>
      <c r="C53" s="88" t="str">
        <f>IF(OR(C$28="",$A53=""),"",MIN(C49-C54/2,C$50-SUM(C54:C57))-C57*(1.5/8.7))</f>
        <v/>
      </c>
      <c r="D53" s="88" t="str">
        <f t="shared" ref="D53:L53" si="22">IF(OR(D$28="",$A53=""),"",MIN(D49-D54/2,D$50-SUM(D54:D57))-D57*(1.5/8.7))</f>
        <v/>
      </c>
      <c r="E53" s="88" t="str">
        <f t="shared" si="22"/>
        <v/>
      </c>
      <c r="F53" s="88" t="str">
        <f t="shared" si="22"/>
        <v/>
      </c>
      <c r="G53" s="88" t="str">
        <f t="shared" si="22"/>
        <v/>
      </c>
      <c r="H53" s="88" t="str">
        <f t="shared" si="22"/>
        <v/>
      </c>
      <c r="I53" s="88" t="str">
        <f t="shared" si="22"/>
        <v/>
      </c>
      <c r="J53" s="88" t="str">
        <f t="shared" si="22"/>
        <v/>
      </c>
      <c r="K53" s="88" t="str">
        <f t="shared" si="22"/>
        <v/>
      </c>
      <c r="L53" s="88" t="str">
        <f t="shared" si="22"/>
        <v/>
      </c>
      <c r="M53" s="19"/>
      <c r="N53" s="160"/>
    </row>
    <row r="54" spans="1:16" x14ac:dyDescent="0.25">
      <c r="A54" t="str">
        <f t="shared" si="19"/>
        <v xml:space="preserve">    To Colorado River Delta</v>
      </c>
      <c r="B54" s="115">
        <f>0.21/9*(2/3)</f>
        <v>1.5555555555555553E-2</v>
      </c>
      <c r="C54" s="116" t="str">
        <f>IF(OR(C$28="",$A54=""),"",MIN($B54,C$50-SUM(C55:C56)))</f>
        <v/>
      </c>
      <c r="D54" s="116" t="str">
        <f t="shared" ref="D54:L54" si="23">IF(OR(D$28="",$A54=""),"",MIN($B54,D$50-SUM(D55:D56)))</f>
        <v/>
      </c>
      <c r="E54" s="116" t="str">
        <f t="shared" si="23"/>
        <v/>
      </c>
      <c r="F54" s="116" t="str">
        <f t="shared" si="23"/>
        <v/>
      </c>
      <c r="G54" s="116" t="str">
        <f t="shared" si="23"/>
        <v/>
      </c>
      <c r="H54" s="116" t="str">
        <f t="shared" si="23"/>
        <v/>
      </c>
      <c r="I54" s="116" t="str">
        <f t="shared" si="23"/>
        <v/>
      </c>
      <c r="J54" s="116" t="str">
        <f t="shared" si="23"/>
        <v/>
      </c>
      <c r="K54" s="116" t="str">
        <f t="shared" si="23"/>
        <v/>
      </c>
      <c r="L54" s="116" t="str">
        <f t="shared" si="23"/>
        <v/>
      </c>
      <c r="M54" s="19"/>
      <c r="N54" s="160"/>
    </row>
    <row r="55" spans="1:16" x14ac:dyDescent="0.25">
      <c r="A55" t="str">
        <f t="shared" si="19"/>
        <v xml:space="preserve">    To First Nations</v>
      </c>
      <c r="B55" s="106">
        <f>IF($A$9&lt;&gt;"",2.01,"")</f>
        <v>2.0099999999999998</v>
      </c>
      <c r="C55" s="87" t="str">
        <f>IF(OR(C$28="",$A55=""),"",MIN($B55,C$50-SUM(C56:C57))-C57*0.95/8.7)</f>
        <v/>
      </c>
      <c r="D55" s="87" t="str">
        <f t="shared" ref="D55:L55" si="24">IF(OR(D$28="",$A55=""),"",MIN($B55,D$50-SUM(D56:D57))-D57*0.95/8.7)</f>
        <v/>
      </c>
      <c r="E55" s="87" t="str">
        <f t="shared" si="24"/>
        <v/>
      </c>
      <c r="F55" s="87" t="str">
        <f t="shared" si="24"/>
        <v/>
      </c>
      <c r="G55" s="87" t="str">
        <f t="shared" si="24"/>
        <v/>
      </c>
      <c r="H55" s="87" t="str">
        <f t="shared" si="24"/>
        <v/>
      </c>
      <c r="I55" s="87" t="str">
        <f t="shared" si="24"/>
        <v/>
      </c>
      <c r="J55" s="87" t="str">
        <f t="shared" si="24"/>
        <v/>
      </c>
      <c r="K55" s="87" t="str">
        <f t="shared" si="24"/>
        <v/>
      </c>
      <c r="L55" s="87" t="str">
        <f t="shared" si="24"/>
        <v/>
      </c>
      <c r="M55" s="19"/>
      <c r="N55" s="160"/>
    </row>
    <row r="56" spans="1:16" x14ac:dyDescent="0.25">
      <c r="A56" t="str">
        <f t="shared" si="19"/>
        <v xml:space="preserve">    To Shared, Reserve</v>
      </c>
      <c r="B56" s="106" t="s">
        <v>214</v>
      </c>
      <c r="C56" s="170" t="str">
        <f>IF(OR(C$28="",$A56=""),"",IF(C$50&gt;C48,C48,C50))</f>
        <v/>
      </c>
      <c r="D56" s="170" t="str">
        <f t="shared" ref="D56:L56" si="25">IF(OR(D$28="",$A56=""),"",IF(D$50&gt;D48,D48,D50))</f>
        <v/>
      </c>
      <c r="E56" s="170" t="str">
        <f t="shared" si="25"/>
        <v/>
      </c>
      <c r="F56" s="170" t="str">
        <f t="shared" si="25"/>
        <v/>
      </c>
      <c r="G56" s="170" t="str">
        <f t="shared" si="25"/>
        <v/>
      </c>
      <c r="H56" s="170" t="str">
        <f t="shared" si="25"/>
        <v/>
      </c>
      <c r="I56" s="170" t="str">
        <f t="shared" si="25"/>
        <v/>
      </c>
      <c r="J56" s="170" t="str">
        <f t="shared" si="25"/>
        <v/>
      </c>
      <c r="K56" s="170" t="str">
        <f t="shared" si="25"/>
        <v/>
      </c>
      <c r="L56" s="170" t="str">
        <f t="shared" si="25"/>
        <v/>
      </c>
      <c r="M56" s="19"/>
      <c r="N56" s="160"/>
    </row>
    <row r="57" spans="1:16" x14ac:dyDescent="0.25">
      <c r="A57" t="str">
        <f>IF(A31="","","    To "&amp;A31)</f>
        <v xml:space="preserve">    To Havasu / Parker evaporation and ET</v>
      </c>
      <c r="B57" s="169" t="s">
        <v>317</v>
      </c>
      <c r="C57" s="171" t="str">
        <f>IF(OR(C$28="",$A57=""),"",MIN(C31,C50-C56))</f>
        <v/>
      </c>
      <c r="D57" s="171" t="str">
        <f t="shared" ref="D57:L57" si="26">IF(OR(D$28="",$A57=""),"",MIN(D31,D50-D56))</f>
        <v/>
      </c>
      <c r="E57" s="171" t="str">
        <f t="shared" si="26"/>
        <v/>
      </c>
      <c r="F57" s="171" t="str">
        <f t="shared" si="26"/>
        <v/>
      </c>
      <c r="G57" s="171" t="str">
        <f t="shared" si="26"/>
        <v/>
      </c>
      <c r="H57" s="171" t="str">
        <f t="shared" si="26"/>
        <v/>
      </c>
      <c r="I57" s="171" t="str">
        <f t="shared" si="26"/>
        <v/>
      </c>
      <c r="J57" s="171" t="str">
        <f t="shared" si="26"/>
        <v/>
      </c>
      <c r="K57" s="171" t="str">
        <f t="shared" si="26"/>
        <v/>
      </c>
      <c r="L57" s="171" t="str">
        <f t="shared" si="26"/>
        <v/>
      </c>
      <c r="M57" s="19"/>
      <c r="N57" s="160"/>
    </row>
    <row r="58" spans="1:16" x14ac:dyDescent="0.25">
      <c r="B58" s="20"/>
      <c r="C58" s="19"/>
      <c r="D58" s="19"/>
      <c r="E58" s="19"/>
      <c r="F58" s="129"/>
      <c r="G58" s="30"/>
      <c r="N58" s="159"/>
    </row>
    <row r="59" spans="1:16" x14ac:dyDescent="0.25">
      <c r="A59" s="112" t="s">
        <v>256</v>
      </c>
      <c r="B59" s="109"/>
      <c r="C59" s="109"/>
      <c r="D59" s="109"/>
      <c r="E59" s="109"/>
      <c r="F59" s="109"/>
      <c r="G59" s="109"/>
      <c r="H59" s="109"/>
      <c r="I59" s="109"/>
      <c r="J59" s="109"/>
      <c r="K59" s="109"/>
      <c r="L59" s="109"/>
      <c r="M59" s="109"/>
      <c r="N59" s="154" t="str">
        <f>N3</f>
        <v>HELP, CONTEXT, and SUGGESTIONS</v>
      </c>
    </row>
    <row r="60" spans="1:16" x14ac:dyDescent="0.25">
      <c r="A60" s="132" t="str">
        <f>IF(A$5="[Unused]","",A5)</f>
        <v>Upper Basin</v>
      </c>
      <c r="B60" s="110"/>
      <c r="C60" s="110"/>
      <c r="D60" s="110"/>
      <c r="E60" s="110"/>
      <c r="F60" s="110"/>
      <c r="G60" s="110"/>
      <c r="H60" s="110"/>
      <c r="I60" s="110"/>
      <c r="J60" s="110"/>
      <c r="K60" s="110"/>
      <c r="L60" s="110"/>
      <c r="M60" s="111" t="s">
        <v>79</v>
      </c>
      <c r="N60" s="155" t="s">
        <v>285</v>
      </c>
    </row>
    <row r="61" spans="1:16" x14ac:dyDescent="0.2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286</v>
      </c>
    </row>
    <row r="62" spans="1:16" x14ac:dyDescent="0.2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287</v>
      </c>
    </row>
    <row r="63" spans="1:16" x14ac:dyDescent="0.25">
      <c r="A63" s="21" t="str">
        <f>IF(A62="","","   Net trade volume all players (should be zero)")</f>
        <v xml:space="preserve">   Net trade volume all players (should be zero)</v>
      </c>
      <c r="C63" s="48" t="str">
        <f t="shared" ref="C63:M63" si="27">IF(OR(C$28="",$A63=""),"",C$116)</f>
        <v/>
      </c>
      <c r="D63" s="48" t="str">
        <f t="shared" si="27"/>
        <v/>
      </c>
      <c r="E63" s="48" t="str">
        <f t="shared" si="27"/>
        <v/>
      </c>
      <c r="F63" s="48" t="str">
        <f t="shared" si="27"/>
        <v/>
      </c>
      <c r="G63" s="48" t="str">
        <f t="shared" si="27"/>
        <v/>
      </c>
      <c r="H63" s="48" t="str">
        <f t="shared" si="27"/>
        <v/>
      </c>
      <c r="I63" s="48" t="str">
        <f t="shared" si="27"/>
        <v/>
      </c>
      <c r="J63" s="48" t="str">
        <f t="shared" si="27"/>
        <v/>
      </c>
      <c r="K63" s="48" t="str">
        <f t="shared" si="27"/>
        <v/>
      </c>
      <c r="L63" s="48" t="str">
        <f t="shared" si="27"/>
        <v/>
      </c>
      <c r="M63" t="str">
        <f t="shared" si="27"/>
        <v/>
      </c>
      <c r="N63" s="158" t="s">
        <v>288</v>
      </c>
    </row>
    <row r="64" spans="1:16" x14ac:dyDescent="0.25">
      <c r="A64" s="1" t="str">
        <f>IF(A62="","","   Available Water [maf]")</f>
        <v xml:space="preserve">   Available Water [maf]</v>
      </c>
      <c r="C64" s="13" t="str">
        <f>IF(OR(C$28="",$A64=""),"",C33+C51-C43+C61)</f>
        <v/>
      </c>
      <c r="D64" s="13" t="str">
        <f t="shared" ref="D64:L64" si="28">IF(OR(D$28="",$A64=""),"",D33+D51-D43+D61)</f>
        <v/>
      </c>
      <c r="E64" s="13" t="str">
        <f t="shared" si="28"/>
        <v/>
      </c>
      <c r="F64" s="13" t="str">
        <f t="shared" si="28"/>
        <v/>
      </c>
      <c r="G64" s="13" t="str">
        <f t="shared" si="28"/>
        <v/>
      </c>
      <c r="H64" s="13" t="str">
        <f t="shared" si="28"/>
        <v/>
      </c>
      <c r="I64" s="13" t="str">
        <f t="shared" si="28"/>
        <v/>
      </c>
      <c r="J64" s="13" t="str">
        <f t="shared" si="28"/>
        <v/>
      </c>
      <c r="K64" s="13" t="str">
        <f t="shared" si="28"/>
        <v/>
      </c>
      <c r="L64" s="13" t="str">
        <f t="shared" si="28"/>
        <v/>
      </c>
      <c r="N64" s="158" t="s">
        <v>289</v>
      </c>
    </row>
    <row r="65" spans="1:14" x14ac:dyDescent="0.25">
      <c r="A65" s="138" t="str">
        <f>IF(A64="","","   Enter withdraw [maf] within available water")</f>
        <v xml:space="preserve">   Enter withdraw [maf] within available water</v>
      </c>
      <c r="C65" s="104"/>
      <c r="D65" s="104"/>
      <c r="E65" s="104"/>
      <c r="F65" s="104"/>
      <c r="G65" s="104"/>
      <c r="H65" s="104"/>
      <c r="I65" s="104"/>
      <c r="J65" s="104"/>
      <c r="K65" s="104"/>
      <c r="L65" s="104"/>
      <c r="N65" s="158" t="s">
        <v>302</v>
      </c>
    </row>
    <row r="66" spans="1:14" x14ac:dyDescent="0.25">
      <c r="A66" s="21" t="str">
        <f>IF(A65="","","   End of Year Balance [maf]")</f>
        <v xml:space="preserve">   End of Year Balance [maf]</v>
      </c>
      <c r="C66" s="47" t="str">
        <f>IF(OR(C$28="",$A66=""),"",C64-C65)</f>
        <v/>
      </c>
      <c r="D66" s="47" t="str">
        <f t="shared" ref="D66:L66" si="29">IF(OR(D$28="",$A66=""),"",D64-D65)</f>
        <v/>
      </c>
      <c r="E66" s="47" t="str">
        <f t="shared" si="29"/>
        <v/>
      </c>
      <c r="F66" s="47" t="str">
        <f t="shared" si="29"/>
        <v/>
      </c>
      <c r="G66" s="47" t="str">
        <f t="shared" si="29"/>
        <v/>
      </c>
      <c r="H66" s="47" t="str">
        <f t="shared" si="29"/>
        <v/>
      </c>
      <c r="I66" s="47" t="str">
        <f t="shared" si="29"/>
        <v/>
      </c>
      <c r="J66" s="47" t="str">
        <f t="shared" si="29"/>
        <v/>
      </c>
      <c r="K66" s="47" t="str">
        <f t="shared" si="29"/>
        <v/>
      </c>
      <c r="L66" s="47" t="str">
        <f t="shared" si="29"/>
        <v/>
      </c>
      <c r="N66" s="158" t="s">
        <v>290</v>
      </c>
    </row>
    <row r="67" spans="1:14" x14ac:dyDescent="0.25">
      <c r="C67"/>
      <c r="N67" s="159"/>
    </row>
    <row r="68" spans="1:14" x14ac:dyDescent="0.25">
      <c r="A68" s="132" t="str">
        <f>IF(A$6="","[Unused]",A6)</f>
        <v>Lower Basin</v>
      </c>
      <c r="B68" s="110"/>
      <c r="C68" s="110"/>
      <c r="D68" s="110"/>
      <c r="E68" s="110"/>
      <c r="F68" s="110"/>
      <c r="G68" s="110"/>
      <c r="H68" s="110"/>
      <c r="I68" s="110"/>
      <c r="J68" s="110"/>
      <c r="K68" s="110"/>
      <c r="L68" s="110"/>
      <c r="M68" s="111" t="s">
        <v>79</v>
      </c>
      <c r="N68" s="155" t="s">
        <v>285</v>
      </c>
    </row>
    <row r="69" spans="1:14" x14ac:dyDescent="0.25">
      <c r="A69" s="139" t="str">
        <f>IF(A68="[Unused]","",$A$61)</f>
        <v xml:space="preserve">   Enter volume to Buy(+) or Sell(-) [maf]</v>
      </c>
      <c r="C69" s="102"/>
      <c r="D69" s="102"/>
      <c r="E69" s="102"/>
      <c r="F69" s="102"/>
      <c r="G69" s="102"/>
      <c r="H69" s="102"/>
      <c r="I69" s="102"/>
      <c r="J69" s="102"/>
      <c r="K69" s="102"/>
      <c r="L69" s="102"/>
      <c r="M69" s="48">
        <f>SUM(C69:L69)</f>
        <v>0</v>
      </c>
      <c r="N69" s="161" t="s">
        <v>286</v>
      </c>
    </row>
    <row r="70" spans="1:14" x14ac:dyDescent="0.25">
      <c r="A70" s="139" t="str">
        <f>IF(A69="","",$A$62)</f>
        <v xml:space="preserve">   Enter compensation to Buy(-) or Sell(+) [$ Mill]</v>
      </c>
      <c r="C70" s="103"/>
      <c r="D70" s="103"/>
      <c r="E70" s="103"/>
      <c r="F70" s="103"/>
      <c r="G70" s="103"/>
      <c r="H70" s="103"/>
      <c r="I70" s="103"/>
      <c r="J70" s="103"/>
      <c r="K70" s="103"/>
      <c r="L70" s="103"/>
      <c r="M70" s="46">
        <f>SUM(C70:L70)</f>
        <v>0</v>
      </c>
      <c r="N70" s="162" t="s">
        <v>287</v>
      </c>
    </row>
    <row r="71" spans="1:14" x14ac:dyDescent="0.25">
      <c r="A71" s="145" t="str">
        <f>IF(A70="","",$A$63)</f>
        <v xml:space="preserve">   Net trade volume all players (should be zero)</v>
      </c>
      <c r="C71" s="48" t="str">
        <f t="shared" ref="C71:M71" si="30">IF(OR(C$28="",$A71=""),"",C$116)</f>
        <v/>
      </c>
      <c r="D71" s="48" t="str">
        <f t="shared" si="30"/>
        <v/>
      </c>
      <c r="E71" s="48" t="str">
        <f t="shared" si="30"/>
        <v/>
      </c>
      <c r="F71" s="48" t="str">
        <f t="shared" si="30"/>
        <v/>
      </c>
      <c r="G71" s="48" t="str">
        <f t="shared" si="30"/>
        <v/>
      </c>
      <c r="H71" s="48" t="str">
        <f t="shared" si="30"/>
        <v/>
      </c>
      <c r="I71" s="48" t="str">
        <f t="shared" si="30"/>
        <v/>
      </c>
      <c r="J71" s="48" t="str">
        <f t="shared" si="30"/>
        <v/>
      </c>
      <c r="K71" s="48" t="str">
        <f t="shared" si="30"/>
        <v/>
      </c>
      <c r="L71" s="48" t="str">
        <f t="shared" si="30"/>
        <v/>
      </c>
      <c r="M71" t="str">
        <f t="shared" si="30"/>
        <v/>
      </c>
      <c r="N71" s="158" t="s">
        <v>288</v>
      </c>
    </row>
    <row r="72" spans="1:14" x14ac:dyDescent="0.25">
      <c r="A72" s="1" t="str">
        <f>IF(A70="","","   Available Water [maf]")</f>
        <v xml:space="preserve">   Available Water [maf]</v>
      </c>
      <c r="C72" s="13" t="str">
        <f>IF(OR(C$28="",$A72=""),"",C34+C52-C44+C69)</f>
        <v/>
      </c>
      <c r="D72" s="13" t="str">
        <f t="shared" ref="D72:L72" si="31">IF(OR(D$28="",$A72=""),"",D34+D52-D44+D69)</f>
        <v/>
      </c>
      <c r="E72" s="13" t="str">
        <f t="shared" si="31"/>
        <v/>
      </c>
      <c r="F72" s="13" t="str">
        <f t="shared" si="31"/>
        <v/>
      </c>
      <c r="G72" s="13" t="str">
        <f t="shared" si="31"/>
        <v/>
      </c>
      <c r="H72" s="13" t="str">
        <f t="shared" si="31"/>
        <v/>
      </c>
      <c r="I72" s="13" t="str">
        <f t="shared" si="31"/>
        <v/>
      </c>
      <c r="J72" s="13" t="str">
        <f t="shared" si="31"/>
        <v/>
      </c>
      <c r="K72" s="13" t="str">
        <f t="shared" si="31"/>
        <v/>
      </c>
      <c r="L72" s="13" t="str">
        <f t="shared" si="31"/>
        <v/>
      </c>
      <c r="N72" s="158" t="s">
        <v>289</v>
      </c>
    </row>
    <row r="73" spans="1:14" x14ac:dyDescent="0.25">
      <c r="A73" s="138" t="str">
        <f>IF(A72="","",$A$65)</f>
        <v xml:space="preserve">   Enter withdraw [maf] within available water</v>
      </c>
      <c r="C73" s="104"/>
      <c r="D73" s="104"/>
      <c r="E73" s="104"/>
      <c r="F73" s="104"/>
      <c r="G73" s="104"/>
      <c r="H73" s="104"/>
      <c r="I73" s="104"/>
      <c r="J73" s="104"/>
      <c r="K73" s="104"/>
      <c r="L73" s="104"/>
      <c r="N73" s="158" t="s">
        <v>302</v>
      </c>
    </row>
    <row r="74" spans="1:14" x14ac:dyDescent="0.25">
      <c r="A74" s="21" t="str">
        <f>IF(A73="","","   End of Year Balance [maf]")</f>
        <v xml:space="preserve">   End of Year Balance [maf]</v>
      </c>
      <c r="C74" s="47" t="str">
        <f>IF(OR(C$28="",$A74=""),"",C72-C73)</f>
        <v/>
      </c>
      <c r="D74" s="47" t="str">
        <f t="shared" ref="D74:L74" si="32">IF(OR(D$28="",$A74=""),"",D72-D73)</f>
        <v/>
      </c>
      <c r="E74" s="47" t="str">
        <f t="shared" si="32"/>
        <v/>
      </c>
      <c r="F74" s="47" t="str">
        <f t="shared" si="32"/>
        <v/>
      </c>
      <c r="G74" s="47" t="str">
        <f t="shared" si="32"/>
        <v/>
      </c>
      <c r="H74" s="47" t="str">
        <f t="shared" si="32"/>
        <v/>
      </c>
      <c r="I74" s="47" t="str">
        <f t="shared" si="32"/>
        <v/>
      </c>
      <c r="J74" s="47" t="str">
        <f t="shared" si="32"/>
        <v/>
      </c>
      <c r="K74" s="47" t="str">
        <f t="shared" si="32"/>
        <v/>
      </c>
      <c r="L74" s="47" t="str">
        <f t="shared" si="32"/>
        <v/>
      </c>
      <c r="N74" s="158" t="s">
        <v>290</v>
      </c>
    </row>
    <row r="75" spans="1:14" x14ac:dyDescent="0.25">
      <c r="C75"/>
      <c r="N75" s="159"/>
    </row>
    <row r="76" spans="1:14" x14ac:dyDescent="0.25">
      <c r="A76" s="132" t="str">
        <f>IF(A$7="","[Unused]",A7)</f>
        <v>Mexico</v>
      </c>
      <c r="B76" s="110"/>
      <c r="C76" s="110"/>
      <c r="D76" s="110"/>
      <c r="E76" s="110"/>
      <c r="F76" s="110"/>
      <c r="G76" s="110"/>
      <c r="H76" s="110"/>
      <c r="I76" s="110"/>
      <c r="J76" s="110"/>
      <c r="K76" s="110"/>
      <c r="L76" s="110"/>
      <c r="M76" s="111" t="s">
        <v>79</v>
      </c>
      <c r="N76" s="155" t="s">
        <v>285</v>
      </c>
    </row>
    <row r="77" spans="1:14" x14ac:dyDescent="0.25">
      <c r="A77" s="139" t="str">
        <f>IF(A76="[Unused]","",$A$61)</f>
        <v xml:space="preserve">   Enter volume to Buy(+) or Sell(-) [maf]</v>
      </c>
      <c r="C77" s="102"/>
      <c r="D77" s="102"/>
      <c r="E77" s="102"/>
      <c r="F77" s="102"/>
      <c r="G77" s="102"/>
      <c r="H77" s="102"/>
      <c r="I77" s="102"/>
      <c r="J77" s="102"/>
      <c r="K77" s="102"/>
      <c r="L77" s="102"/>
      <c r="M77" s="48">
        <f>SUM(C77:L77)</f>
        <v>0</v>
      </c>
      <c r="N77" s="161" t="s">
        <v>286</v>
      </c>
    </row>
    <row r="78" spans="1:14" x14ac:dyDescent="0.25">
      <c r="A78" s="139" t="str">
        <f>IF(A77="","",$A$62)</f>
        <v xml:space="preserve">   Enter compensation to Buy(-) or Sell(+) [$ Mill]</v>
      </c>
      <c r="C78" s="103"/>
      <c r="D78" s="103"/>
      <c r="E78" s="103"/>
      <c r="F78" s="103"/>
      <c r="G78" s="103"/>
      <c r="H78" s="103"/>
      <c r="I78" s="103"/>
      <c r="J78" s="103"/>
      <c r="K78" s="103"/>
      <c r="L78" s="103"/>
      <c r="M78" s="46">
        <f>SUM(C78:L78)</f>
        <v>0</v>
      </c>
      <c r="N78" s="162" t="s">
        <v>287</v>
      </c>
    </row>
    <row r="79" spans="1:14" x14ac:dyDescent="0.25">
      <c r="A79" s="145" t="str">
        <f>IF(A78="","",$A$63)</f>
        <v xml:space="preserve">   Net trade volume all players (should be zero)</v>
      </c>
      <c r="C79" s="48" t="str">
        <f t="shared" ref="C79:M79" si="33">IF(OR(C$28="",$A79=""),"",C$116)</f>
        <v/>
      </c>
      <c r="D79" s="48" t="str">
        <f t="shared" si="33"/>
        <v/>
      </c>
      <c r="E79" s="48" t="str">
        <f t="shared" si="33"/>
        <v/>
      </c>
      <c r="F79" s="48" t="str">
        <f t="shared" si="33"/>
        <v/>
      </c>
      <c r="G79" s="48" t="str">
        <f t="shared" si="33"/>
        <v/>
      </c>
      <c r="H79" s="48" t="str">
        <f t="shared" si="33"/>
        <v/>
      </c>
      <c r="I79" s="48" t="str">
        <f t="shared" si="33"/>
        <v/>
      </c>
      <c r="J79" s="48" t="str">
        <f t="shared" si="33"/>
        <v/>
      </c>
      <c r="K79" s="48" t="str">
        <f t="shared" si="33"/>
        <v/>
      </c>
      <c r="L79" s="48" t="str">
        <f t="shared" si="33"/>
        <v/>
      </c>
      <c r="M79" t="str">
        <f t="shared" si="33"/>
        <v/>
      </c>
      <c r="N79" s="158" t="s">
        <v>288</v>
      </c>
    </row>
    <row r="80" spans="1:14" x14ac:dyDescent="0.25">
      <c r="A80" s="1" t="str">
        <f>IF(A78="","","   Available Water [maf]")</f>
        <v xml:space="preserve">   Available Water [maf]</v>
      </c>
      <c r="C80" s="13" t="str">
        <f>IF(OR(C$28="",$A80=""),"",C35+C53-C45+C77)</f>
        <v/>
      </c>
      <c r="D80" s="13" t="str">
        <f t="shared" ref="D80:L80" si="34">IF(OR(D$28="",$A80=""),"",D35+D53-D45+D77)</f>
        <v/>
      </c>
      <c r="E80" s="13" t="str">
        <f t="shared" si="34"/>
        <v/>
      </c>
      <c r="F80" s="13" t="str">
        <f t="shared" si="34"/>
        <v/>
      </c>
      <c r="G80" s="13" t="str">
        <f t="shared" si="34"/>
        <v/>
      </c>
      <c r="H80" s="13" t="str">
        <f t="shared" si="34"/>
        <v/>
      </c>
      <c r="I80" s="13" t="str">
        <f t="shared" si="34"/>
        <v/>
      </c>
      <c r="J80" s="13" t="str">
        <f t="shared" si="34"/>
        <v/>
      </c>
      <c r="K80" s="13" t="str">
        <f t="shared" si="34"/>
        <v/>
      </c>
      <c r="L80" s="13" t="str">
        <f t="shared" si="34"/>
        <v/>
      </c>
      <c r="N80" s="158" t="s">
        <v>289</v>
      </c>
    </row>
    <row r="81" spans="1:14" x14ac:dyDescent="0.25">
      <c r="A81" s="138" t="str">
        <f>IF(A80="","",$A$65)</f>
        <v xml:space="preserve">   Enter withdraw [maf] within available water</v>
      </c>
      <c r="C81" s="104"/>
      <c r="D81" s="104"/>
      <c r="E81" s="104"/>
      <c r="F81" s="104"/>
      <c r="G81" s="104"/>
      <c r="H81" s="104"/>
      <c r="I81" s="104"/>
      <c r="J81" s="104"/>
      <c r="K81" s="104"/>
      <c r="L81" s="104"/>
      <c r="N81" s="158" t="s">
        <v>302</v>
      </c>
    </row>
    <row r="82" spans="1:14" x14ac:dyDescent="0.25">
      <c r="A82" s="21" t="str">
        <f>IF(A81="","","   End of Year Balance [maf]")</f>
        <v xml:space="preserve">   End of Year Balance [maf]</v>
      </c>
      <c r="C82" s="47" t="str">
        <f>IF(OR(C$28="",$A82=""),"",C80-C81)</f>
        <v/>
      </c>
      <c r="D82" s="47" t="str">
        <f t="shared" ref="D82:L82" si="35">IF(OR(D$28="",$A82=""),"",D80-D81)</f>
        <v/>
      </c>
      <c r="E82" s="47" t="str">
        <f t="shared" si="35"/>
        <v/>
      </c>
      <c r="F82" s="47" t="str">
        <f t="shared" si="35"/>
        <v/>
      </c>
      <c r="G82" s="47" t="str">
        <f t="shared" si="35"/>
        <v/>
      </c>
      <c r="H82" s="47" t="str">
        <f t="shared" si="35"/>
        <v/>
      </c>
      <c r="I82" s="47" t="str">
        <f t="shared" si="35"/>
        <v/>
      </c>
      <c r="J82" s="47" t="str">
        <f t="shared" si="35"/>
        <v/>
      </c>
      <c r="K82" s="47" t="str">
        <f t="shared" si="35"/>
        <v/>
      </c>
      <c r="L82" s="47" t="str">
        <f t="shared" si="35"/>
        <v/>
      </c>
      <c r="N82" s="158" t="s">
        <v>290</v>
      </c>
    </row>
    <row r="83" spans="1:14" x14ac:dyDescent="0.25">
      <c r="C83"/>
      <c r="N83" s="159"/>
    </row>
    <row r="84" spans="1:14" x14ac:dyDescent="0.25">
      <c r="A84" s="132" t="str">
        <f>IF(A$8="","[Unused]",A8)</f>
        <v>Colorado River Delta</v>
      </c>
      <c r="B84" s="110"/>
      <c r="C84" s="110"/>
      <c r="D84" s="110"/>
      <c r="E84" s="110"/>
      <c r="F84" s="110"/>
      <c r="G84" s="110"/>
      <c r="H84" s="110"/>
      <c r="I84" s="110"/>
      <c r="J84" s="110"/>
      <c r="K84" s="110"/>
      <c r="L84" s="110"/>
      <c r="M84" s="111" t="s">
        <v>79</v>
      </c>
      <c r="N84" s="155" t="s">
        <v>285</v>
      </c>
    </row>
    <row r="85" spans="1:14" x14ac:dyDescent="0.25">
      <c r="A85" s="139" t="str">
        <f>IF(A84="[Unused]","",$A$61)</f>
        <v xml:space="preserve">   Enter volume to Buy(+) or Sell(-) [maf]</v>
      </c>
      <c r="C85" s="102"/>
      <c r="D85" s="102"/>
      <c r="E85" s="102"/>
      <c r="F85" s="102"/>
      <c r="G85" s="102"/>
      <c r="H85" s="102"/>
      <c r="I85" s="102"/>
      <c r="J85" s="102"/>
      <c r="K85" s="102"/>
      <c r="L85" s="102"/>
      <c r="M85" s="48">
        <f>SUM(C85:L85)</f>
        <v>0</v>
      </c>
      <c r="N85" s="161" t="s">
        <v>286</v>
      </c>
    </row>
    <row r="86" spans="1:14" x14ac:dyDescent="0.25">
      <c r="A86" s="139" t="str">
        <f>IF(A85="","",$A$62)</f>
        <v xml:space="preserve">   Enter compensation to Buy(-) or Sell(+) [$ Mill]</v>
      </c>
      <c r="C86" s="103"/>
      <c r="D86" s="103"/>
      <c r="E86" s="103"/>
      <c r="F86" s="103"/>
      <c r="G86" s="103"/>
      <c r="H86" s="103"/>
      <c r="I86" s="103"/>
      <c r="J86" s="103"/>
      <c r="K86" s="103"/>
      <c r="L86" s="103"/>
      <c r="M86" s="46">
        <f>SUM(C86:L86)</f>
        <v>0</v>
      </c>
      <c r="N86" s="162" t="s">
        <v>287</v>
      </c>
    </row>
    <row r="87" spans="1:14" x14ac:dyDescent="0.25">
      <c r="A87" s="145" t="str">
        <f>IF(A86="","",$A$63)</f>
        <v xml:space="preserve">   Net trade volume all players (should be zero)</v>
      </c>
      <c r="C87" s="48" t="str">
        <f t="shared" ref="C87:M87" si="36">IF(OR(C$28="",$A87=""),"",C$116)</f>
        <v/>
      </c>
      <c r="D87" s="48" t="str">
        <f t="shared" si="36"/>
        <v/>
      </c>
      <c r="E87" s="48" t="str">
        <f t="shared" si="36"/>
        <v/>
      </c>
      <c r="F87" s="48" t="str">
        <f t="shared" si="36"/>
        <v/>
      </c>
      <c r="G87" s="48" t="str">
        <f t="shared" si="36"/>
        <v/>
      </c>
      <c r="H87" s="48" t="str">
        <f t="shared" si="36"/>
        <v/>
      </c>
      <c r="I87" s="48" t="str">
        <f t="shared" si="36"/>
        <v/>
      </c>
      <c r="J87" s="48" t="str">
        <f t="shared" si="36"/>
        <v/>
      </c>
      <c r="K87" s="48" t="str">
        <f t="shared" si="36"/>
        <v/>
      </c>
      <c r="L87" s="48" t="str">
        <f t="shared" si="36"/>
        <v/>
      </c>
      <c r="M87" t="str">
        <f t="shared" si="36"/>
        <v/>
      </c>
      <c r="N87" s="158" t="s">
        <v>288</v>
      </c>
    </row>
    <row r="88" spans="1:14" x14ac:dyDescent="0.25">
      <c r="A88" s="1" t="str">
        <f>IF(A86="","","   Available Water [maf]")</f>
        <v xml:space="preserve">   Available Water [maf]</v>
      </c>
      <c r="C88" s="130" t="str">
        <f>IF(OR(C$28="",$A88=""),"",C36+C54-C46+C85)</f>
        <v/>
      </c>
      <c r="D88" s="130" t="str">
        <f t="shared" ref="D88:L88" si="37">IF(OR(D$28="",$A88=""),"",D36+D54-D46+D85)</f>
        <v/>
      </c>
      <c r="E88" s="130" t="str">
        <f t="shared" si="37"/>
        <v/>
      </c>
      <c r="F88" s="130" t="str">
        <f t="shared" si="37"/>
        <v/>
      </c>
      <c r="G88" s="130" t="str">
        <f t="shared" si="37"/>
        <v/>
      </c>
      <c r="H88" s="130" t="str">
        <f t="shared" si="37"/>
        <v/>
      </c>
      <c r="I88" s="130" t="str">
        <f t="shared" si="37"/>
        <v/>
      </c>
      <c r="J88" s="130" t="str">
        <f t="shared" si="37"/>
        <v/>
      </c>
      <c r="K88" s="130" t="str">
        <f t="shared" si="37"/>
        <v/>
      </c>
      <c r="L88" s="130" t="str">
        <f t="shared" si="37"/>
        <v/>
      </c>
      <c r="N88" s="158" t="s">
        <v>289</v>
      </c>
    </row>
    <row r="89" spans="1:14" x14ac:dyDescent="0.25">
      <c r="A89" s="138" t="str">
        <f>IF(A88="","",$A$65)</f>
        <v xml:space="preserve">   Enter withdraw [maf] within available water</v>
      </c>
      <c r="C89" s="131"/>
      <c r="D89" s="131"/>
      <c r="E89" s="131"/>
      <c r="F89" s="131"/>
      <c r="G89" s="131"/>
      <c r="H89" s="131"/>
      <c r="I89" s="131"/>
      <c r="J89" s="131"/>
      <c r="K89" s="131"/>
      <c r="L89" s="131"/>
      <c r="N89" s="158" t="s">
        <v>302</v>
      </c>
    </row>
    <row r="90" spans="1:14" x14ac:dyDescent="0.25">
      <c r="A90" s="21" t="str">
        <f>IF(A89="","","   End of Year Balance [maf]")</f>
        <v xml:space="preserve">   End of Year Balance [maf]</v>
      </c>
      <c r="C90" s="47" t="str">
        <f>IF(OR(C$28="",$A90=""),"",C88-C89)</f>
        <v/>
      </c>
      <c r="D90" s="47" t="str">
        <f t="shared" ref="D90:L90" si="38">IF(OR(D$28="",$A90=""),"",D88-D89)</f>
        <v/>
      </c>
      <c r="E90" s="47" t="str">
        <f t="shared" si="38"/>
        <v/>
      </c>
      <c r="F90" s="47" t="str">
        <f t="shared" si="38"/>
        <v/>
      </c>
      <c r="G90" s="47" t="str">
        <f t="shared" si="38"/>
        <v/>
      </c>
      <c r="H90" s="47" t="str">
        <f t="shared" si="38"/>
        <v/>
      </c>
      <c r="I90" s="47" t="str">
        <f t="shared" si="38"/>
        <v/>
      </c>
      <c r="J90" s="47" t="str">
        <f t="shared" si="38"/>
        <v/>
      </c>
      <c r="K90" s="47" t="str">
        <f t="shared" si="38"/>
        <v/>
      </c>
      <c r="L90" s="47" t="str">
        <f t="shared" si="38"/>
        <v/>
      </c>
      <c r="N90" s="158" t="s">
        <v>290</v>
      </c>
    </row>
    <row r="91" spans="1:14" x14ac:dyDescent="0.25">
      <c r="C91"/>
      <c r="N91" s="159"/>
    </row>
    <row r="92" spans="1:14" x14ac:dyDescent="0.25">
      <c r="A92" s="132" t="str">
        <f>IF(A$9="","[Unused]",A9)</f>
        <v>First Nations</v>
      </c>
      <c r="B92" s="110"/>
      <c r="C92" s="110"/>
      <c r="D92" s="110"/>
      <c r="E92" s="110"/>
      <c r="F92" s="110"/>
      <c r="G92" s="110"/>
      <c r="H92" s="110"/>
      <c r="I92" s="110"/>
      <c r="J92" s="110"/>
      <c r="K92" s="110"/>
      <c r="L92" s="110"/>
      <c r="M92" s="111" t="s">
        <v>79</v>
      </c>
      <c r="N92" s="155" t="s">
        <v>285</v>
      </c>
    </row>
    <row r="93" spans="1:14" x14ac:dyDescent="0.25">
      <c r="A93" s="21" t="str">
        <f>IF(A92="[Unused]","",$A$61)</f>
        <v xml:space="preserve">   Enter volume to Buy(+) or Sell(-) [maf]</v>
      </c>
      <c r="C93" s="102"/>
      <c r="D93" s="102"/>
      <c r="E93" s="102"/>
      <c r="F93" s="102"/>
      <c r="G93" s="102"/>
      <c r="H93" s="102"/>
      <c r="I93" s="102"/>
      <c r="J93" s="102"/>
      <c r="K93" s="102"/>
      <c r="L93" s="102"/>
      <c r="M93" s="48">
        <f>SUM(C93:L93)</f>
        <v>0</v>
      </c>
      <c r="N93" s="161" t="s">
        <v>286</v>
      </c>
    </row>
    <row r="94" spans="1:14" x14ac:dyDescent="0.25">
      <c r="A94" s="21" t="str">
        <f>IF(A93="","",$A$62)</f>
        <v xml:space="preserve">   Enter compensation to Buy(-) or Sell(+) [$ Mill]</v>
      </c>
      <c r="C94" s="103"/>
      <c r="D94" s="103"/>
      <c r="E94" s="103"/>
      <c r="F94" s="103"/>
      <c r="G94" s="103"/>
      <c r="H94" s="103"/>
      <c r="I94" s="103"/>
      <c r="J94" s="103"/>
      <c r="K94" s="103"/>
      <c r="L94" s="103"/>
      <c r="M94" s="46">
        <f>SUM(C94:L94)</f>
        <v>0</v>
      </c>
      <c r="N94" s="162" t="s">
        <v>287</v>
      </c>
    </row>
    <row r="95" spans="1:14" x14ac:dyDescent="0.25">
      <c r="A95" s="145" t="str">
        <f>IF(A94="","",$A$63)</f>
        <v xml:space="preserve">   Net trade volume all players (should be zero)</v>
      </c>
      <c r="C95" s="48" t="str">
        <f t="shared" ref="C95:M95" si="39">IF(OR(C$28="",$A95=""),"",C$116)</f>
        <v/>
      </c>
      <c r="D95" s="48" t="str">
        <f t="shared" si="39"/>
        <v/>
      </c>
      <c r="E95" s="48" t="str">
        <f t="shared" si="39"/>
        <v/>
      </c>
      <c r="F95" s="48" t="str">
        <f t="shared" si="39"/>
        <v/>
      </c>
      <c r="G95" s="48" t="str">
        <f t="shared" si="39"/>
        <v/>
      </c>
      <c r="H95" s="48" t="str">
        <f t="shared" si="39"/>
        <v/>
      </c>
      <c r="I95" s="48" t="str">
        <f t="shared" si="39"/>
        <v/>
      </c>
      <c r="J95" s="48" t="str">
        <f t="shared" si="39"/>
        <v/>
      </c>
      <c r="K95" s="48" t="str">
        <f t="shared" si="39"/>
        <v/>
      </c>
      <c r="L95" s="48" t="str">
        <f t="shared" si="39"/>
        <v/>
      </c>
      <c r="M95" t="str">
        <f t="shared" si="39"/>
        <v/>
      </c>
      <c r="N95" s="158" t="s">
        <v>288</v>
      </c>
    </row>
    <row r="96" spans="1:14" x14ac:dyDescent="0.25">
      <c r="A96" s="1" t="str">
        <f>IF(A94="","","   Available Water [maf]")</f>
        <v xml:space="preserve">   Available Water [maf]</v>
      </c>
      <c r="C96" s="13" t="str">
        <f>IF(OR(C$28="",$A96=""),"",C37+C55-C47+C93)</f>
        <v/>
      </c>
      <c r="D96" s="13" t="str">
        <f t="shared" ref="D96:L96" si="40">IF(OR(D$28="",$A96=""),"",D37+D55-D47+D93)</f>
        <v/>
      </c>
      <c r="E96" s="13" t="str">
        <f t="shared" si="40"/>
        <v/>
      </c>
      <c r="F96" s="13" t="str">
        <f t="shared" si="40"/>
        <v/>
      </c>
      <c r="G96" s="13" t="str">
        <f t="shared" si="40"/>
        <v/>
      </c>
      <c r="H96" s="13" t="str">
        <f t="shared" si="40"/>
        <v/>
      </c>
      <c r="I96" s="13" t="str">
        <f t="shared" si="40"/>
        <v/>
      </c>
      <c r="J96" s="13" t="str">
        <f t="shared" si="40"/>
        <v/>
      </c>
      <c r="K96" s="13" t="str">
        <f t="shared" si="40"/>
        <v/>
      </c>
      <c r="L96" s="13" t="str">
        <f t="shared" si="40"/>
        <v/>
      </c>
      <c r="N96" s="158" t="s">
        <v>289</v>
      </c>
    </row>
    <row r="97" spans="1:14" x14ac:dyDescent="0.25">
      <c r="A97" s="138" t="str">
        <f>IF(A96="","",$A$65)</f>
        <v xml:space="preserve">   Enter withdraw [maf] within available water</v>
      </c>
      <c r="C97" s="104"/>
      <c r="D97" s="104"/>
      <c r="E97" s="104"/>
      <c r="F97" s="104"/>
      <c r="G97" s="104"/>
      <c r="H97" s="104"/>
      <c r="I97" s="104"/>
      <c r="J97" s="104"/>
      <c r="K97" s="104"/>
      <c r="L97" s="104"/>
      <c r="N97" s="158" t="s">
        <v>302</v>
      </c>
    </row>
    <row r="98" spans="1:14" x14ac:dyDescent="0.25">
      <c r="A98" s="21" t="str">
        <f>IF(A97="","","   End of Year Balance [maf]")</f>
        <v xml:space="preserve">   End of Year Balance [maf]</v>
      </c>
      <c r="C98" s="47" t="str">
        <f>IF(OR(C$28="",$A98=""),"",C96-C97)</f>
        <v/>
      </c>
      <c r="D98" s="47" t="str">
        <f t="shared" ref="D98:L98" si="41">IF(OR(D$28="",$A98=""),"",D96-D97)</f>
        <v/>
      </c>
      <c r="E98" s="47" t="str">
        <f t="shared" si="41"/>
        <v/>
      </c>
      <c r="F98" s="47" t="str">
        <f t="shared" si="41"/>
        <v/>
      </c>
      <c r="G98" s="47" t="str">
        <f t="shared" si="41"/>
        <v/>
      </c>
      <c r="H98" s="47" t="str">
        <f t="shared" si="41"/>
        <v/>
      </c>
      <c r="I98" s="47" t="str">
        <f t="shared" si="41"/>
        <v/>
      </c>
      <c r="J98" s="47" t="str">
        <f t="shared" si="41"/>
        <v/>
      </c>
      <c r="K98" s="47" t="str">
        <f t="shared" si="41"/>
        <v/>
      </c>
      <c r="L98" s="47" t="str">
        <f t="shared" si="41"/>
        <v/>
      </c>
      <c r="N98" s="158" t="s">
        <v>290</v>
      </c>
    </row>
    <row r="99" spans="1:14" x14ac:dyDescent="0.25">
      <c r="C99"/>
      <c r="N99" s="159"/>
    </row>
    <row r="100" spans="1:14" x14ac:dyDescent="0.25">
      <c r="A100" s="132" t="str">
        <f>IF(A$10="","[Unused]",A10)</f>
        <v>Shared, Reserve</v>
      </c>
      <c r="B100" s="110"/>
      <c r="C100" s="110"/>
      <c r="D100" s="110"/>
      <c r="E100" s="110"/>
      <c r="F100" s="110"/>
      <c r="G100" s="110"/>
      <c r="H100" s="110"/>
      <c r="I100" s="110"/>
      <c r="J100" s="110"/>
      <c r="K100" s="110"/>
      <c r="L100" s="110"/>
      <c r="M100" s="111" t="s">
        <v>79</v>
      </c>
      <c r="N100" s="158" t="s">
        <v>300</v>
      </c>
    </row>
    <row r="101" spans="1:14" x14ac:dyDescent="0.2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2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25">
      <c r="A103" s="145" t="str">
        <f>IF(A102="","",$A$63)</f>
        <v xml:space="preserve">   Net trade volume all players (should be zero)</v>
      </c>
      <c r="C103" s="48" t="str">
        <f t="shared" ref="C103:M103" si="42">IF(OR(C$28="",$A103=""),"",C$116)</f>
        <v/>
      </c>
      <c r="D103" s="48" t="str">
        <f t="shared" si="42"/>
        <v/>
      </c>
      <c r="E103" s="48" t="str">
        <f t="shared" si="42"/>
        <v/>
      </c>
      <c r="F103" s="48" t="str">
        <f t="shared" si="42"/>
        <v/>
      </c>
      <c r="G103" s="48" t="str">
        <f t="shared" si="42"/>
        <v/>
      </c>
      <c r="H103" s="48" t="str">
        <f t="shared" si="42"/>
        <v/>
      </c>
      <c r="I103" s="48" t="str">
        <f t="shared" si="42"/>
        <v/>
      </c>
      <c r="J103" s="48" t="str">
        <f t="shared" si="42"/>
        <v/>
      </c>
      <c r="K103" s="48" t="str">
        <f t="shared" si="42"/>
        <v/>
      </c>
      <c r="L103" s="48" t="str">
        <f t="shared" si="42"/>
        <v/>
      </c>
      <c r="M103" t="str">
        <f t="shared" si="42"/>
        <v/>
      </c>
      <c r="N103" s="159"/>
    </row>
    <row r="104" spans="1:14" x14ac:dyDescent="0.25">
      <c r="A104" s="1" t="str">
        <f>IF(A102="","","   Available Water [maf]")</f>
        <v xml:space="preserve">   Available Water [maf]</v>
      </c>
      <c r="C104" s="13" t="str">
        <f>IF(OR(C$28="",$A104=""),"",C38+C56-C48+C101)</f>
        <v/>
      </c>
      <c r="D104" s="13" t="str">
        <f t="shared" ref="D104:L104" si="43">IF(OR(D$28="",$A104=""),"",D38+D56-D48+D101)</f>
        <v/>
      </c>
      <c r="E104" s="13" t="str">
        <f t="shared" si="43"/>
        <v/>
      </c>
      <c r="F104" s="13" t="str">
        <f t="shared" si="43"/>
        <v/>
      </c>
      <c r="G104" s="13" t="str">
        <f t="shared" si="43"/>
        <v/>
      </c>
      <c r="H104" s="13" t="str">
        <f t="shared" si="43"/>
        <v/>
      </c>
      <c r="I104" s="13" t="str">
        <f t="shared" si="43"/>
        <v/>
      </c>
      <c r="J104" s="13" t="str">
        <f t="shared" si="43"/>
        <v/>
      </c>
      <c r="K104" s="13" t="str">
        <f t="shared" si="43"/>
        <v/>
      </c>
      <c r="L104" s="13" t="str">
        <f t="shared" si="43"/>
        <v/>
      </c>
      <c r="N104" s="159"/>
    </row>
    <row r="105" spans="1:14" x14ac:dyDescent="0.25">
      <c r="A105" s="138" t="str">
        <f>IF(A104="","",$A$65)</f>
        <v xml:space="preserve">   Enter withdraw [maf] within available water</v>
      </c>
      <c r="C105" s="29"/>
      <c r="D105" s="29"/>
      <c r="E105" s="29"/>
      <c r="F105" s="29"/>
      <c r="G105" s="29"/>
      <c r="H105" s="29"/>
      <c r="I105" s="29"/>
      <c r="J105" s="29"/>
      <c r="K105" s="29"/>
      <c r="L105" s="29"/>
      <c r="N105" s="159"/>
    </row>
    <row r="106" spans="1:14" x14ac:dyDescent="0.25">
      <c r="A106" s="21" t="str">
        <f>IF(A105="","","   End of Year Balance [maf]")</f>
        <v xml:space="preserve">   End of Year Balance [maf]</v>
      </c>
      <c r="C106" s="47" t="str">
        <f>IF(OR(C$28="",$A106=""),"",C104-C105)</f>
        <v/>
      </c>
      <c r="D106" s="47" t="str">
        <f t="shared" ref="D106:L106" si="44">IF(OR(D$28="",$A106=""),"",D104-D105)</f>
        <v/>
      </c>
      <c r="E106" s="47" t="str">
        <f t="shared" si="44"/>
        <v/>
      </c>
      <c r="F106" s="47" t="str">
        <f t="shared" si="44"/>
        <v/>
      </c>
      <c r="G106" s="47" t="str">
        <f t="shared" si="44"/>
        <v/>
      </c>
      <c r="H106" s="47" t="str">
        <f t="shared" si="44"/>
        <v/>
      </c>
      <c r="I106" s="47" t="str">
        <f t="shared" si="44"/>
        <v/>
      </c>
      <c r="J106" s="47" t="str">
        <f t="shared" si="44"/>
        <v/>
      </c>
      <c r="K106" s="47" t="str">
        <f t="shared" si="44"/>
        <v/>
      </c>
      <c r="L106" s="47" t="str">
        <f t="shared" si="44"/>
        <v/>
      </c>
      <c r="N106" s="159"/>
    </row>
    <row r="107" spans="1:14" x14ac:dyDescent="0.25">
      <c r="C107"/>
      <c r="N107" s="159"/>
    </row>
    <row r="108" spans="1:14" x14ac:dyDescent="0.25">
      <c r="A108" s="112" t="s">
        <v>264</v>
      </c>
      <c r="B108" s="112"/>
      <c r="C108" s="112"/>
      <c r="D108" s="112"/>
      <c r="E108" s="112"/>
      <c r="F108" s="112"/>
      <c r="G108" s="112"/>
      <c r="H108" s="112"/>
      <c r="I108" s="112"/>
      <c r="J108" s="112"/>
      <c r="K108" s="112"/>
      <c r="L108" s="112"/>
      <c r="M108" s="112"/>
      <c r="N108" s="158" t="s">
        <v>291</v>
      </c>
    </row>
    <row r="109" spans="1:14" x14ac:dyDescent="0.25">
      <c r="A109" s="1" t="s">
        <v>219</v>
      </c>
      <c r="C109"/>
      <c r="M109" t="s">
        <v>114</v>
      </c>
      <c r="N109" s="159"/>
    </row>
    <row r="110" spans="1:14" x14ac:dyDescent="0.25">
      <c r="A110" t="str">
        <f t="shared" ref="A110:A115" si="45">IF(A5="","","    "&amp;A5)</f>
        <v xml:space="preserve">    Upper Basin</v>
      </c>
      <c r="B110" s="1"/>
      <c r="C110" s="48" t="str">
        <f t="shared" ref="C110:L110" ca="1" si="46">IF(OR(C$28="",$A110=""),"",OFFSET(C$61,8*(ROW(B110)-ROW(B$110)),0))</f>
        <v/>
      </c>
      <c r="D110" s="48" t="str">
        <f t="shared" ca="1" si="46"/>
        <v/>
      </c>
      <c r="E110" s="48" t="str">
        <f t="shared" ca="1" si="46"/>
        <v/>
      </c>
      <c r="F110" s="48" t="str">
        <f t="shared" ca="1" si="46"/>
        <v/>
      </c>
      <c r="G110" s="48" t="str">
        <f t="shared" ca="1" si="46"/>
        <v/>
      </c>
      <c r="H110" s="48" t="str">
        <f t="shared" ca="1" si="46"/>
        <v/>
      </c>
      <c r="I110" s="48" t="str">
        <f t="shared" ca="1" si="46"/>
        <v/>
      </c>
      <c r="J110" s="48" t="str">
        <f t="shared" ca="1" si="46"/>
        <v/>
      </c>
      <c r="K110" s="48" t="str">
        <f t="shared" ca="1" si="46"/>
        <v/>
      </c>
      <c r="L110" s="149" t="str">
        <f t="shared" ca="1" si="46"/>
        <v/>
      </c>
      <c r="M110" s="150">
        <f ca="1">IF(OR($A110=""),"",SUM(C110:L110))</f>
        <v>0</v>
      </c>
      <c r="N110" s="163"/>
    </row>
    <row r="111" spans="1:14" x14ac:dyDescent="0.25">
      <c r="A111" t="str">
        <f t="shared" si="45"/>
        <v xml:space="preserve">    Lower Basin</v>
      </c>
      <c r="B111" s="1"/>
      <c r="C111" s="48" t="str">
        <f t="shared" ref="C111:L111" ca="1" si="47">IF(OR(C$28="",$A111=""),"",OFFSET(C$61,8*(ROW(B111)-ROW(B$110)),0))</f>
        <v/>
      </c>
      <c r="D111" s="48" t="str">
        <f t="shared" ca="1" si="47"/>
        <v/>
      </c>
      <c r="E111" s="48" t="str">
        <f t="shared" ca="1" si="47"/>
        <v/>
      </c>
      <c r="F111" s="48" t="str">
        <f t="shared" ca="1" si="47"/>
        <v/>
      </c>
      <c r="G111" s="48" t="str">
        <f t="shared" ca="1" si="47"/>
        <v/>
      </c>
      <c r="H111" s="48" t="str">
        <f t="shared" ca="1" si="47"/>
        <v/>
      </c>
      <c r="I111" s="48" t="str">
        <f t="shared" ca="1" si="47"/>
        <v/>
      </c>
      <c r="J111" s="48" t="str">
        <f t="shared" ca="1" si="47"/>
        <v/>
      </c>
      <c r="K111" s="48" t="str">
        <f t="shared" ca="1" si="47"/>
        <v/>
      </c>
      <c r="L111" s="149" t="str">
        <f t="shared" ca="1" si="47"/>
        <v/>
      </c>
      <c r="M111" s="150">
        <f t="shared" ref="M111:M115" ca="1" si="48">IF(OR($A111=""),"",SUM(C111:L111))</f>
        <v>0</v>
      </c>
      <c r="N111" s="163"/>
    </row>
    <row r="112" spans="1:14" x14ac:dyDescent="0.25">
      <c r="A112" t="str">
        <f t="shared" si="45"/>
        <v xml:space="preserve">    Mexico</v>
      </c>
      <c r="B112" s="1"/>
      <c r="C112" s="48" t="str">
        <f t="shared" ref="C112:L112" ca="1" si="49">IF(OR(C$28="",$A112=""),"",OFFSET(C$61,8*(ROW(B112)-ROW(B$110)),0))</f>
        <v/>
      </c>
      <c r="D112" s="48" t="str">
        <f t="shared" ca="1" si="49"/>
        <v/>
      </c>
      <c r="E112" s="48" t="str">
        <f t="shared" ca="1" si="49"/>
        <v/>
      </c>
      <c r="F112" s="48" t="str">
        <f t="shared" ca="1" si="49"/>
        <v/>
      </c>
      <c r="G112" s="48" t="str">
        <f t="shared" ca="1" si="49"/>
        <v/>
      </c>
      <c r="H112" s="48" t="str">
        <f t="shared" ca="1" si="49"/>
        <v/>
      </c>
      <c r="I112" s="48" t="str">
        <f t="shared" ca="1" si="49"/>
        <v/>
      </c>
      <c r="J112" s="48" t="str">
        <f t="shared" ca="1" si="49"/>
        <v/>
      </c>
      <c r="K112" s="48" t="str">
        <f t="shared" ca="1" si="49"/>
        <v/>
      </c>
      <c r="L112" s="149" t="str">
        <f t="shared" ca="1" si="49"/>
        <v/>
      </c>
      <c r="M112" s="150">
        <f t="shared" ca="1" si="48"/>
        <v>0</v>
      </c>
      <c r="N112" s="163"/>
    </row>
    <row r="113" spans="1:14" x14ac:dyDescent="0.25">
      <c r="A113" t="str">
        <f t="shared" si="45"/>
        <v xml:space="preserve">    Colorado River Delta</v>
      </c>
      <c r="B113" s="1"/>
      <c r="C113" s="48" t="str">
        <f t="shared" ref="C113:L113" ca="1" si="50">IF(OR(C$28="",$A113=""),"",OFFSET(C$61,8*(ROW(B113)-ROW(B$110)),0))</f>
        <v/>
      </c>
      <c r="D113" s="48" t="str">
        <f t="shared" ca="1" si="50"/>
        <v/>
      </c>
      <c r="E113" s="48" t="str">
        <f t="shared" ca="1" si="50"/>
        <v/>
      </c>
      <c r="F113" s="48" t="str">
        <f t="shared" ca="1" si="50"/>
        <v/>
      </c>
      <c r="G113" s="48" t="str">
        <f t="shared" ca="1" si="50"/>
        <v/>
      </c>
      <c r="H113" s="48" t="str">
        <f t="shared" ca="1" si="50"/>
        <v/>
      </c>
      <c r="I113" s="48" t="str">
        <f t="shared" ca="1" si="50"/>
        <v/>
      </c>
      <c r="J113" s="48" t="str">
        <f t="shared" ca="1" si="50"/>
        <v/>
      </c>
      <c r="K113" s="48" t="str">
        <f t="shared" ca="1" si="50"/>
        <v/>
      </c>
      <c r="L113" s="149" t="str">
        <f t="shared" ca="1" si="50"/>
        <v/>
      </c>
      <c r="M113" s="150">
        <f t="shared" ca="1" si="48"/>
        <v>0</v>
      </c>
      <c r="N113" s="163"/>
    </row>
    <row r="114" spans="1:14" x14ac:dyDescent="0.25">
      <c r="A114" t="str">
        <f t="shared" si="45"/>
        <v xml:space="preserve">    First Nations</v>
      </c>
      <c r="B114" s="1"/>
      <c r="C114" s="48" t="str">
        <f t="shared" ref="C114:L114" ca="1" si="51">IF(OR(C$28="",$A114=""),"",OFFSET(C$61,8*(ROW(B114)-ROW(B$110)),0))</f>
        <v/>
      </c>
      <c r="D114" s="48" t="str">
        <f t="shared" ca="1" si="51"/>
        <v/>
      </c>
      <c r="E114" s="48" t="str">
        <f t="shared" ca="1" si="51"/>
        <v/>
      </c>
      <c r="F114" s="48" t="str">
        <f t="shared" ca="1" si="51"/>
        <v/>
      </c>
      <c r="G114" s="48" t="str">
        <f t="shared" ca="1" si="51"/>
        <v/>
      </c>
      <c r="H114" s="48" t="str">
        <f t="shared" ca="1" si="51"/>
        <v/>
      </c>
      <c r="I114" s="48" t="str">
        <f t="shared" ca="1" si="51"/>
        <v/>
      </c>
      <c r="J114" s="48" t="str">
        <f t="shared" ca="1" si="51"/>
        <v/>
      </c>
      <c r="K114" s="48" t="str">
        <f t="shared" ca="1" si="51"/>
        <v/>
      </c>
      <c r="L114" s="149" t="str">
        <f t="shared" ca="1" si="51"/>
        <v/>
      </c>
      <c r="M114" s="150">
        <f t="shared" ca="1" si="48"/>
        <v>0</v>
      </c>
      <c r="N114" s="163"/>
    </row>
    <row r="115" spans="1:14" x14ac:dyDescent="0.25">
      <c r="A115" t="str">
        <f t="shared" si="45"/>
        <v xml:space="preserve">    Shared, Reserve</v>
      </c>
      <c r="B115" s="1"/>
      <c r="C115" s="48" t="str">
        <f t="shared" ref="C115:L115" ca="1" si="52">IF(OR(C$28="",$A115=""),"",OFFSET(C$61,8*(ROW(B115)-ROW(B$110)),0))</f>
        <v/>
      </c>
      <c r="D115" s="48" t="str">
        <f t="shared" ca="1" si="52"/>
        <v/>
      </c>
      <c r="E115" s="48" t="str">
        <f t="shared" ca="1" si="52"/>
        <v/>
      </c>
      <c r="F115" s="48" t="str">
        <f t="shared" ca="1" si="52"/>
        <v/>
      </c>
      <c r="G115" s="48" t="str">
        <f t="shared" ca="1" si="52"/>
        <v/>
      </c>
      <c r="H115" s="48" t="str">
        <f t="shared" ca="1" si="52"/>
        <v/>
      </c>
      <c r="I115" s="48" t="str">
        <f t="shared" ca="1" si="52"/>
        <v/>
      </c>
      <c r="J115" s="48" t="str">
        <f t="shared" ca="1" si="52"/>
        <v/>
      </c>
      <c r="K115" s="48" t="str">
        <f t="shared" ca="1" si="52"/>
        <v/>
      </c>
      <c r="L115" s="149" t="str">
        <f t="shared" ca="1" si="52"/>
        <v/>
      </c>
      <c r="M115" s="150">
        <f t="shared" ca="1" si="48"/>
        <v>0</v>
      </c>
      <c r="N115" s="163"/>
    </row>
    <row r="116" spans="1:14" x14ac:dyDescent="0.25">
      <c r="A116" t="s">
        <v>93</v>
      </c>
      <c r="B116" s="1"/>
      <c r="C116" s="35" t="str">
        <f>IF(C$28&lt;&gt;"",SUM(C110:C115),"")</f>
        <v/>
      </c>
      <c r="D116" s="35" t="str">
        <f t="shared" ref="D116:L116" si="53">IF(D$28&lt;&gt;"",SUM(D110:D115),"")</f>
        <v/>
      </c>
      <c r="E116" s="92" t="str">
        <f t="shared" si="53"/>
        <v/>
      </c>
      <c r="F116" s="35" t="str">
        <f t="shared" si="53"/>
        <v/>
      </c>
      <c r="G116" s="35" t="str">
        <f t="shared" si="53"/>
        <v/>
      </c>
      <c r="H116" s="35" t="str">
        <f t="shared" si="53"/>
        <v/>
      </c>
      <c r="I116" s="35" t="str">
        <f t="shared" si="53"/>
        <v/>
      </c>
      <c r="J116" s="35" t="str">
        <f t="shared" si="53"/>
        <v/>
      </c>
      <c r="K116" s="35" t="str">
        <f t="shared" si="53"/>
        <v/>
      </c>
      <c r="L116" s="35" t="str">
        <f t="shared" si="53"/>
        <v/>
      </c>
      <c r="M116" s="22"/>
      <c r="N116" s="165"/>
    </row>
    <row r="117" spans="1:14" x14ac:dyDescent="0.25">
      <c r="A117" s="1" t="s">
        <v>220</v>
      </c>
      <c r="B117" s="1"/>
      <c r="C117" s="37"/>
      <c r="D117" s="2"/>
      <c r="E117" s="37"/>
      <c r="F117" s="2"/>
      <c r="G117" s="2"/>
      <c r="H117" s="2"/>
      <c r="I117" s="2"/>
      <c r="J117" s="2"/>
      <c r="K117" s="2"/>
      <c r="L117" s="2"/>
      <c r="N117" s="159"/>
    </row>
    <row r="118" spans="1:14" x14ac:dyDescent="0.25">
      <c r="A118" t="str">
        <f>IF(A5="","","    "&amp;A5&amp;" - Consumptive Use and Headwaters Losses")</f>
        <v xml:space="preserve">    Upper Basin - Consumptive Use and Headwaters Losses</v>
      </c>
      <c r="C118" s="48" t="str">
        <f t="shared" ref="C118:L118" ca="1" si="54">IF(OR(C$28="",$A118=""),"",OFFSET(C$65,8*(ROW(B118)-ROW(B$118)),0))</f>
        <v/>
      </c>
      <c r="D118" s="48" t="str">
        <f t="shared" ca="1" si="54"/>
        <v/>
      </c>
      <c r="E118" s="48" t="str">
        <f t="shared" ca="1" si="54"/>
        <v/>
      </c>
      <c r="F118" s="48" t="str">
        <f t="shared" ca="1" si="54"/>
        <v/>
      </c>
      <c r="G118" s="48" t="str">
        <f t="shared" ca="1" si="54"/>
        <v/>
      </c>
      <c r="H118" s="48" t="str">
        <f t="shared" ca="1" si="54"/>
        <v/>
      </c>
      <c r="I118" s="48" t="str">
        <f t="shared" ca="1" si="54"/>
        <v/>
      </c>
      <c r="J118" s="48" t="str">
        <f t="shared" ca="1" si="54"/>
        <v/>
      </c>
      <c r="K118" s="48" t="str">
        <f t="shared" ca="1" si="54"/>
        <v/>
      </c>
      <c r="L118" s="48" t="str">
        <f t="shared" ca="1" si="54"/>
        <v/>
      </c>
      <c r="N118" s="159"/>
    </row>
    <row r="119" spans="1:14" x14ac:dyDescent="0.25">
      <c r="A119" t="str">
        <f>IF(A6="","","    "&amp;A6&amp;" - Release from Mead")</f>
        <v xml:space="preserve">    Lower Basin - Release from Mead</v>
      </c>
      <c r="C119" s="48" t="str">
        <f t="shared" ref="C119:L119" ca="1" si="55">IF(OR(C$28="",$A119=""),"",OFFSET(C$65,8*(ROW(B119)-ROW(B$118)),0))</f>
        <v/>
      </c>
      <c r="D119" s="48" t="str">
        <f t="shared" ca="1" si="55"/>
        <v/>
      </c>
      <c r="E119" s="48" t="str">
        <f t="shared" ca="1" si="55"/>
        <v/>
      </c>
      <c r="F119" s="48" t="str">
        <f t="shared" ca="1" si="55"/>
        <v/>
      </c>
      <c r="G119" s="48" t="str">
        <f t="shared" ca="1" si="55"/>
        <v/>
      </c>
      <c r="H119" s="48" t="str">
        <f t="shared" ca="1" si="55"/>
        <v/>
      </c>
      <c r="I119" s="48" t="str">
        <f t="shared" ca="1" si="55"/>
        <v/>
      </c>
      <c r="J119" s="48" t="str">
        <f t="shared" ca="1" si="55"/>
        <v/>
      </c>
      <c r="K119" s="48" t="str">
        <f t="shared" ca="1" si="55"/>
        <v/>
      </c>
      <c r="L119" s="48" t="str">
        <f t="shared" ca="1" si="55"/>
        <v/>
      </c>
      <c r="N119" s="159"/>
    </row>
    <row r="120" spans="1:14" x14ac:dyDescent="0.25">
      <c r="A120" t="str">
        <f>IF(A7="","","    "&amp;A7&amp;" - Release from Mead")</f>
        <v xml:space="preserve">    Mexico - Release from Mead</v>
      </c>
      <c r="C120" s="48" t="str">
        <f t="shared" ref="C120:L120" ca="1" si="56">IF(OR(C$28="",$A120=""),"",OFFSET(C$65,8*(ROW(B120)-ROW(B$118)),0))</f>
        <v/>
      </c>
      <c r="D120" s="48" t="str">
        <f t="shared" ca="1" si="56"/>
        <v/>
      </c>
      <c r="E120" s="48" t="str">
        <f t="shared" ca="1" si="56"/>
        <v/>
      </c>
      <c r="F120" s="48" t="str">
        <f t="shared" ca="1" si="56"/>
        <v/>
      </c>
      <c r="G120" s="48" t="str">
        <f t="shared" ca="1" si="56"/>
        <v/>
      </c>
      <c r="H120" s="48" t="str">
        <f t="shared" ca="1" si="56"/>
        <v/>
      </c>
      <c r="I120" s="48" t="str">
        <f t="shared" ca="1" si="56"/>
        <v/>
      </c>
      <c r="J120" s="48" t="str">
        <f t="shared" ca="1" si="56"/>
        <v/>
      </c>
      <c r="K120" s="48" t="str">
        <f t="shared" ca="1" si="56"/>
        <v/>
      </c>
      <c r="L120" s="48" t="str">
        <f t="shared" ca="1" si="56"/>
        <v/>
      </c>
      <c r="N120" s="159"/>
    </row>
    <row r="121" spans="1:14" x14ac:dyDescent="0.25">
      <c r="A121" t="str">
        <f>IF(A8="","","    "&amp;A8&amp;" - Release from Mead")</f>
        <v xml:space="preserve">    Colorado River Delta - Release from Mead</v>
      </c>
      <c r="C121" s="48" t="str">
        <f t="shared" ref="C121:L121" ca="1" si="57">IF(OR(C$28="",$A121=""),"",OFFSET(C$65,8*(ROW(B121)-ROW(B$118)),0))</f>
        <v/>
      </c>
      <c r="D121" s="48" t="str">
        <f t="shared" ca="1" si="57"/>
        <v/>
      </c>
      <c r="E121" s="48" t="str">
        <f t="shared" ca="1" si="57"/>
        <v/>
      </c>
      <c r="F121" s="48" t="str">
        <f t="shared" ca="1" si="57"/>
        <v/>
      </c>
      <c r="G121" s="48" t="str">
        <f t="shared" ca="1" si="57"/>
        <v/>
      </c>
      <c r="H121" s="48" t="str">
        <f t="shared" ca="1" si="57"/>
        <v/>
      </c>
      <c r="I121" s="48" t="str">
        <f t="shared" ca="1" si="57"/>
        <v/>
      </c>
      <c r="J121" s="48" t="str">
        <f t="shared" ca="1" si="57"/>
        <v/>
      </c>
      <c r="K121" s="48" t="str">
        <f t="shared" ca="1" si="57"/>
        <v/>
      </c>
      <c r="L121" s="48" t="str">
        <f t="shared" ca="1" si="57"/>
        <v/>
      </c>
      <c r="N121" s="159"/>
    </row>
    <row r="122" spans="1:14" x14ac:dyDescent="0.25">
      <c r="A122" t="str">
        <f>IF(A9="","","    "&amp;A9&amp;" - Release from Mead")</f>
        <v xml:space="preserve">    First Nations - Release from Mead</v>
      </c>
      <c r="C122" s="48" t="str">
        <f t="shared" ref="C122:L122" ca="1" si="58">IF(OR(C$28="",$A122=""),"",OFFSET(C$65,8*(ROW(B122)-ROW(B$118)),0))</f>
        <v/>
      </c>
      <c r="D122" s="48" t="str">
        <f t="shared" ca="1" si="58"/>
        <v/>
      </c>
      <c r="E122" s="48" t="str">
        <f t="shared" ca="1" si="58"/>
        <v/>
      </c>
      <c r="F122" s="48" t="str">
        <f t="shared" ca="1" si="58"/>
        <v/>
      </c>
      <c r="G122" s="48" t="str">
        <f t="shared" ca="1" si="58"/>
        <v/>
      </c>
      <c r="H122" s="48" t="str">
        <f t="shared" ca="1" si="58"/>
        <v/>
      </c>
      <c r="I122" s="48" t="str">
        <f t="shared" ca="1" si="58"/>
        <v/>
      </c>
      <c r="J122" s="48" t="str">
        <f t="shared" ca="1" si="58"/>
        <v/>
      </c>
      <c r="K122" s="48" t="str">
        <f t="shared" ca="1" si="58"/>
        <v/>
      </c>
      <c r="L122" s="48" t="str">
        <f t="shared" ca="1" si="58"/>
        <v/>
      </c>
      <c r="N122" s="159"/>
    </row>
    <row r="123" spans="1:14" x14ac:dyDescent="0.25">
      <c r="A123" t="str">
        <f>IF(A10="","","    "&amp;A10&amp;" - Release from Mead")</f>
        <v xml:space="preserve">    Shared, Reserve - Release from Mead</v>
      </c>
      <c r="C123" s="48" t="str">
        <f t="shared" ref="C123:L123" ca="1" si="59">IF(OR(C$28="",$A123=""),"",OFFSET(C$65,8*(ROW(B123)-ROW(B$118)),0))</f>
        <v/>
      </c>
      <c r="D123" s="48" t="str">
        <f t="shared" ca="1" si="59"/>
        <v/>
      </c>
      <c r="E123" s="48" t="str">
        <f t="shared" ca="1" si="59"/>
        <v/>
      </c>
      <c r="F123" s="48" t="str">
        <f t="shared" ca="1" si="59"/>
        <v/>
      </c>
      <c r="G123" s="48" t="str">
        <f t="shared" ca="1" si="59"/>
        <v/>
      </c>
      <c r="H123" s="48" t="str">
        <f t="shared" ca="1" si="59"/>
        <v/>
      </c>
      <c r="I123" s="48" t="str">
        <f t="shared" ca="1" si="59"/>
        <v/>
      </c>
      <c r="J123" s="48" t="str">
        <f t="shared" ca="1" si="59"/>
        <v/>
      </c>
      <c r="K123" s="48" t="str">
        <f t="shared" ca="1" si="59"/>
        <v/>
      </c>
      <c r="L123" s="48" t="str">
        <f t="shared" ca="1" si="59"/>
        <v/>
      </c>
      <c r="N123" s="159"/>
    </row>
    <row r="124" spans="1:14" x14ac:dyDescent="0.25">
      <c r="A124" s="1" t="s">
        <v>90</v>
      </c>
      <c r="B124" s="1"/>
      <c r="D124" s="2"/>
      <c r="E124" s="2"/>
      <c r="F124" s="2"/>
      <c r="G124" s="2"/>
      <c r="H124" s="2"/>
      <c r="I124" s="2"/>
      <c r="J124" s="2"/>
      <c r="K124" s="2"/>
      <c r="L124" s="2"/>
      <c r="N124" s="159"/>
    </row>
    <row r="125" spans="1:14" x14ac:dyDescent="0.25">
      <c r="A125" t="str">
        <f t="shared" ref="A125:A130" si="60">IF(A5="","","    "&amp;A5)</f>
        <v xml:space="preserve">    Upper Basin</v>
      </c>
      <c r="C125" s="48" t="str">
        <f t="shared" ref="C125:L125" ca="1" si="61">IF(OR(C$28="",$A125=""),"",OFFSET(C$66,8*(ROW(B125)-ROW(B$125)),0))</f>
        <v/>
      </c>
      <c r="D125" s="48" t="str">
        <f t="shared" ca="1" si="61"/>
        <v/>
      </c>
      <c r="E125" s="48" t="str">
        <f t="shared" ca="1" si="61"/>
        <v/>
      </c>
      <c r="F125" s="48" t="str">
        <f t="shared" ca="1" si="61"/>
        <v/>
      </c>
      <c r="G125" s="48" t="str">
        <f t="shared" ca="1" si="61"/>
        <v/>
      </c>
      <c r="H125" s="48" t="str">
        <f t="shared" ca="1" si="61"/>
        <v/>
      </c>
      <c r="I125" s="48" t="str">
        <f t="shared" ca="1" si="61"/>
        <v/>
      </c>
      <c r="J125" s="48" t="str">
        <f t="shared" ca="1" si="61"/>
        <v/>
      </c>
      <c r="K125" s="48" t="str">
        <f t="shared" ca="1" si="61"/>
        <v/>
      </c>
      <c r="L125" s="48" t="str">
        <f t="shared" ca="1" si="61"/>
        <v/>
      </c>
      <c r="N125" s="159"/>
    </row>
    <row r="126" spans="1:14" x14ac:dyDescent="0.25">
      <c r="A126" t="str">
        <f t="shared" si="60"/>
        <v xml:space="preserve">    Lower Basin</v>
      </c>
      <c r="C126" s="48" t="str">
        <f t="shared" ref="C126:L126" ca="1" si="62">IF(OR(C$28="",$A126=""),"",OFFSET(C$66,8*(ROW(B126)-ROW(B$125)),0))</f>
        <v/>
      </c>
      <c r="D126" s="48" t="str">
        <f t="shared" ca="1" si="62"/>
        <v/>
      </c>
      <c r="E126" s="48" t="str">
        <f t="shared" ca="1" si="62"/>
        <v/>
      </c>
      <c r="F126" s="48" t="str">
        <f t="shared" ca="1" si="62"/>
        <v/>
      </c>
      <c r="G126" s="48" t="str">
        <f t="shared" ca="1" si="62"/>
        <v/>
      </c>
      <c r="H126" s="48" t="str">
        <f t="shared" ca="1" si="62"/>
        <v/>
      </c>
      <c r="I126" s="48" t="str">
        <f t="shared" ca="1" si="62"/>
        <v/>
      </c>
      <c r="J126" s="48" t="str">
        <f t="shared" ca="1" si="62"/>
        <v/>
      </c>
      <c r="K126" s="48" t="str">
        <f t="shared" ca="1" si="62"/>
        <v/>
      </c>
      <c r="L126" s="48" t="str">
        <f t="shared" ca="1" si="62"/>
        <v/>
      </c>
      <c r="N126" s="159"/>
    </row>
    <row r="127" spans="1:14" x14ac:dyDescent="0.25">
      <c r="A127" t="str">
        <f t="shared" si="60"/>
        <v xml:space="preserve">    Mexico</v>
      </c>
      <c r="C127" s="48" t="str">
        <f t="shared" ref="C127:L127" ca="1" si="63">IF(OR(C$28="",$A127=""),"",OFFSET(C$66,8*(ROW(B127)-ROW(B$125)),0))</f>
        <v/>
      </c>
      <c r="D127" s="48" t="str">
        <f t="shared" ca="1" si="63"/>
        <v/>
      </c>
      <c r="E127" s="48" t="str">
        <f t="shared" ca="1" si="63"/>
        <v/>
      </c>
      <c r="F127" s="48" t="str">
        <f t="shared" ca="1" si="63"/>
        <v/>
      </c>
      <c r="G127" s="48" t="str">
        <f t="shared" ca="1" si="63"/>
        <v/>
      </c>
      <c r="H127" s="48" t="str">
        <f t="shared" ca="1" si="63"/>
        <v/>
      </c>
      <c r="I127" s="48" t="str">
        <f t="shared" ca="1" si="63"/>
        <v/>
      </c>
      <c r="J127" s="48" t="str">
        <f t="shared" ca="1" si="63"/>
        <v/>
      </c>
      <c r="K127" s="48" t="str">
        <f t="shared" ca="1" si="63"/>
        <v/>
      </c>
      <c r="L127" s="48" t="str">
        <f t="shared" ca="1" si="63"/>
        <v/>
      </c>
      <c r="N127" s="159"/>
    </row>
    <row r="128" spans="1:14" x14ac:dyDescent="0.25">
      <c r="A128" t="str">
        <f t="shared" si="60"/>
        <v xml:space="preserve">    Colorado River Delta</v>
      </c>
      <c r="C128" s="48" t="str">
        <f t="shared" ref="C128:L128" ca="1" si="64">IF(OR(C$28="",$A128=""),"",OFFSET(C$66,8*(ROW(B128)-ROW(B$125)),0))</f>
        <v/>
      </c>
      <c r="D128" s="48" t="str">
        <f t="shared" ca="1" si="64"/>
        <v/>
      </c>
      <c r="E128" s="48" t="str">
        <f t="shared" ca="1" si="64"/>
        <v/>
      </c>
      <c r="F128" s="48" t="str">
        <f t="shared" ca="1" si="64"/>
        <v/>
      </c>
      <c r="G128" s="48" t="str">
        <f t="shared" ca="1" si="64"/>
        <v/>
      </c>
      <c r="H128" s="48" t="str">
        <f t="shared" ca="1" si="64"/>
        <v/>
      </c>
      <c r="I128" s="48" t="str">
        <f t="shared" ca="1" si="64"/>
        <v/>
      </c>
      <c r="J128" s="48" t="str">
        <f t="shared" ca="1" si="64"/>
        <v/>
      </c>
      <c r="K128" s="48" t="str">
        <f t="shared" ca="1" si="64"/>
        <v/>
      </c>
      <c r="L128" s="48" t="str">
        <f t="shared" ca="1" si="64"/>
        <v/>
      </c>
      <c r="N128" s="159"/>
    </row>
    <row r="129" spans="1:14" x14ac:dyDescent="0.25">
      <c r="A129" t="str">
        <f t="shared" si="60"/>
        <v xml:space="preserve">    First Nations</v>
      </c>
      <c r="C129" s="48" t="str">
        <f t="shared" ref="C129:L129" ca="1" si="65">IF(OR(C$28="",$A129=""),"",OFFSET(C$66,8*(ROW(B129)-ROW(B$125)),0))</f>
        <v/>
      </c>
      <c r="D129" s="48" t="str">
        <f t="shared" ca="1" si="65"/>
        <v/>
      </c>
      <c r="E129" s="48" t="str">
        <f t="shared" ca="1" si="65"/>
        <v/>
      </c>
      <c r="F129" s="48" t="str">
        <f t="shared" ca="1" si="65"/>
        <v/>
      </c>
      <c r="G129" s="48" t="str">
        <f t="shared" ca="1" si="65"/>
        <v/>
      </c>
      <c r="H129" s="48" t="str">
        <f t="shared" ca="1" si="65"/>
        <v/>
      </c>
      <c r="I129" s="48" t="str">
        <f t="shared" ca="1" si="65"/>
        <v/>
      </c>
      <c r="J129" s="48" t="str">
        <f t="shared" ca="1" si="65"/>
        <v/>
      </c>
      <c r="K129" s="48" t="str">
        <f t="shared" ca="1" si="65"/>
        <v/>
      </c>
      <c r="L129" s="48" t="str">
        <f t="shared" ca="1" si="65"/>
        <v/>
      </c>
      <c r="N129" s="159"/>
    </row>
    <row r="130" spans="1:14" x14ac:dyDescent="0.25">
      <c r="A130" t="str">
        <f t="shared" si="60"/>
        <v xml:space="preserve">    Shared, Reserve</v>
      </c>
      <c r="C130" s="48" t="str">
        <f t="shared" ref="C130:L130" ca="1" si="66">IF(OR(C$28="",$A130=""),"",OFFSET(C$66,8*(ROW(B130)-ROW(B$125)),0))</f>
        <v/>
      </c>
      <c r="D130" s="48" t="str">
        <f t="shared" ca="1" si="66"/>
        <v/>
      </c>
      <c r="E130" s="48" t="str">
        <f t="shared" ca="1" si="66"/>
        <v/>
      </c>
      <c r="F130" s="48" t="str">
        <f t="shared" ca="1" si="66"/>
        <v/>
      </c>
      <c r="G130" s="48" t="str">
        <f t="shared" ca="1" si="66"/>
        <v/>
      </c>
      <c r="H130" s="48" t="str">
        <f t="shared" ca="1" si="66"/>
        <v/>
      </c>
      <c r="I130" s="48" t="str">
        <f t="shared" ca="1" si="66"/>
        <v/>
      </c>
      <c r="J130" s="48" t="str">
        <f t="shared" ca="1" si="66"/>
        <v/>
      </c>
      <c r="K130" s="48" t="str">
        <f t="shared" ca="1" si="66"/>
        <v/>
      </c>
      <c r="L130" s="48" t="str">
        <f t="shared" ca="1" si="66"/>
        <v/>
      </c>
      <c r="N130" s="159"/>
    </row>
    <row r="131" spans="1:14" x14ac:dyDescent="0.25">
      <c r="A131" s="1" t="s">
        <v>221</v>
      </c>
      <c r="B131" s="1"/>
      <c r="C131" s="13" t="str">
        <f>IF(C$28&lt;&gt;"",SUM(C125:C130),"")</f>
        <v/>
      </c>
      <c r="D131" s="13" t="str">
        <f t="shared" ref="D131:L131" si="67">IF(D$28&lt;&gt;"",SUM(D125:D130),"")</f>
        <v/>
      </c>
      <c r="E131" s="13" t="str">
        <f t="shared" si="67"/>
        <v/>
      </c>
      <c r="F131" s="13" t="str">
        <f t="shared" si="67"/>
        <v/>
      </c>
      <c r="G131" s="13" t="str">
        <f t="shared" si="67"/>
        <v/>
      </c>
      <c r="H131" s="13" t="str">
        <f t="shared" si="67"/>
        <v/>
      </c>
      <c r="I131" s="13" t="str">
        <f t="shared" si="67"/>
        <v/>
      </c>
      <c r="J131" s="13" t="str">
        <f t="shared" si="67"/>
        <v/>
      </c>
      <c r="K131" s="13" t="str">
        <f t="shared" si="67"/>
        <v/>
      </c>
      <c r="L131" s="13" t="str">
        <f t="shared" si="67"/>
        <v/>
      </c>
      <c r="N131" s="158" t="s">
        <v>292</v>
      </c>
    </row>
    <row r="132" spans="1:14" ht="29.45" customHeight="1" x14ac:dyDescent="0.25">
      <c r="A132" s="201" t="s">
        <v>265</v>
      </c>
      <c r="B132" s="202"/>
      <c r="C132" s="140"/>
      <c r="D132" s="140"/>
      <c r="E132" s="140"/>
      <c r="F132" s="140"/>
      <c r="G132" s="140"/>
      <c r="H132" s="140"/>
      <c r="I132" s="140"/>
      <c r="J132" s="140"/>
      <c r="K132" s="140"/>
      <c r="L132" s="140"/>
      <c r="N132" s="155" t="s">
        <v>293</v>
      </c>
    </row>
    <row r="133" spans="1:14" x14ac:dyDescent="0.25">
      <c r="A133" s="1" t="s">
        <v>229</v>
      </c>
      <c r="B133" s="1"/>
      <c r="C133" s="13" t="str">
        <f>IF(C28="","",C$132*C$131)</f>
        <v/>
      </c>
      <c r="D133" s="13" t="str">
        <f t="shared" ref="D133:L133" si="68">IF(D28="","",D$132*D$131)</f>
        <v/>
      </c>
      <c r="E133" s="13" t="str">
        <f t="shared" si="68"/>
        <v/>
      </c>
      <c r="F133" s="13" t="str">
        <f t="shared" si="68"/>
        <v/>
      </c>
      <c r="G133" s="13" t="str">
        <f t="shared" si="68"/>
        <v/>
      </c>
      <c r="H133" s="13" t="str">
        <f t="shared" si="68"/>
        <v/>
      </c>
      <c r="I133" s="13" t="str">
        <f t="shared" si="68"/>
        <v/>
      </c>
      <c r="J133" s="13" t="str">
        <f t="shared" si="68"/>
        <v/>
      </c>
      <c r="K133" s="13" t="str">
        <f t="shared" si="68"/>
        <v/>
      </c>
      <c r="L133" s="13" t="str">
        <f t="shared" si="68"/>
        <v/>
      </c>
      <c r="N133" s="158" t="s">
        <v>304</v>
      </c>
    </row>
    <row r="134" spans="1:14" x14ac:dyDescent="0.25">
      <c r="A134" s="1" t="s">
        <v>230</v>
      </c>
      <c r="B134" s="1"/>
      <c r="C134" s="13" t="str">
        <f>IF(C29="","",(1-C$132)*C$131)</f>
        <v/>
      </c>
      <c r="D134" s="13" t="str">
        <f t="shared" ref="D134:L134" si="69">IF(D29="","",(1-D$132)*D$131)</f>
        <v/>
      </c>
      <c r="E134" s="13" t="str">
        <f t="shared" si="69"/>
        <v/>
      </c>
      <c r="F134" s="13" t="str">
        <f t="shared" si="69"/>
        <v/>
      </c>
      <c r="G134" s="13" t="str">
        <f t="shared" si="69"/>
        <v/>
      </c>
      <c r="H134" s="13" t="str">
        <f t="shared" si="69"/>
        <v/>
      </c>
      <c r="I134" s="13" t="str">
        <f t="shared" si="69"/>
        <v/>
      </c>
      <c r="J134" s="13" t="str">
        <f t="shared" si="69"/>
        <v/>
      </c>
      <c r="K134" s="13" t="str">
        <f t="shared" si="69"/>
        <v/>
      </c>
      <c r="L134" s="13" t="str">
        <f t="shared" si="69"/>
        <v/>
      </c>
      <c r="N134" s="158" t="s">
        <v>304</v>
      </c>
    </row>
    <row r="135" spans="1:14" x14ac:dyDescent="0.2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304</v>
      </c>
    </row>
    <row r="136" spans="1:14" x14ac:dyDescent="0.2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304</v>
      </c>
    </row>
    <row r="137" spans="1:14" x14ac:dyDescent="0.25">
      <c r="A137" s="1" t="s">
        <v>231</v>
      </c>
      <c r="B137" s="1"/>
      <c r="N137" s="158" t="s">
        <v>294</v>
      </c>
    </row>
    <row r="138" spans="1:14" x14ac:dyDescent="0.25">
      <c r="A138" s="21" t="s">
        <v>232</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295</v>
      </c>
    </row>
    <row r="139" spans="1:14" x14ac:dyDescent="0.25">
      <c r="A139" s="21" t="s">
        <v>222</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296</v>
      </c>
    </row>
    <row r="140" spans="1:14" s="65" customFormat="1" ht="62.45" customHeight="1" x14ac:dyDescent="0.25">
      <c r="A140" s="94" t="s">
        <v>223</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298</v>
      </c>
    </row>
    <row r="141" spans="1:14" s="65" customFormat="1" ht="32.1" customHeight="1" x14ac:dyDescent="0.2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297</v>
      </c>
    </row>
    <row r="142" spans="1:14" x14ac:dyDescent="0.25">
      <c r="A142" s="151" t="s">
        <v>266</v>
      </c>
      <c r="C142" s="19"/>
      <c r="N142" s="158" t="s">
        <v>299</v>
      </c>
    </row>
    <row r="144" spans="1:14" x14ac:dyDescent="0.2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105" priority="85" operator="greaterThan">
      <formula>$H$64</formula>
    </cfRule>
  </conditionalFormatting>
  <conditionalFormatting sqref="I65">
    <cfRule type="cellIs" dxfId="104" priority="84" operator="greaterThan">
      <formula>$I$64</formula>
    </cfRule>
  </conditionalFormatting>
  <conditionalFormatting sqref="J65">
    <cfRule type="cellIs" dxfId="103" priority="83" operator="greaterThan">
      <formula>$J$64</formula>
    </cfRule>
  </conditionalFormatting>
  <conditionalFormatting sqref="K65">
    <cfRule type="cellIs" dxfId="102" priority="82" operator="greaterThan">
      <formula>$K$64</formula>
    </cfRule>
  </conditionalFormatting>
  <conditionalFormatting sqref="L65">
    <cfRule type="cellIs" dxfId="101" priority="81" operator="greaterThan">
      <formula>$L$64</formula>
    </cfRule>
  </conditionalFormatting>
  <conditionalFormatting sqref="H73">
    <cfRule type="cellIs" dxfId="100" priority="68" operator="greaterThan">
      <formula>$H$72</formula>
    </cfRule>
  </conditionalFormatting>
  <conditionalFormatting sqref="I73">
    <cfRule type="cellIs" dxfId="99" priority="67" operator="greaterThan">
      <formula>$I$72</formula>
    </cfRule>
  </conditionalFormatting>
  <conditionalFormatting sqref="J73">
    <cfRule type="cellIs" dxfId="98" priority="66" operator="greaterThan">
      <formula>$J$72</formula>
    </cfRule>
  </conditionalFormatting>
  <conditionalFormatting sqref="K73">
    <cfRule type="cellIs" dxfId="97" priority="65" operator="greaterThan">
      <formula>$K$72</formula>
    </cfRule>
  </conditionalFormatting>
  <conditionalFormatting sqref="L73">
    <cfRule type="cellIs" dxfId="96" priority="64" operator="greaterThan">
      <formula>$L$72</formula>
    </cfRule>
  </conditionalFormatting>
  <conditionalFormatting sqref="H81">
    <cfRule type="cellIs" dxfId="95" priority="58" operator="greaterThan">
      <formula>$H$80</formula>
    </cfRule>
  </conditionalFormatting>
  <conditionalFormatting sqref="I81">
    <cfRule type="cellIs" dxfId="94" priority="57" operator="greaterThan">
      <formula>$I$80</formula>
    </cfRule>
  </conditionalFormatting>
  <conditionalFormatting sqref="J81">
    <cfRule type="cellIs" dxfId="93" priority="56" operator="greaterThan">
      <formula>$J$80</formula>
    </cfRule>
  </conditionalFormatting>
  <conditionalFormatting sqref="K81">
    <cfRule type="cellIs" dxfId="92" priority="55" operator="greaterThan">
      <formula>$K$80</formula>
    </cfRule>
  </conditionalFormatting>
  <conditionalFormatting sqref="L81">
    <cfRule type="cellIs" dxfId="91" priority="54" operator="greaterThan">
      <formula>$L$80</formula>
    </cfRule>
  </conditionalFormatting>
  <conditionalFormatting sqref="C89:L89">
    <cfRule type="cellIs" dxfId="90" priority="53" operator="greaterThan">
      <formula>$C$88</formula>
    </cfRule>
  </conditionalFormatting>
  <conditionalFormatting sqref="C97">
    <cfRule type="cellIs" dxfId="89" priority="52" operator="greaterThan">
      <formula>$C$96</formula>
    </cfRule>
  </conditionalFormatting>
  <conditionalFormatting sqref="D97">
    <cfRule type="cellIs" dxfId="88" priority="51" operator="greaterThan">
      <formula>$D$96</formula>
    </cfRule>
  </conditionalFormatting>
  <conditionalFormatting sqref="E97">
    <cfRule type="cellIs" dxfId="87" priority="50" operator="greaterThan">
      <formula>$E$96</formula>
    </cfRule>
  </conditionalFormatting>
  <conditionalFormatting sqref="F97">
    <cfRule type="cellIs" dxfId="86" priority="49" operator="greaterThan">
      <formula>$F$96</formula>
    </cfRule>
  </conditionalFormatting>
  <conditionalFormatting sqref="G97">
    <cfRule type="cellIs" dxfId="85" priority="48" operator="greaterThan">
      <formula>$G$96</formula>
    </cfRule>
  </conditionalFormatting>
  <conditionalFormatting sqref="H97">
    <cfRule type="cellIs" dxfId="84" priority="47" operator="greaterThan">
      <formula>$H$96</formula>
    </cfRule>
  </conditionalFormatting>
  <conditionalFormatting sqref="I97">
    <cfRule type="cellIs" dxfId="83" priority="46" operator="greaterThan">
      <formula>$I$96</formula>
    </cfRule>
  </conditionalFormatting>
  <conditionalFormatting sqref="J97">
    <cfRule type="cellIs" dxfId="82" priority="45" operator="greaterThan">
      <formula>$J$96</formula>
    </cfRule>
  </conditionalFormatting>
  <conditionalFormatting sqref="K97">
    <cfRule type="cellIs" dxfId="81" priority="44" operator="greaterThan">
      <formula>$K$96</formula>
    </cfRule>
  </conditionalFormatting>
  <conditionalFormatting sqref="L97">
    <cfRule type="cellIs" dxfId="80" priority="43" operator="greaterThan">
      <formula>$L$96</formula>
    </cfRule>
  </conditionalFormatting>
  <conditionalFormatting sqref="C105">
    <cfRule type="cellIs" dxfId="79" priority="42" operator="greaterThan">
      <formula>$C$104</formula>
    </cfRule>
  </conditionalFormatting>
  <conditionalFormatting sqref="D105">
    <cfRule type="cellIs" dxfId="78" priority="41" operator="greaterThan">
      <formula>$D$104</formula>
    </cfRule>
  </conditionalFormatting>
  <conditionalFormatting sqref="E105">
    <cfRule type="cellIs" dxfId="77" priority="40" operator="greaterThan">
      <formula>$E$104</formula>
    </cfRule>
  </conditionalFormatting>
  <conditionalFormatting sqref="F105">
    <cfRule type="cellIs" dxfId="76" priority="39" operator="greaterThan">
      <formula>$F$104</formula>
    </cfRule>
  </conditionalFormatting>
  <conditionalFormatting sqref="G105">
    <cfRule type="cellIs" dxfId="75" priority="38" operator="greaterThan">
      <formula>$G$104</formula>
    </cfRule>
  </conditionalFormatting>
  <conditionalFormatting sqref="H105">
    <cfRule type="cellIs" dxfId="74" priority="37" operator="greaterThan">
      <formula>$H$104</formula>
    </cfRule>
  </conditionalFormatting>
  <conditionalFormatting sqref="I105">
    <cfRule type="cellIs" dxfId="73" priority="36" operator="greaterThan">
      <formula>$I$104</formula>
    </cfRule>
  </conditionalFormatting>
  <conditionalFormatting sqref="J105">
    <cfRule type="cellIs" dxfId="72" priority="35" operator="greaterThan">
      <formula>$J$104</formula>
    </cfRule>
  </conditionalFormatting>
  <conditionalFormatting sqref="K105">
    <cfRule type="cellIs" dxfId="71" priority="34" operator="greaterThan">
      <formula>$K$104</formula>
    </cfRule>
  </conditionalFormatting>
  <conditionalFormatting sqref="L105">
    <cfRule type="cellIs" dxfId="70" priority="33" operator="greaterThan">
      <formula>$L$104</formula>
    </cfRule>
  </conditionalFormatting>
  <conditionalFormatting sqref="D65">
    <cfRule type="cellIs" dxfId="69" priority="20" operator="greaterThan">
      <formula>$D$64</formula>
    </cfRule>
  </conditionalFormatting>
  <conditionalFormatting sqref="C65">
    <cfRule type="cellIs" dxfId="68" priority="18" operator="greaterThan">
      <formula>$C$64</formula>
    </cfRule>
  </conditionalFormatting>
  <conditionalFormatting sqref="E65">
    <cfRule type="cellIs" dxfId="67" priority="16" operator="greaterThan">
      <formula>$E$64</formula>
    </cfRule>
  </conditionalFormatting>
  <conditionalFormatting sqref="F65">
    <cfRule type="cellIs" dxfId="66" priority="15" operator="greaterThan">
      <formula>$F$64</formula>
    </cfRule>
  </conditionalFormatting>
  <conditionalFormatting sqref="G65">
    <cfRule type="cellIs" dxfId="65" priority="14" operator="greaterThan">
      <formula>$G$64</formula>
    </cfRule>
  </conditionalFormatting>
  <conditionalFormatting sqref="C73">
    <cfRule type="cellIs" dxfId="64" priority="10" operator="greaterThan">
      <formula>$C$72</formula>
    </cfRule>
  </conditionalFormatting>
  <conditionalFormatting sqref="D73">
    <cfRule type="cellIs" dxfId="63" priority="9" operator="greaterThan">
      <formula>$D$72</formula>
    </cfRule>
  </conditionalFormatting>
  <conditionalFormatting sqref="E73">
    <cfRule type="cellIs" dxfId="62" priority="8" operator="greaterThan">
      <formula>$E$72</formula>
    </cfRule>
  </conditionalFormatting>
  <conditionalFormatting sqref="F73">
    <cfRule type="cellIs" dxfId="61" priority="7" operator="greaterThan">
      <formula>$F$72</formula>
    </cfRule>
  </conditionalFormatting>
  <conditionalFormatting sqref="G73">
    <cfRule type="cellIs" dxfId="60" priority="6" operator="greaterThan">
      <formula>$G$72</formula>
    </cfRule>
  </conditionalFormatting>
  <conditionalFormatting sqref="C81">
    <cfRule type="cellIs" dxfId="59" priority="5" operator="greaterThan">
      <formula>$C$80</formula>
    </cfRule>
  </conditionalFormatting>
  <conditionalFormatting sqref="D81">
    <cfRule type="cellIs" dxfId="58" priority="4" operator="greaterThan">
      <formula>$D$80</formula>
    </cfRule>
  </conditionalFormatting>
  <conditionalFormatting sqref="E81">
    <cfRule type="cellIs" dxfId="57" priority="3" operator="greaterThan">
      <formula>$E$80</formula>
    </cfRule>
  </conditionalFormatting>
  <conditionalFormatting sqref="F81">
    <cfRule type="cellIs" dxfId="56" priority="2" operator="greaterThan">
      <formula>$F$80</formula>
    </cfRule>
  </conditionalFormatting>
  <conditionalFormatting sqref="G81">
    <cfRule type="cellIs" dxfId="55"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zoomScale="150" zoomScaleNormal="150" workbookViewId="0">
      <selection activeCell="C97" sqref="C97:G97"/>
    </sheetView>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157"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ht="15.75" x14ac:dyDescent="0.25">
      <c r="A1" s="194" t="str">
        <f>'ReadMe-Directions'!A1</f>
        <v>Flex Accounting in a Combined Lake Powell-Lake Mead System: Tool and Discussion Activity</v>
      </c>
      <c r="B1" s="194"/>
      <c r="C1" s="194"/>
      <c r="D1" s="194"/>
      <c r="E1" s="194"/>
      <c r="F1" s="194"/>
      <c r="G1" s="194"/>
    </row>
    <row r="2" spans="1:14" x14ac:dyDescent="0.25">
      <c r="A2" s="1" t="s">
        <v>234</v>
      </c>
      <c r="B2" s="1"/>
    </row>
    <row r="3" spans="1:14" ht="32.1" customHeight="1" x14ac:dyDescent="0.25">
      <c r="A3" s="204" t="s">
        <v>258</v>
      </c>
      <c r="B3" s="204"/>
      <c r="C3" s="204"/>
      <c r="D3" s="204"/>
      <c r="E3" s="204"/>
      <c r="F3" s="204"/>
      <c r="G3" s="204"/>
      <c r="H3" s="180"/>
      <c r="I3" s="180"/>
      <c r="J3" s="180"/>
      <c r="K3" s="180"/>
      <c r="N3" s="153" t="s">
        <v>303</v>
      </c>
    </row>
    <row r="4" spans="1:14" x14ac:dyDescent="0.25">
      <c r="A4" s="141" t="s">
        <v>236</v>
      </c>
      <c r="B4" s="141" t="s">
        <v>31</v>
      </c>
      <c r="C4" s="205" t="s">
        <v>32</v>
      </c>
      <c r="D4" s="206"/>
      <c r="E4" s="206"/>
      <c r="F4" s="206"/>
      <c r="G4" s="207"/>
      <c r="N4" s="155" t="s">
        <v>267</v>
      </c>
    </row>
    <row r="5" spans="1:14" x14ac:dyDescent="0.25">
      <c r="A5" s="179" t="str">
        <f>IF(Master!A5="","",Master!A5)</f>
        <v>Upper Basin</v>
      </c>
      <c r="B5" s="181" t="s">
        <v>340</v>
      </c>
      <c r="C5" s="208" t="s">
        <v>341</v>
      </c>
      <c r="D5" s="203"/>
      <c r="E5" s="203"/>
      <c r="F5" s="203"/>
      <c r="G5" s="203"/>
      <c r="N5" s="159"/>
    </row>
    <row r="6" spans="1:14" x14ac:dyDescent="0.25">
      <c r="A6" s="179" t="str">
        <f>IF(Master!A6="","",Master!A6)</f>
        <v>Lower Basin</v>
      </c>
      <c r="B6" s="181" t="s">
        <v>340</v>
      </c>
      <c r="C6" s="208" t="s">
        <v>341</v>
      </c>
      <c r="D6" s="203"/>
      <c r="E6" s="203"/>
      <c r="F6" s="203"/>
      <c r="G6" s="203"/>
      <c r="N6" s="159"/>
    </row>
    <row r="7" spans="1:14" x14ac:dyDescent="0.25">
      <c r="A7" s="179" t="str">
        <f>IF(Master!A7="","",Master!A7)</f>
        <v>Mexico</v>
      </c>
      <c r="B7" s="181" t="s">
        <v>340</v>
      </c>
      <c r="C7" s="208" t="s">
        <v>341</v>
      </c>
      <c r="D7" s="203"/>
      <c r="E7" s="203"/>
      <c r="F7" s="203"/>
      <c r="G7" s="203"/>
      <c r="N7" s="159"/>
    </row>
    <row r="8" spans="1:14" x14ac:dyDescent="0.25">
      <c r="A8" s="179" t="str">
        <f>IF(Master!A8="","",Master!A8)</f>
        <v>Colorado River Delta</v>
      </c>
      <c r="B8" s="181" t="s">
        <v>340</v>
      </c>
      <c r="C8" s="208" t="s">
        <v>341</v>
      </c>
      <c r="D8" s="203"/>
      <c r="E8" s="203"/>
      <c r="F8" s="203"/>
      <c r="G8" s="203"/>
      <c r="N8" s="159"/>
    </row>
    <row r="9" spans="1:14" x14ac:dyDescent="0.25">
      <c r="A9" s="179" t="str">
        <f>IF(Master!A9="","",Master!A9)</f>
        <v>First Nations</v>
      </c>
      <c r="B9" s="181" t="str">
        <f>IF($A9&lt;&gt;"",B8,"")</f>
        <v>Law</v>
      </c>
      <c r="C9" s="217" t="s">
        <v>349</v>
      </c>
      <c r="D9" s="218"/>
      <c r="E9" s="218"/>
      <c r="F9" s="218"/>
      <c r="G9" s="219"/>
      <c r="N9" s="159"/>
    </row>
    <row r="10" spans="1:14" x14ac:dyDescent="0.25">
      <c r="A10" s="182" t="s">
        <v>97</v>
      </c>
      <c r="B10" s="182"/>
      <c r="C10" s="210" t="s">
        <v>342</v>
      </c>
      <c r="D10" s="210"/>
      <c r="E10" s="210"/>
      <c r="F10" s="210"/>
      <c r="G10" s="210"/>
      <c r="N10" s="159"/>
    </row>
    <row r="11" spans="1:14" x14ac:dyDescent="0.25">
      <c r="A11" s="14"/>
      <c r="B11" s="2"/>
      <c r="C11"/>
      <c r="N11" s="159"/>
    </row>
    <row r="12" spans="1:14" x14ac:dyDescent="0.25">
      <c r="A12" s="16" t="s">
        <v>237</v>
      </c>
      <c r="B12" s="211" t="s">
        <v>239</v>
      </c>
      <c r="C12" s="212"/>
      <c r="D12" s="213"/>
      <c r="N12" s="158" t="s">
        <v>268</v>
      </c>
    </row>
    <row r="13" spans="1:14" x14ac:dyDescent="0.25">
      <c r="B13" s="214" t="s">
        <v>240</v>
      </c>
      <c r="C13" s="215"/>
      <c r="D13" s="216"/>
      <c r="N13" s="159"/>
    </row>
    <row r="14" spans="1:14" x14ac:dyDescent="0.25">
      <c r="B14" s="195" t="s">
        <v>241</v>
      </c>
      <c r="C14" s="196"/>
      <c r="D14" s="197"/>
      <c r="N14" s="159"/>
    </row>
    <row r="15" spans="1:14" x14ac:dyDescent="0.25">
      <c r="B15" s="198" t="s">
        <v>33</v>
      </c>
      <c r="C15" s="199"/>
      <c r="D15" s="200"/>
      <c r="N15" s="159"/>
    </row>
    <row r="16" spans="1:14" x14ac:dyDescent="0.25">
      <c r="N16" s="159"/>
    </row>
    <row r="17" spans="1:14" x14ac:dyDescent="0.25">
      <c r="A17" s="1" t="s">
        <v>238</v>
      </c>
      <c r="B17" s="1" t="s">
        <v>81</v>
      </c>
      <c r="C17" s="12" t="s">
        <v>82</v>
      </c>
      <c r="N17" s="158" t="s">
        <v>269</v>
      </c>
    </row>
    <row r="18" spans="1:14" x14ac:dyDescent="0.25">
      <c r="A18" t="s">
        <v>80</v>
      </c>
      <c r="B18" s="122">
        <f>Master!B18</f>
        <v>5.73</v>
      </c>
      <c r="C18" s="122">
        <f>Master!C18</f>
        <v>6</v>
      </c>
      <c r="D18" s="17"/>
      <c r="N18" s="158" t="s">
        <v>271</v>
      </c>
    </row>
    <row r="19" spans="1:14" x14ac:dyDescent="0.25">
      <c r="A19" t="s">
        <v>263</v>
      </c>
      <c r="B19" s="122">
        <f>Master!B19</f>
        <v>7.2</v>
      </c>
      <c r="C19" s="122">
        <f>Master!C19</f>
        <v>9</v>
      </c>
      <c r="D19" s="11" t="str">
        <f>Master!D19</f>
        <v>9/1/2021 values</v>
      </c>
      <c r="F19" s="143"/>
      <c r="N19" s="158" t="s">
        <v>270</v>
      </c>
    </row>
    <row r="20" spans="1:14" x14ac:dyDescent="0.25">
      <c r="A20" t="s">
        <v>118</v>
      </c>
      <c r="B20" s="177">
        <v>3525</v>
      </c>
      <c r="C20" s="177">
        <v>1020</v>
      </c>
      <c r="D20" s="11"/>
      <c r="N20" s="158" t="s">
        <v>272</v>
      </c>
    </row>
    <row r="21" spans="1:14" x14ac:dyDescent="0.25">
      <c r="A21" t="s">
        <v>110</v>
      </c>
      <c r="B21" s="122">
        <f>VLOOKUP(B20,'Powell-Elevation-Area'!$A$5:$B$689,2)/1000000</f>
        <v>5.9265762500000001</v>
      </c>
      <c r="C21" s="122">
        <f>VLOOKUP(C20,'Mead-Elevation-Area'!$A$5:$B$689,2)/1000000</f>
        <v>5.664593</v>
      </c>
      <c r="D21" s="11"/>
      <c r="E21" s="30"/>
      <c r="N21" s="158" t="s">
        <v>274</v>
      </c>
    </row>
    <row r="22" spans="1:14" x14ac:dyDescent="0.25">
      <c r="A22" t="s">
        <v>253</v>
      </c>
      <c r="B22" s="122">
        <f>Master!B22</f>
        <v>78.099999999999994</v>
      </c>
      <c r="C22"/>
      <c r="D22" s="123"/>
      <c r="E22" s="30"/>
      <c r="N22" s="158" t="s">
        <v>273</v>
      </c>
    </row>
    <row r="23" spans="1:14" x14ac:dyDescent="0.25">
      <c r="A23" t="s">
        <v>254</v>
      </c>
      <c r="B23" s="144">
        <f>Master!B23</f>
        <v>0.17</v>
      </c>
      <c r="C23"/>
      <c r="D23" s="123"/>
      <c r="E23" s="30"/>
      <c r="N23" s="158" t="s">
        <v>275</v>
      </c>
    </row>
    <row r="24" spans="1:14" x14ac:dyDescent="0.25">
      <c r="A24" t="s">
        <v>252</v>
      </c>
      <c r="B24" s="122">
        <f>Master!B24</f>
        <v>4.2300000000000058</v>
      </c>
      <c r="C24"/>
      <c r="D24" s="123"/>
      <c r="E24" s="30"/>
      <c r="N24" s="158" t="s">
        <v>276</v>
      </c>
    </row>
    <row r="25" spans="1:14" x14ac:dyDescent="0.25">
      <c r="A25" t="s">
        <v>315</v>
      </c>
      <c r="B25" s="122">
        <f>Master!B25</f>
        <v>1.94</v>
      </c>
      <c r="C25"/>
      <c r="D25" s="123"/>
      <c r="E25" s="30"/>
      <c r="N25" s="178" t="s">
        <v>322</v>
      </c>
    </row>
    <row r="26" spans="1:14" x14ac:dyDescent="0.25">
      <c r="B26" s="30"/>
      <c r="N26" s="159"/>
    </row>
    <row r="27" spans="1:14" s="1" customFormat="1" x14ac:dyDescent="0.2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25">
      <c r="A28" s="138" t="s">
        <v>224</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5" t="s">
        <v>277</v>
      </c>
    </row>
    <row r="29" spans="1:14" x14ac:dyDescent="0.2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8" t="s">
        <v>278</v>
      </c>
    </row>
    <row r="30" spans="1:14" x14ac:dyDescent="0.25">
      <c r="A30" s="1" t="s">
        <v>203</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8" t="s">
        <v>279</v>
      </c>
    </row>
    <row r="31" spans="1:14" x14ac:dyDescent="0.2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8" t="s">
        <v>280</v>
      </c>
    </row>
    <row r="32" spans="1:14" x14ac:dyDescent="0.25">
      <c r="A32" s="138" t="s">
        <v>225</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281</v>
      </c>
    </row>
    <row r="33" spans="1:14" x14ac:dyDescent="0.25">
      <c r="A33" t="str">
        <f t="shared" ref="A33:A38" si="4">IF(A5="","","    "&amp;A5&amp;" Balance")</f>
        <v xml:space="preserve">    Upper Basin Balance</v>
      </c>
      <c r="B33" s="89">
        <f>B19-B21</f>
        <v>1.2734237500000001</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59"/>
    </row>
    <row r="34" spans="1:14" x14ac:dyDescent="0.25">
      <c r="A34" t="str">
        <f t="shared" si="4"/>
        <v xml:space="preserve">    Lower Basin Balance</v>
      </c>
      <c r="B34" s="89">
        <f>C19-C21-B35</f>
        <v>3.1614070000000001</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59"/>
    </row>
    <row r="35" spans="1:14" x14ac:dyDescent="0.2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59"/>
    </row>
    <row r="36" spans="1:14" x14ac:dyDescent="0.2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59"/>
    </row>
    <row r="37" spans="1:14" x14ac:dyDescent="0.25">
      <c r="A37" t="str">
        <f t="shared" si="4"/>
        <v xml:space="preserve">    First Nations Balance</v>
      </c>
      <c r="B37" s="89">
        <f>IF(A37&lt;&gt;"",0,"")</f>
        <v>0</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59"/>
    </row>
    <row r="38" spans="1:14" x14ac:dyDescent="0.2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59"/>
    </row>
    <row r="39" spans="1:14" x14ac:dyDescent="0.25">
      <c r="A39" s="1" t="s">
        <v>235</v>
      </c>
      <c r="C39"/>
      <c r="N39" s="158" t="s">
        <v>301</v>
      </c>
    </row>
    <row r="40" spans="1:14" x14ac:dyDescent="0.2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59"/>
    </row>
    <row r="41" spans="1:14" x14ac:dyDescent="0.2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59"/>
    </row>
    <row r="42" spans="1:14" x14ac:dyDescent="0.25">
      <c r="A42" s="1" t="s">
        <v>226</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282</v>
      </c>
    </row>
    <row r="43" spans="1:14" x14ac:dyDescent="0.2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59"/>
    </row>
    <row r="44" spans="1:14" x14ac:dyDescent="0.2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59"/>
    </row>
    <row r="45" spans="1:14" x14ac:dyDescent="0.2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59"/>
    </row>
    <row r="46" spans="1:14" x14ac:dyDescent="0.2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59"/>
    </row>
    <row r="47" spans="1:14" x14ac:dyDescent="0.25">
      <c r="A47" t="str">
        <f t="shared" si="9"/>
        <v xml:space="preserve">    First Nations Share</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59"/>
    </row>
    <row r="48" spans="1:14" x14ac:dyDescent="0.2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59"/>
    </row>
    <row r="49" spans="1:16" x14ac:dyDescent="0.25">
      <c r="A49" s="1" t="s">
        <v>227</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8" t="s">
        <v>283</v>
      </c>
    </row>
    <row r="50" spans="1:16" x14ac:dyDescent="0.25">
      <c r="A50" s="138" t="s">
        <v>255</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6" t="s">
        <v>284</v>
      </c>
      <c r="P50" t="s">
        <v>305</v>
      </c>
    </row>
    <row r="51" spans="1:16" x14ac:dyDescent="0.25">
      <c r="A51" t="str">
        <f t="shared" ref="A51:A56" si="12">IF(A5="","","    To "&amp;A5)</f>
        <v xml:space="preserve">    To Upper Basin</v>
      </c>
      <c r="B51" s="105" t="s">
        <v>316</v>
      </c>
      <c r="C51" s="87" t="str">
        <f>IF(OR(C$28="",$A52=""),"",MAX(0,MAX(0,C50-SUM(C52:C57))))</f>
        <v/>
      </c>
      <c r="D51" s="87" t="str">
        <f t="shared" ref="D51:L51" si="13">IF(OR(D$28="",$A52=""),"",MAX(0,MAX(0,D50-SUM(D52:D57))))</f>
        <v/>
      </c>
      <c r="E51" s="87" t="str">
        <f t="shared" si="13"/>
        <v/>
      </c>
      <c r="F51" s="87" t="str">
        <f t="shared" si="13"/>
        <v/>
      </c>
      <c r="G51" s="87" t="str">
        <f t="shared" si="13"/>
        <v/>
      </c>
      <c r="H51" s="87" t="str">
        <f t="shared" si="13"/>
        <v/>
      </c>
      <c r="I51" s="87" t="str">
        <f t="shared" si="13"/>
        <v/>
      </c>
      <c r="J51" s="87" t="str">
        <f t="shared" si="13"/>
        <v/>
      </c>
      <c r="K51" s="87" t="str">
        <f t="shared" si="13"/>
        <v/>
      </c>
      <c r="L51" s="87" t="str">
        <f t="shared" si="13"/>
        <v/>
      </c>
      <c r="M51" s="19"/>
      <c r="N51" s="160"/>
      <c r="P51" s="87" t="str">
        <f>IF(OR(P$28="",$A51=""),"",MAX(P28-($B$24)-P56*$B$21/SUM($B$21:$C$21),0))</f>
        <v/>
      </c>
    </row>
    <row r="52" spans="1:16" x14ac:dyDescent="0.25">
      <c r="A52" t="str">
        <f t="shared" si="12"/>
        <v xml:space="preserve">    To Lower Basin</v>
      </c>
      <c r="B52" s="106">
        <f>7.5-IF($A$9="",0,0.95)-IF(C57="",0.6,C57)*IF($A$9="",(7.2/8.7),(7.2-0.95)/8.7)</f>
        <v>6.1189655172413788</v>
      </c>
      <c r="C52" s="87" t="str">
        <f>IF(OR(C$28="",$A52=""),"",MAX(0,MIN($B$52,C28-SUM(C53/2,C54/4,C55,C56/2,C57)-MAX(0,MIN($B$25,C28-SUM(C56/2,C54/4,C53/2,1.06))))))</f>
        <v/>
      </c>
      <c r="D52" s="87" t="str">
        <f t="shared" ref="D52:L52" si="14">IF(OR(D$28="",$A52=""),"",MAX(0,MIN($B$52,D28-SUM(D53/2,D54/4,D55,D56/2,D57)-MAX(0,MIN($B$25,D28-SUM(D56/2,D54/4,D53/2,1.06))))))</f>
        <v/>
      </c>
      <c r="E52" s="87" t="str">
        <f t="shared" si="14"/>
        <v/>
      </c>
      <c r="F52" s="87" t="str">
        <f t="shared" si="14"/>
        <v/>
      </c>
      <c r="G52" s="87" t="str">
        <f t="shared" si="14"/>
        <v/>
      </c>
      <c r="H52" s="87" t="str">
        <f t="shared" si="14"/>
        <v/>
      </c>
      <c r="I52" s="87" t="str">
        <f t="shared" si="14"/>
        <v/>
      </c>
      <c r="J52" s="87" t="str">
        <f t="shared" si="14"/>
        <v/>
      </c>
      <c r="K52" s="87" t="str">
        <f t="shared" si="14"/>
        <v/>
      </c>
      <c r="L52" s="87" t="str">
        <f t="shared" si="14"/>
        <v/>
      </c>
      <c r="M52" s="19"/>
      <c r="N52" s="160"/>
      <c r="P52" s="87" t="str">
        <f>IF(OR(P$28="",$A52=""),"",P29+P30-P31-P56*$C$21/SUM($B$21:$C$21)-P53+MIN($B$24,P28))</f>
        <v/>
      </c>
    </row>
    <row r="53" spans="1:16" x14ac:dyDescent="0.25">
      <c r="A53" t="str">
        <f t="shared" si="12"/>
        <v xml:space="preserve">    To Mexico</v>
      </c>
      <c r="B53" s="106" t="s">
        <v>206</v>
      </c>
      <c r="C53" s="88" t="str">
        <f>IF(OR(C$28="",$A53=""),"",MIN(C49-C54/2,C$50-SUM(C54:C57))-C57*(1.5/8.7))</f>
        <v/>
      </c>
      <c r="D53" s="88" t="str">
        <f t="shared" ref="D53:L53" si="15">IF(OR(D$28="",$A53=""),"",MIN(D49-D54/2,D$50-SUM(D54:D57))-D57*(1.5/8.7))</f>
        <v/>
      </c>
      <c r="E53" s="88" t="str">
        <f t="shared" si="15"/>
        <v/>
      </c>
      <c r="F53" s="88" t="str">
        <f t="shared" si="15"/>
        <v/>
      </c>
      <c r="G53" s="88" t="str">
        <f t="shared" si="15"/>
        <v/>
      </c>
      <c r="H53" s="88" t="str">
        <f t="shared" si="15"/>
        <v/>
      </c>
      <c r="I53" s="88" t="str">
        <f t="shared" si="15"/>
        <v/>
      </c>
      <c r="J53" s="88" t="str">
        <f t="shared" si="15"/>
        <v/>
      </c>
      <c r="K53" s="88" t="str">
        <f t="shared" si="15"/>
        <v/>
      </c>
      <c r="L53" s="88" t="str">
        <f t="shared" si="15"/>
        <v/>
      </c>
      <c r="M53" s="19"/>
      <c r="N53" s="160"/>
    </row>
    <row r="54" spans="1:16" x14ac:dyDescent="0.25">
      <c r="A54" t="str">
        <f t="shared" si="12"/>
        <v xml:space="preserve">    To Colorado River Delta</v>
      </c>
      <c r="B54" s="115">
        <f>0.21/9*(2/3)</f>
        <v>1.5555555555555553E-2</v>
      </c>
      <c r="C54" s="116" t="str">
        <f>IF(OR(C$28="",$A54=""),"",MIN($B54,C$50-SUM(C55:C56)))</f>
        <v/>
      </c>
      <c r="D54" s="116" t="str">
        <f t="shared" ref="D54:L54" si="16">IF(OR(D$28="",$A54=""),"",MIN($B54,D$50-SUM(D55:D56)))</f>
        <v/>
      </c>
      <c r="E54" s="116" t="str">
        <f t="shared" si="16"/>
        <v/>
      </c>
      <c r="F54" s="116" t="str">
        <f t="shared" si="16"/>
        <v/>
      </c>
      <c r="G54" s="116" t="str">
        <f t="shared" si="16"/>
        <v/>
      </c>
      <c r="H54" s="116" t="str">
        <f t="shared" si="16"/>
        <v/>
      </c>
      <c r="I54" s="116" t="str">
        <f t="shared" si="16"/>
        <v/>
      </c>
      <c r="J54" s="116" t="str">
        <f t="shared" si="16"/>
        <v/>
      </c>
      <c r="K54" s="116" t="str">
        <f t="shared" si="16"/>
        <v/>
      </c>
      <c r="L54" s="116" t="str">
        <f t="shared" si="16"/>
        <v/>
      </c>
      <c r="M54" s="19"/>
      <c r="N54" s="160"/>
    </row>
    <row r="55" spans="1:16" x14ac:dyDescent="0.25">
      <c r="A55" t="str">
        <f t="shared" si="12"/>
        <v xml:space="preserve">    To First Nations</v>
      </c>
      <c r="B55" s="106">
        <f>IF($A$9&lt;&gt;"",2.01,"")</f>
        <v>2.0099999999999998</v>
      </c>
      <c r="C55" s="87" t="str">
        <f>IF(OR(C$28="",$A55=""),"",MIN($B55,C$50-SUM(C56:C57))-C57*0.95/8.7)</f>
        <v/>
      </c>
      <c r="D55" s="87" t="str">
        <f t="shared" ref="D55:L55" si="17">IF(OR(D$28="",$A55=""),"",MIN($B55,D$50-SUM(D56:D57))-D57*0.95/8.7)</f>
        <v/>
      </c>
      <c r="E55" s="87" t="str">
        <f t="shared" si="17"/>
        <v/>
      </c>
      <c r="F55" s="87" t="str">
        <f t="shared" si="17"/>
        <v/>
      </c>
      <c r="G55" s="87" t="str">
        <f t="shared" si="17"/>
        <v/>
      </c>
      <c r="H55" s="87" t="str">
        <f t="shared" si="17"/>
        <v/>
      </c>
      <c r="I55" s="87" t="str">
        <f t="shared" si="17"/>
        <v/>
      </c>
      <c r="J55" s="87" t="str">
        <f t="shared" si="17"/>
        <v/>
      </c>
      <c r="K55" s="87" t="str">
        <f t="shared" si="17"/>
        <v/>
      </c>
      <c r="L55" s="87" t="str">
        <f t="shared" si="17"/>
        <v/>
      </c>
      <c r="M55" s="19"/>
      <c r="N55" s="160"/>
    </row>
    <row r="56" spans="1:16" x14ac:dyDescent="0.25">
      <c r="A56" t="str">
        <f t="shared" si="12"/>
        <v xml:space="preserve">    To Shared, Reserve</v>
      </c>
      <c r="B56" s="106" t="s">
        <v>214</v>
      </c>
      <c r="C56" s="170" t="str">
        <f>IF(OR(C$28="",$A56=""),"",IF(C$50&gt;C48,C48,C50))</f>
        <v/>
      </c>
      <c r="D56" s="170" t="str">
        <f t="shared" ref="D56:L56" si="18">IF(OR(D$28="",$A56=""),"",IF(D$50&gt;D48,D48,D50))</f>
        <v/>
      </c>
      <c r="E56" s="170" t="str">
        <f t="shared" si="18"/>
        <v/>
      </c>
      <c r="F56" s="170" t="str">
        <f t="shared" si="18"/>
        <v/>
      </c>
      <c r="G56" s="170" t="str">
        <f t="shared" si="18"/>
        <v/>
      </c>
      <c r="H56" s="170" t="str">
        <f t="shared" si="18"/>
        <v/>
      </c>
      <c r="I56" s="170" t="str">
        <f t="shared" si="18"/>
        <v/>
      </c>
      <c r="J56" s="170" t="str">
        <f t="shared" si="18"/>
        <v/>
      </c>
      <c r="K56" s="170" t="str">
        <f t="shared" si="18"/>
        <v/>
      </c>
      <c r="L56" s="170" t="str">
        <f t="shared" si="18"/>
        <v/>
      </c>
      <c r="M56" s="19"/>
      <c r="N56" s="160"/>
    </row>
    <row r="57" spans="1:16" x14ac:dyDescent="0.25">
      <c r="A57" t="str">
        <f>IF(A31="","","    To "&amp;A31)</f>
        <v xml:space="preserve">    To Havasu / Parker evaporation and ET</v>
      </c>
      <c r="B57" s="169" t="s">
        <v>317</v>
      </c>
      <c r="C57" s="171" t="str">
        <f>IF(OR(C$28="",$A57=""),"",MIN(C31,C50-C56))</f>
        <v/>
      </c>
      <c r="D57" s="171" t="str">
        <f t="shared" ref="D57:L57" si="19">IF(OR(D$28="",$A57=""),"",MIN(D31,D50-D56))</f>
        <v/>
      </c>
      <c r="E57" s="171" t="str">
        <f t="shared" si="19"/>
        <v/>
      </c>
      <c r="F57" s="171" t="str">
        <f t="shared" si="19"/>
        <v/>
      </c>
      <c r="G57" s="171" t="str">
        <f t="shared" si="19"/>
        <v/>
      </c>
      <c r="H57" s="171" t="str">
        <f t="shared" si="19"/>
        <v/>
      </c>
      <c r="I57" s="171" t="str">
        <f t="shared" si="19"/>
        <v/>
      </c>
      <c r="J57" s="171" t="str">
        <f t="shared" si="19"/>
        <v/>
      </c>
      <c r="K57" s="171" t="str">
        <f t="shared" si="19"/>
        <v/>
      </c>
      <c r="L57" s="171" t="str">
        <f t="shared" si="19"/>
        <v/>
      </c>
      <c r="M57" s="19"/>
      <c r="N57" s="160"/>
    </row>
    <row r="58" spans="1:16" x14ac:dyDescent="0.25">
      <c r="B58" s="20"/>
      <c r="C58" s="19"/>
      <c r="D58" s="19"/>
      <c r="E58" s="19"/>
      <c r="F58" s="129"/>
      <c r="G58" s="30"/>
      <c r="N58" s="159"/>
    </row>
    <row r="59" spans="1:16" x14ac:dyDescent="0.25">
      <c r="A59" s="112" t="s">
        <v>256</v>
      </c>
      <c r="B59" s="109"/>
      <c r="C59" s="109"/>
      <c r="D59" s="109"/>
      <c r="E59" s="109"/>
      <c r="F59" s="109"/>
      <c r="G59" s="109"/>
      <c r="H59" s="109"/>
      <c r="I59" s="109"/>
      <c r="J59" s="109"/>
      <c r="K59" s="109"/>
      <c r="L59" s="109"/>
      <c r="M59" s="109"/>
      <c r="N59" s="154" t="str">
        <f>N3</f>
        <v>HELP, CONTEXT, and SUGGESTIONS</v>
      </c>
    </row>
    <row r="60" spans="1:16" x14ac:dyDescent="0.25">
      <c r="A60" s="132" t="str">
        <f>IF(A$5="[Unused]","",A5)</f>
        <v>Upper Basin</v>
      </c>
      <c r="B60" s="110"/>
      <c r="C60" s="110"/>
      <c r="D60" s="110"/>
      <c r="E60" s="110"/>
      <c r="F60" s="110"/>
      <c r="G60" s="110"/>
      <c r="H60" s="110"/>
      <c r="I60" s="110"/>
      <c r="J60" s="110"/>
      <c r="K60" s="110"/>
      <c r="L60" s="110"/>
      <c r="M60" s="111" t="s">
        <v>79</v>
      </c>
      <c r="N60" s="155" t="s">
        <v>285</v>
      </c>
    </row>
    <row r="61" spans="1:16" x14ac:dyDescent="0.2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286</v>
      </c>
    </row>
    <row r="62" spans="1:16" x14ac:dyDescent="0.2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287</v>
      </c>
    </row>
    <row r="63" spans="1:16" x14ac:dyDescent="0.25">
      <c r="A63" s="21" t="str">
        <f>IF(A62="","","   Net trade volume all players (should be zero)")</f>
        <v xml:space="preserve">   Net trade volume all players (should be zero)</v>
      </c>
      <c r="C63" s="48" t="str">
        <f t="shared" ref="C63:M63" si="20">IF(OR(C$28="",$A63=""),"",C$116)</f>
        <v/>
      </c>
      <c r="D63" s="48" t="str">
        <f t="shared" si="20"/>
        <v/>
      </c>
      <c r="E63" s="48" t="str">
        <f t="shared" si="20"/>
        <v/>
      </c>
      <c r="F63" s="48" t="str">
        <f t="shared" si="20"/>
        <v/>
      </c>
      <c r="G63" s="48" t="str">
        <f t="shared" si="20"/>
        <v/>
      </c>
      <c r="H63" s="48" t="str">
        <f t="shared" si="20"/>
        <v/>
      </c>
      <c r="I63" s="48" t="str">
        <f t="shared" si="20"/>
        <v/>
      </c>
      <c r="J63" s="48" t="str">
        <f t="shared" si="20"/>
        <v/>
      </c>
      <c r="K63" s="48" t="str">
        <f t="shared" si="20"/>
        <v/>
      </c>
      <c r="L63" s="48" t="str">
        <f t="shared" si="20"/>
        <v/>
      </c>
      <c r="M63" t="str">
        <f t="shared" si="20"/>
        <v/>
      </c>
      <c r="N63" s="158" t="s">
        <v>288</v>
      </c>
    </row>
    <row r="64" spans="1:16" x14ac:dyDescent="0.25">
      <c r="A64" s="1" t="str">
        <f>IF(A62="","","   Available Water [maf]")</f>
        <v xml:space="preserve">   Available Water [maf]</v>
      </c>
      <c r="C64" s="130" t="str">
        <f>IF(OR(C$28="",$A64=""),"",C33+C51-C43+C61)</f>
        <v/>
      </c>
      <c r="D64" s="13" t="str">
        <f t="shared" ref="D64:L64" si="21">IF(OR(D$28="",$A64=""),"",D33+D51-D43+D61)</f>
        <v/>
      </c>
      <c r="E64" s="13" t="str">
        <f t="shared" si="21"/>
        <v/>
      </c>
      <c r="F64" s="13" t="str">
        <f t="shared" si="21"/>
        <v/>
      </c>
      <c r="G64" s="13" t="str">
        <f t="shared" si="21"/>
        <v/>
      </c>
      <c r="H64" s="13" t="str">
        <f t="shared" si="21"/>
        <v/>
      </c>
      <c r="I64" s="13" t="str">
        <f t="shared" si="21"/>
        <v/>
      </c>
      <c r="J64" s="13" t="str">
        <f t="shared" si="21"/>
        <v/>
      </c>
      <c r="K64" s="13" t="str">
        <f t="shared" si="21"/>
        <v/>
      </c>
      <c r="L64" s="13" t="str">
        <f t="shared" si="21"/>
        <v/>
      </c>
      <c r="N64" s="158" t="s">
        <v>289</v>
      </c>
    </row>
    <row r="65" spans="1:14" x14ac:dyDescent="0.25">
      <c r="A65" s="138" t="str">
        <f>IF(A64="","","   Enter withdraw [maf] within available water")</f>
        <v xml:space="preserve">   Enter withdraw [maf] within available water</v>
      </c>
      <c r="C65" s="183" t="str">
        <f>IF(C$28&lt;&gt;"",IF(C64&gt;4.2,4.2,MAX(C64,0)-0.01),"")</f>
        <v/>
      </c>
      <c r="D65" s="183" t="str">
        <f t="shared" ref="D65:G65" si="22">IF(D$28&lt;&gt;"",IF(D64&gt;4.2,4.2,MAX(D64,0)-0.01),"")</f>
        <v/>
      </c>
      <c r="E65" s="183" t="str">
        <f t="shared" si="22"/>
        <v/>
      </c>
      <c r="F65" s="183" t="str">
        <f t="shared" si="22"/>
        <v/>
      </c>
      <c r="G65" s="183" t="str">
        <f t="shared" si="22"/>
        <v/>
      </c>
      <c r="H65" s="104">
        <f t="shared" ref="H65:L65" si="23">IF(H$27&lt;&gt;"",IF(H64&gt;4.2,4.2,MAX(H64,0)),"")</f>
        <v>4.2</v>
      </c>
      <c r="I65" s="104">
        <f t="shared" si="23"/>
        <v>4.2</v>
      </c>
      <c r="J65" s="104">
        <f t="shared" si="23"/>
        <v>4.2</v>
      </c>
      <c r="K65" s="104">
        <f t="shared" si="23"/>
        <v>4.2</v>
      </c>
      <c r="L65" s="104">
        <f t="shared" si="23"/>
        <v>4.2</v>
      </c>
      <c r="N65" s="158" t="s">
        <v>302</v>
      </c>
    </row>
    <row r="66" spans="1:14" x14ac:dyDescent="0.25">
      <c r="A66" s="21" t="str">
        <f>IF(A65="","","   End of Year Balance [maf]")</f>
        <v xml:space="preserve">   End of Year Balance [maf]</v>
      </c>
      <c r="C66" s="47" t="str">
        <f>IF(OR(C$28="",$A66=""),"",C64-C65)</f>
        <v/>
      </c>
      <c r="D66" s="47" t="str">
        <f t="shared" ref="D66:L66" si="24">IF(OR(D$28="",$A66=""),"",D64-D65)</f>
        <v/>
      </c>
      <c r="E66" s="47" t="str">
        <f t="shared" si="24"/>
        <v/>
      </c>
      <c r="F66" s="47" t="str">
        <f t="shared" si="24"/>
        <v/>
      </c>
      <c r="G66" s="47" t="str">
        <f t="shared" si="24"/>
        <v/>
      </c>
      <c r="H66" s="47" t="str">
        <f t="shared" si="24"/>
        <v/>
      </c>
      <c r="I66" s="47" t="str">
        <f t="shared" si="24"/>
        <v/>
      </c>
      <c r="J66" s="47" t="str">
        <f t="shared" si="24"/>
        <v/>
      </c>
      <c r="K66" s="47" t="str">
        <f t="shared" si="24"/>
        <v/>
      </c>
      <c r="L66" s="47" t="str">
        <f t="shared" si="24"/>
        <v/>
      </c>
      <c r="N66" s="158" t="s">
        <v>290</v>
      </c>
    </row>
    <row r="67" spans="1:14" x14ac:dyDescent="0.25">
      <c r="C67"/>
      <c r="N67" s="159"/>
    </row>
    <row r="68" spans="1:14" x14ac:dyDescent="0.25">
      <c r="A68" s="132" t="str">
        <f>IF(A$6="","[Unused]",A6)</f>
        <v>Lower Basin</v>
      </c>
      <c r="B68" s="110"/>
      <c r="C68" s="110"/>
      <c r="D68" s="110"/>
      <c r="E68" s="110"/>
      <c r="F68" s="110"/>
      <c r="G68" s="110"/>
      <c r="H68" s="110"/>
      <c r="I68" s="110"/>
      <c r="J68" s="110"/>
      <c r="K68" s="110"/>
      <c r="L68" s="110"/>
      <c r="M68" s="111" t="s">
        <v>79</v>
      </c>
      <c r="N68" s="155" t="s">
        <v>285</v>
      </c>
    </row>
    <row r="69" spans="1:14" x14ac:dyDescent="0.25">
      <c r="A69" s="139" t="str">
        <f>IF(A68="[Unused]","",$A$61)</f>
        <v xml:space="preserve">   Enter volume to Buy(+) or Sell(-) [maf]</v>
      </c>
      <c r="C69" s="102"/>
      <c r="D69" s="102"/>
      <c r="E69" s="102"/>
      <c r="F69" s="102"/>
      <c r="G69" s="102"/>
      <c r="H69" s="102"/>
      <c r="I69" s="102"/>
      <c r="J69" s="102"/>
      <c r="K69" s="102"/>
      <c r="L69" s="102"/>
      <c r="M69" s="48">
        <f>SUM(C69:L69)</f>
        <v>0</v>
      </c>
      <c r="N69" s="161" t="s">
        <v>286</v>
      </c>
    </row>
    <row r="70" spans="1:14" x14ac:dyDescent="0.25">
      <c r="A70" s="139" t="str">
        <f>IF(A69="","",$A$62)</f>
        <v xml:space="preserve">   Enter compensation to Buy(-) or Sell(+) [$ Mill]</v>
      </c>
      <c r="C70" s="103"/>
      <c r="D70" s="103"/>
      <c r="E70" s="103"/>
      <c r="F70" s="103"/>
      <c r="G70" s="103"/>
      <c r="H70" s="103"/>
      <c r="I70" s="103"/>
      <c r="J70" s="103"/>
      <c r="K70" s="103"/>
      <c r="L70" s="103"/>
      <c r="M70" s="46">
        <f>SUM(C70:L70)</f>
        <v>0</v>
      </c>
      <c r="N70" s="162" t="s">
        <v>287</v>
      </c>
    </row>
    <row r="71" spans="1:14" x14ac:dyDescent="0.25">
      <c r="A71" s="145" t="str">
        <f>IF(A70="","",$A$63)</f>
        <v xml:space="preserve">   Net trade volume all players (should be zero)</v>
      </c>
      <c r="C71" s="48" t="str">
        <f t="shared" ref="C71:M71" si="25">IF(OR(C$28="",$A71=""),"",C$116)</f>
        <v/>
      </c>
      <c r="D71" s="48" t="str">
        <f t="shared" si="25"/>
        <v/>
      </c>
      <c r="E71" s="48" t="str">
        <f t="shared" si="25"/>
        <v/>
      </c>
      <c r="F71" s="48" t="str">
        <f t="shared" si="25"/>
        <v/>
      </c>
      <c r="G71" s="48" t="str">
        <f t="shared" si="25"/>
        <v/>
      </c>
      <c r="H71" s="48" t="str">
        <f t="shared" si="25"/>
        <v/>
      </c>
      <c r="I71" s="48" t="str">
        <f t="shared" si="25"/>
        <v/>
      </c>
      <c r="J71" s="48" t="str">
        <f t="shared" si="25"/>
        <v/>
      </c>
      <c r="K71" s="48" t="str">
        <f t="shared" si="25"/>
        <v/>
      </c>
      <c r="L71" s="48" t="str">
        <f t="shared" si="25"/>
        <v/>
      </c>
      <c r="M71" t="str">
        <f t="shared" si="25"/>
        <v/>
      </c>
      <c r="N71" s="158" t="s">
        <v>288</v>
      </c>
    </row>
    <row r="72" spans="1:14" x14ac:dyDescent="0.25">
      <c r="A72" s="1" t="str">
        <f>IF(A70="","","   Available Water [maf]")</f>
        <v xml:space="preserve">   Available Water [maf]</v>
      </c>
      <c r="C72" s="13" t="str">
        <f>IF(OR(C$28="",$A72=""),"",C34+C52-C44+C69)</f>
        <v/>
      </c>
      <c r="D72" s="13" t="str">
        <f t="shared" ref="D72:L72" si="26">IF(OR(D$28="",$A72=""),"",D34+D52-D44+D69)</f>
        <v/>
      </c>
      <c r="E72" s="13" t="str">
        <f t="shared" si="26"/>
        <v/>
      </c>
      <c r="F72" s="13" t="str">
        <f t="shared" si="26"/>
        <v/>
      </c>
      <c r="G72" s="13" t="str">
        <f t="shared" si="26"/>
        <v/>
      </c>
      <c r="H72" s="13" t="str">
        <f t="shared" si="26"/>
        <v/>
      </c>
      <c r="I72" s="13" t="str">
        <f t="shared" si="26"/>
        <v/>
      </c>
      <c r="J72" s="13" t="str">
        <f t="shared" si="26"/>
        <v/>
      </c>
      <c r="K72" s="13" t="str">
        <f t="shared" si="26"/>
        <v/>
      </c>
      <c r="L72" s="13" t="str">
        <f t="shared" si="26"/>
        <v/>
      </c>
      <c r="N72" s="158" t="s">
        <v>289</v>
      </c>
    </row>
    <row r="73" spans="1:14" x14ac:dyDescent="0.25">
      <c r="A73" s="138" t="str">
        <f>IF(A72="","",$A$65)</f>
        <v xml:space="preserve">   Enter withdraw [maf] within available water</v>
      </c>
      <c r="C73" s="104" t="str">
        <f>IF(C28&lt;&gt;"",MIN(7.5-VLOOKUP(C41,MandatoryConservation!$C$5:$P$13,14),C72)-0.001,"")</f>
        <v/>
      </c>
      <c r="D73" s="104" t="str">
        <f>IF(D28&lt;&gt;"",MIN(7.5-VLOOKUP(D41,MandatoryConservation!$C$5:$P$13,14),D72)-0.001,"")</f>
        <v/>
      </c>
      <c r="E73" s="104" t="str">
        <f>IF(E28&lt;&gt;"",MIN(7.5-VLOOKUP(E41,MandatoryConservation!$C$5:$P$13,14),E72)-0.001,"")</f>
        <v/>
      </c>
      <c r="F73" s="104" t="str">
        <f>IF(F28&lt;&gt;"",MIN(7.5-VLOOKUP(F41,MandatoryConservation!$C$5:$P$13,14),F72)-0.001,"")</f>
        <v/>
      </c>
      <c r="G73" s="104" t="str">
        <f>IF(G28&lt;&gt;"",MIN(7.5-VLOOKUP(G41,MandatoryConservation!$C$5:$P$13,14),G72)-0.001,"")</f>
        <v/>
      </c>
      <c r="H73" s="104"/>
      <c r="I73" s="104"/>
      <c r="J73" s="104"/>
      <c r="K73" s="104"/>
      <c r="L73" s="104"/>
      <c r="N73" s="158" t="s">
        <v>302</v>
      </c>
    </row>
    <row r="74" spans="1:14" x14ac:dyDescent="0.25">
      <c r="A74" s="21" t="str">
        <f>IF(A73="","","   End of Year Balance [maf]")</f>
        <v xml:space="preserve">   End of Year Balance [maf]</v>
      </c>
      <c r="C74" s="47" t="str">
        <f>IF(OR(C$28="",$A74=""),"",C72-C73)</f>
        <v/>
      </c>
      <c r="D74" s="47" t="str">
        <f t="shared" ref="D74:L74" si="27">IF(OR(D$28="",$A74=""),"",D72-D73)</f>
        <v/>
      </c>
      <c r="E74" s="47" t="str">
        <f t="shared" si="27"/>
        <v/>
      </c>
      <c r="F74" s="47" t="str">
        <f t="shared" si="27"/>
        <v/>
      </c>
      <c r="G74" s="47" t="str">
        <f t="shared" si="27"/>
        <v/>
      </c>
      <c r="H74" s="47" t="str">
        <f t="shared" si="27"/>
        <v/>
      </c>
      <c r="I74" s="47" t="str">
        <f t="shared" si="27"/>
        <v/>
      </c>
      <c r="J74" s="47" t="str">
        <f t="shared" si="27"/>
        <v/>
      </c>
      <c r="K74" s="47" t="str">
        <f t="shared" si="27"/>
        <v/>
      </c>
      <c r="L74" s="47" t="str">
        <f t="shared" si="27"/>
        <v/>
      </c>
      <c r="N74" s="158" t="s">
        <v>290</v>
      </c>
    </row>
    <row r="75" spans="1:14" x14ac:dyDescent="0.25">
      <c r="C75"/>
      <c r="N75" s="159"/>
    </row>
    <row r="76" spans="1:14" x14ac:dyDescent="0.25">
      <c r="A76" s="132" t="str">
        <f>IF(A$7="","[Unused]",A7)</f>
        <v>Mexico</v>
      </c>
      <c r="B76" s="110"/>
      <c r="C76" s="110"/>
      <c r="D76" s="110"/>
      <c r="E76" s="110"/>
      <c r="F76" s="110"/>
      <c r="G76" s="110"/>
      <c r="H76" s="110"/>
      <c r="I76" s="110"/>
      <c r="J76" s="110"/>
      <c r="K76" s="110"/>
      <c r="L76" s="110"/>
      <c r="M76" s="111" t="s">
        <v>79</v>
      </c>
      <c r="N76" s="155" t="s">
        <v>285</v>
      </c>
    </row>
    <row r="77" spans="1:14" x14ac:dyDescent="0.25">
      <c r="A77" s="139" t="str">
        <f>IF(A76="[Unused]","",$A$61)</f>
        <v xml:space="preserve">   Enter volume to Buy(+) or Sell(-) [maf]</v>
      </c>
      <c r="C77" s="102"/>
      <c r="D77" s="102"/>
      <c r="E77" s="102"/>
      <c r="F77" s="102"/>
      <c r="G77" s="102"/>
      <c r="H77" s="102"/>
      <c r="I77" s="102"/>
      <c r="J77" s="102"/>
      <c r="K77" s="102"/>
      <c r="L77" s="102"/>
      <c r="M77" s="48">
        <f>SUM(C77:L77)</f>
        <v>0</v>
      </c>
      <c r="N77" s="161" t="s">
        <v>286</v>
      </c>
    </row>
    <row r="78" spans="1:14" x14ac:dyDescent="0.25">
      <c r="A78" s="139" t="str">
        <f>IF(A77="","",$A$62)</f>
        <v xml:space="preserve">   Enter compensation to Buy(-) or Sell(+) [$ Mill]</v>
      </c>
      <c r="C78" s="103"/>
      <c r="D78" s="103"/>
      <c r="E78" s="103"/>
      <c r="F78" s="103"/>
      <c r="G78" s="103"/>
      <c r="H78" s="103"/>
      <c r="I78" s="103"/>
      <c r="J78" s="103"/>
      <c r="K78" s="103"/>
      <c r="L78" s="103"/>
      <c r="M78" s="46">
        <f>SUM(C78:L78)</f>
        <v>0</v>
      </c>
      <c r="N78" s="162" t="s">
        <v>287</v>
      </c>
    </row>
    <row r="79" spans="1:14" x14ac:dyDescent="0.25">
      <c r="A79" s="145" t="str">
        <f>IF(A78="","",$A$63)</f>
        <v xml:space="preserve">   Net trade volume all players (should be zero)</v>
      </c>
      <c r="C79" s="48" t="str">
        <f t="shared" ref="C79:M79" si="28">IF(OR(C$28="",$A79=""),"",C$116)</f>
        <v/>
      </c>
      <c r="D79" s="48" t="str">
        <f t="shared" si="28"/>
        <v/>
      </c>
      <c r="E79" s="48" t="str">
        <f t="shared" si="28"/>
        <v/>
      </c>
      <c r="F79" s="48" t="str">
        <f t="shared" si="28"/>
        <v/>
      </c>
      <c r="G79" s="48" t="str">
        <f t="shared" si="28"/>
        <v/>
      </c>
      <c r="H79" s="48" t="str">
        <f t="shared" si="28"/>
        <v/>
      </c>
      <c r="I79" s="48" t="str">
        <f t="shared" si="28"/>
        <v/>
      </c>
      <c r="J79" s="48" t="str">
        <f t="shared" si="28"/>
        <v/>
      </c>
      <c r="K79" s="48" t="str">
        <f t="shared" si="28"/>
        <v/>
      </c>
      <c r="L79" s="48" t="str">
        <f t="shared" si="28"/>
        <v/>
      </c>
      <c r="M79" t="str">
        <f t="shared" si="28"/>
        <v/>
      </c>
      <c r="N79" s="158" t="s">
        <v>288</v>
      </c>
    </row>
    <row r="80" spans="1:14" x14ac:dyDescent="0.25">
      <c r="A80" s="1" t="str">
        <f>IF(A78="","","   Available Water [maf]")</f>
        <v xml:space="preserve">   Available Water [maf]</v>
      </c>
      <c r="C80" s="13" t="str">
        <f>IF(OR(C$28="",$A80=""),"",C35+C53-C45+C77)</f>
        <v/>
      </c>
      <c r="D80" s="13" t="str">
        <f t="shared" ref="D80:L80" si="29">IF(OR(D$28="",$A80=""),"",D35+D53-D45+D77)</f>
        <v/>
      </c>
      <c r="E80" s="13" t="str">
        <f t="shared" si="29"/>
        <v/>
      </c>
      <c r="F80" s="13" t="str">
        <f t="shared" si="29"/>
        <v/>
      </c>
      <c r="G80" s="13" t="str">
        <f t="shared" si="29"/>
        <v/>
      </c>
      <c r="H80" s="13" t="str">
        <f t="shared" si="29"/>
        <v/>
      </c>
      <c r="I80" s="13" t="str">
        <f t="shared" si="29"/>
        <v/>
      </c>
      <c r="J80" s="13" t="str">
        <f t="shared" si="29"/>
        <v/>
      </c>
      <c r="K80" s="13" t="str">
        <f t="shared" si="29"/>
        <v/>
      </c>
      <c r="L80" s="13" t="str">
        <f t="shared" si="29"/>
        <v/>
      </c>
      <c r="N80" s="158" t="s">
        <v>289</v>
      </c>
    </row>
    <row r="81" spans="1:14" x14ac:dyDescent="0.25">
      <c r="A81" s="138" t="str">
        <f>IF(A80="","",$A$65)</f>
        <v xml:space="preserve">   Enter withdraw [maf] within available water</v>
      </c>
      <c r="C81" s="104" t="str">
        <f>IF(C28&lt;&gt;"",MIN(C49,C80-0.001),"")</f>
        <v/>
      </c>
      <c r="D81" s="104" t="str">
        <f t="shared" ref="D81:G81" si="30">IF(D28&lt;&gt;"",MIN(D49,D80-0.001),"")</f>
        <v/>
      </c>
      <c r="E81" s="104" t="str">
        <f t="shared" si="30"/>
        <v/>
      </c>
      <c r="F81" s="104" t="str">
        <f t="shared" si="30"/>
        <v/>
      </c>
      <c r="G81" s="104" t="str">
        <f t="shared" si="30"/>
        <v/>
      </c>
      <c r="H81" s="104"/>
      <c r="I81" s="104"/>
      <c r="J81" s="104"/>
      <c r="K81" s="104"/>
      <c r="L81" s="104"/>
      <c r="N81" s="158" t="s">
        <v>302</v>
      </c>
    </row>
    <row r="82" spans="1:14" x14ac:dyDescent="0.25">
      <c r="A82" s="21" t="str">
        <f>IF(A81="","","   End of Year Balance [maf]")</f>
        <v xml:space="preserve">   End of Year Balance [maf]</v>
      </c>
      <c r="C82" s="47" t="str">
        <f>IF(OR(C$28="",$A82=""),"",C80-C81)</f>
        <v/>
      </c>
      <c r="D82" s="47" t="str">
        <f t="shared" ref="D82:L82" si="31">IF(OR(D$28="",$A82=""),"",D80-D81)</f>
        <v/>
      </c>
      <c r="E82" s="47" t="str">
        <f t="shared" si="31"/>
        <v/>
      </c>
      <c r="F82" s="47" t="str">
        <f t="shared" si="31"/>
        <v/>
      </c>
      <c r="G82" s="47" t="str">
        <f t="shared" si="31"/>
        <v/>
      </c>
      <c r="H82" s="47" t="str">
        <f t="shared" si="31"/>
        <v/>
      </c>
      <c r="I82" s="47" t="str">
        <f t="shared" si="31"/>
        <v/>
      </c>
      <c r="J82" s="47" t="str">
        <f t="shared" si="31"/>
        <v/>
      </c>
      <c r="K82" s="47" t="str">
        <f t="shared" si="31"/>
        <v/>
      </c>
      <c r="L82" s="47" t="str">
        <f t="shared" si="31"/>
        <v/>
      </c>
      <c r="N82" s="158" t="s">
        <v>290</v>
      </c>
    </row>
    <row r="83" spans="1:14" x14ac:dyDescent="0.25">
      <c r="C83"/>
      <c r="N83" s="159"/>
    </row>
    <row r="84" spans="1:14" x14ac:dyDescent="0.25">
      <c r="A84" s="132" t="str">
        <f>IF(A$8="","[Unused]",A8)</f>
        <v>Colorado River Delta</v>
      </c>
      <c r="B84" s="110"/>
      <c r="C84" s="110"/>
      <c r="D84" s="110"/>
      <c r="E84" s="110"/>
      <c r="F84" s="110"/>
      <c r="G84" s="110"/>
      <c r="H84" s="110"/>
      <c r="I84" s="110"/>
      <c r="J84" s="110"/>
      <c r="K84" s="110"/>
      <c r="L84" s="110"/>
      <c r="M84" s="111" t="s">
        <v>79</v>
      </c>
      <c r="N84" s="155" t="s">
        <v>285</v>
      </c>
    </row>
    <row r="85" spans="1:14" x14ac:dyDescent="0.25">
      <c r="A85" s="139" t="str">
        <f>IF(A84="[Unused]","",$A$61)</f>
        <v xml:space="preserve">   Enter volume to Buy(+) or Sell(-) [maf]</v>
      </c>
      <c r="C85" s="102"/>
      <c r="D85" s="102"/>
      <c r="E85" s="102"/>
      <c r="F85" s="102"/>
      <c r="G85" s="102"/>
      <c r="H85" s="102"/>
      <c r="I85" s="102"/>
      <c r="J85" s="102"/>
      <c r="K85" s="102"/>
      <c r="L85" s="102"/>
      <c r="M85" s="48">
        <f>SUM(C85:L85)</f>
        <v>0</v>
      </c>
      <c r="N85" s="161" t="s">
        <v>286</v>
      </c>
    </row>
    <row r="86" spans="1:14" x14ac:dyDescent="0.25">
      <c r="A86" s="139" t="str">
        <f>IF(A85="","",$A$62)</f>
        <v xml:space="preserve">   Enter compensation to Buy(-) or Sell(+) [$ Mill]</v>
      </c>
      <c r="C86" s="103"/>
      <c r="D86" s="103"/>
      <c r="E86" s="103"/>
      <c r="F86" s="103"/>
      <c r="G86" s="103"/>
      <c r="H86" s="103"/>
      <c r="I86" s="103"/>
      <c r="J86" s="103"/>
      <c r="K86" s="103"/>
      <c r="L86" s="103"/>
      <c r="M86" s="46">
        <f>SUM(C86:L86)</f>
        <v>0</v>
      </c>
      <c r="N86" s="162" t="s">
        <v>287</v>
      </c>
    </row>
    <row r="87" spans="1:14" x14ac:dyDescent="0.25">
      <c r="A87" s="145" t="str">
        <f>IF(A86="","",$A$63)</f>
        <v xml:space="preserve">   Net trade volume all players (should be zero)</v>
      </c>
      <c r="C87" s="48" t="str">
        <f t="shared" ref="C87:M87" si="32">IF(OR(C$28="",$A87=""),"",C$116)</f>
        <v/>
      </c>
      <c r="D87" s="48" t="str">
        <f t="shared" si="32"/>
        <v/>
      </c>
      <c r="E87" s="48" t="str">
        <f t="shared" si="32"/>
        <v/>
      </c>
      <c r="F87" s="48" t="str">
        <f t="shared" si="32"/>
        <v/>
      </c>
      <c r="G87" s="48" t="str">
        <f t="shared" si="32"/>
        <v/>
      </c>
      <c r="H87" s="48" t="str">
        <f t="shared" si="32"/>
        <v/>
      </c>
      <c r="I87" s="48" t="str">
        <f t="shared" si="32"/>
        <v/>
      </c>
      <c r="J87" s="48" t="str">
        <f t="shared" si="32"/>
        <v/>
      </c>
      <c r="K87" s="48" t="str">
        <f t="shared" si="32"/>
        <v/>
      </c>
      <c r="L87" s="48" t="str">
        <f t="shared" si="32"/>
        <v/>
      </c>
      <c r="M87" t="str">
        <f t="shared" si="32"/>
        <v/>
      </c>
      <c r="N87" s="158" t="s">
        <v>288</v>
      </c>
    </row>
    <row r="88" spans="1:14" x14ac:dyDescent="0.25">
      <c r="A88" s="1" t="str">
        <f>IF(A86="","","   Available Water [maf]")</f>
        <v xml:space="preserve">   Available Water [maf]</v>
      </c>
      <c r="C88" s="130" t="str">
        <f>IF(OR(C$28="",$A88=""),"",C36+C54-C46+C85)</f>
        <v/>
      </c>
      <c r="D88" s="130" t="str">
        <f t="shared" ref="D88:L88" si="33">IF(OR(D$28="",$A88=""),"",D36+D54-D46+D85)</f>
        <v/>
      </c>
      <c r="E88" s="130" t="str">
        <f t="shared" si="33"/>
        <v/>
      </c>
      <c r="F88" s="130" t="str">
        <f t="shared" si="33"/>
        <v/>
      </c>
      <c r="G88" s="130" t="str">
        <f t="shared" si="33"/>
        <v/>
      </c>
      <c r="H88" s="130" t="str">
        <f t="shared" si="33"/>
        <v/>
      </c>
      <c r="I88" s="130" t="str">
        <f t="shared" si="33"/>
        <v/>
      </c>
      <c r="J88" s="130" t="str">
        <f t="shared" si="33"/>
        <v/>
      </c>
      <c r="K88" s="130" t="str">
        <f t="shared" si="33"/>
        <v/>
      </c>
      <c r="L88" s="130" t="str">
        <f t="shared" si="33"/>
        <v/>
      </c>
      <c r="N88" s="158" t="s">
        <v>289</v>
      </c>
    </row>
    <row r="89" spans="1:14" x14ac:dyDescent="0.25">
      <c r="A89" s="138" t="str">
        <f>IF(A88="","",$A$65)</f>
        <v xml:space="preserve">   Enter withdraw [maf] within available water</v>
      </c>
      <c r="C89" s="131"/>
      <c r="D89" s="131"/>
      <c r="E89" s="131"/>
      <c r="F89" s="131"/>
      <c r="G89" s="131"/>
      <c r="H89" s="131"/>
      <c r="I89" s="131"/>
      <c r="J89" s="131"/>
      <c r="K89" s="131"/>
      <c r="L89" s="131"/>
      <c r="N89" s="158" t="s">
        <v>302</v>
      </c>
    </row>
    <row r="90" spans="1:14" x14ac:dyDescent="0.25">
      <c r="A90" s="21" t="str">
        <f>IF(A89="","","   End of Year Balance [maf]")</f>
        <v xml:space="preserve">   End of Year Balance [maf]</v>
      </c>
      <c r="C90" s="47" t="str">
        <f>IF(OR(C$28="",$A90=""),"",C88-C89)</f>
        <v/>
      </c>
      <c r="D90" s="47" t="str">
        <f t="shared" ref="D90:L90" si="34">IF(OR(D$28="",$A90=""),"",D88-D89)</f>
        <v/>
      </c>
      <c r="E90" s="47" t="str">
        <f t="shared" si="34"/>
        <v/>
      </c>
      <c r="F90" s="47" t="str">
        <f t="shared" si="34"/>
        <v/>
      </c>
      <c r="G90" s="47" t="str">
        <f t="shared" si="34"/>
        <v/>
      </c>
      <c r="H90" s="47" t="str">
        <f t="shared" si="34"/>
        <v/>
      </c>
      <c r="I90" s="47" t="str">
        <f t="shared" si="34"/>
        <v/>
      </c>
      <c r="J90" s="47" t="str">
        <f t="shared" si="34"/>
        <v/>
      </c>
      <c r="K90" s="47" t="str">
        <f t="shared" si="34"/>
        <v/>
      </c>
      <c r="L90" s="47" t="str">
        <f t="shared" si="34"/>
        <v/>
      </c>
      <c r="N90" s="158" t="s">
        <v>290</v>
      </c>
    </row>
    <row r="91" spans="1:14" x14ac:dyDescent="0.25">
      <c r="C91"/>
      <c r="N91" s="159"/>
    </row>
    <row r="92" spans="1:14" x14ac:dyDescent="0.25">
      <c r="A92" s="132" t="str">
        <f>IF(A$9="","[Unused]",A9)</f>
        <v>First Nations</v>
      </c>
      <c r="B92" s="110"/>
      <c r="C92" s="110"/>
      <c r="D92" s="110"/>
      <c r="E92" s="110"/>
      <c r="F92" s="110"/>
      <c r="G92" s="110"/>
      <c r="H92" s="110"/>
      <c r="I92" s="110"/>
      <c r="J92" s="110"/>
      <c r="K92" s="110"/>
      <c r="L92" s="110"/>
      <c r="M92" s="111" t="s">
        <v>79</v>
      </c>
      <c r="N92" s="155" t="s">
        <v>285</v>
      </c>
    </row>
    <row r="93" spans="1:14" x14ac:dyDescent="0.25">
      <c r="A93" s="21" t="str">
        <f>IF(A92="[Unused]","",$A$61)</f>
        <v xml:space="preserve">   Enter volume to Buy(+) or Sell(-) [maf]</v>
      </c>
      <c r="C93" s="102"/>
      <c r="D93" s="102"/>
      <c r="E93" s="102"/>
      <c r="F93" s="102"/>
      <c r="G93" s="102"/>
      <c r="H93" s="102"/>
      <c r="I93" s="102"/>
      <c r="J93" s="102"/>
      <c r="K93" s="102"/>
      <c r="L93" s="102"/>
      <c r="M93" s="48">
        <f>SUM(C93:L93)</f>
        <v>0</v>
      </c>
      <c r="N93" s="161" t="s">
        <v>286</v>
      </c>
    </row>
    <row r="94" spans="1:14" x14ac:dyDescent="0.25">
      <c r="A94" s="21" t="str">
        <f>IF(A93="","",$A$62)</f>
        <v xml:space="preserve">   Enter compensation to Buy(-) or Sell(+) [$ Mill]</v>
      </c>
      <c r="C94" s="103"/>
      <c r="D94" s="103"/>
      <c r="E94" s="103"/>
      <c r="F94" s="103"/>
      <c r="G94" s="103"/>
      <c r="H94" s="103"/>
      <c r="I94" s="103"/>
      <c r="J94" s="103"/>
      <c r="K94" s="103"/>
      <c r="L94" s="103"/>
      <c r="M94" s="46">
        <f>SUM(C94:L94)</f>
        <v>0</v>
      </c>
      <c r="N94" s="162" t="s">
        <v>287</v>
      </c>
    </row>
    <row r="95" spans="1:14" x14ac:dyDescent="0.25">
      <c r="A95" s="145" t="str">
        <f>IF(A94="","",$A$63)</f>
        <v xml:space="preserve">   Net trade volume all players (should be zero)</v>
      </c>
      <c r="C95" s="48" t="str">
        <f t="shared" ref="C95:M95" si="35">IF(OR(C$28="",$A95=""),"",C$116)</f>
        <v/>
      </c>
      <c r="D95" s="48" t="str">
        <f t="shared" si="35"/>
        <v/>
      </c>
      <c r="E95" s="48" t="str">
        <f t="shared" si="35"/>
        <v/>
      </c>
      <c r="F95" s="48" t="str">
        <f t="shared" si="35"/>
        <v/>
      </c>
      <c r="G95" s="48" t="str">
        <f t="shared" si="35"/>
        <v/>
      </c>
      <c r="H95" s="48" t="str">
        <f t="shared" si="35"/>
        <v/>
      </c>
      <c r="I95" s="48" t="str">
        <f t="shared" si="35"/>
        <v/>
      </c>
      <c r="J95" s="48" t="str">
        <f t="shared" si="35"/>
        <v/>
      </c>
      <c r="K95" s="48" t="str">
        <f t="shared" si="35"/>
        <v/>
      </c>
      <c r="L95" s="48" t="str">
        <f t="shared" si="35"/>
        <v/>
      </c>
      <c r="M95" t="str">
        <f t="shared" si="35"/>
        <v/>
      </c>
      <c r="N95" s="158" t="s">
        <v>288</v>
      </c>
    </row>
    <row r="96" spans="1:14" x14ac:dyDescent="0.25">
      <c r="A96" s="1" t="str">
        <f>IF(A94="","","   Available Water [maf]")</f>
        <v xml:space="preserve">   Available Water [maf]</v>
      </c>
      <c r="C96" s="13" t="str">
        <f>IF(OR(C$28="",$A96=""),"",C37+C55-C47+C93)</f>
        <v/>
      </c>
      <c r="D96" s="13" t="str">
        <f t="shared" ref="D96:L96" si="36">IF(OR(D$28="",$A96=""),"",D37+D55-D47+D93)</f>
        <v/>
      </c>
      <c r="E96" s="13" t="str">
        <f t="shared" si="36"/>
        <v/>
      </c>
      <c r="F96" s="13" t="str">
        <f t="shared" si="36"/>
        <v/>
      </c>
      <c r="G96" s="13" t="str">
        <f t="shared" si="36"/>
        <v/>
      </c>
      <c r="H96" s="13" t="str">
        <f t="shared" si="36"/>
        <v/>
      </c>
      <c r="I96" s="13" t="str">
        <f t="shared" si="36"/>
        <v/>
      </c>
      <c r="J96" s="13" t="str">
        <f t="shared" si="36"/>
        <v/>
      </c>
      <c r="K96" s="13" t="str">
        <f t="shared" si="36"/>
        <v/>
      </c>
      <c r="L96" s="13" t="str">
        <f t="shared" si="36"/>
        <v/>
      </c>
      <c r="N96" s="158" t="s">
        <v>289</v>
      </c>
    </row>
    <row r="97" spans="1:14" x14ac:dyDescent="0.25">
      <c r="A97" s="138" t="str">
        <f>IF(A96="","",$A$65)</f>
        <v xml:space="preserve">   Enter withdraw [maf] within available water</v>
      </c>
      <c r="C97" s="104" t="str">
        <f>IF(OR(C$28="",$A97=""),"",C96-0.001)</f>
        <v/>
      </c>
      <c r="D97" s="104" t="str">
        <f t="shared" ref="D97:G97" si="37">IF(OR(D$28="",$A97=""),"",D96-0.001)</f>
        <v/>
      </c>
      <c r="E97" s="104" t="str">
        <f t="shared" si="37"/>
        <v/>
      </c>
      <c r="F97" s="104" t="str">
        <f t="shared" si="37"/>
        <v/>
      </c>
      <c r="G97" s="104" t="str">
        <f t="shared" si="37"/>
        <v/>
      </c>
      <c r="H97" s="104"/>
      <c r="I97" s="104"/>
      <c r="J97" s="104"/>
      <c r="K97" s="104"/>
      <c r="L97" s="104"/>
      <c r="N97" s="158" t="s">
        <v>302</v>
      </c>
    </row>
    <row r="98" spans="1:14" x14ac:dyDescent="0.25">
      <c r="A98" s="21" t="str">
        <f>IF(A97="","","   End of Year Balance [maf]")</f>
        <v xml:space="preserve">   End of Year Balance [maf]</v>
      </c>
      <c r="C98" s="47" t="str">
        <f>IF(OR(C$28="",$A98=""),"",C96-C97)</f>
        <v/>
      </c>
      <c r="D98" s="47" t="str">
        <f t="shared" ref="D98:L98" si="38">IF(OR(D$28="",$A98=""),"",D96-D97)</f>
        <v/>
      </c>
      <c r="E98" s="47" t="str">
        <f t="shared" si="38"/>
        <v/>
      </c>
      <c r="F98" s="47" t="str">
        <f t="shared" si="38"/>
        <v/>
      </c>
      <c r="G98" s="47" t="str">
        <f t="shared" si="38"/>
        <v/>
      </c>
      <c r="H98" s="47" t="str">
        <f t="shared" si="38"/>
        <v/>
      </c>
      <c r="I98" s="47" t="str">
        <f t="shared" si="38"/>
        <v/>
      </c>
      <c r="J98" s="47" t="str">
        <f t="shared" si="38"/>
        <v/>
      </c>
      <c r="K98" s="47" t="str">
        <f t="shared" si="38"/>
        <v/>
      </c>
      <c r="L98" s="47" t="str">
        <f t="shared" si="38"/>
        <v/>
      </c>
      <c r="N98" s="158" t="s">
        <v>290</v>
      </c>
    </row>
    <row r="99" spans="1:14" x14ac:dyDescent="0.25">
      <c r="C99"/>
      <c r="N99" s="159"/>
    </row>
    <row r="100" spans="1:14" x14ac:dyDescent="0.25">
      <c r="A100" s="132" t="str">
        <f>IF(A$10="","[Unused]",A10)</f>
        <v>Shared, Reserve</v>
      </c>
      <c r="B100" s="110"/>
      <c r="C100" s="110"/>
      <c r="D100" s="110"/>
      <c r="E100" s="110"/>
      <c r="F100" s="110"/>
      <c r="G100" s="110"/>
      <c r="H100" s="110"/>
      <c r="I100" s="110"/>
      <c r="J100" s="110"/>
      <c r="K100" s="110"/>
      <c r="L100" s="110"/>
      <c r="M100" s="111" t="s">
        <v>79</v>
      </c>
      <c r="N100" s="158" t="s">
        <v>300</v>
      </c>
    </row>
    <row r="101" spans="1:14" x14ac:dyDescent="0.2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2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25">
      <c r="A103" s="145" t="str">
        <f>IF(A102="","",$A$63)</f>
        <v xml:space="preserve">   Net trade volume all players (should be zero)</v>
      </c>
      <c r="C103" s="48" t="str">
        <f t="shared" ref="C103:M103" si="39">IF(OR(C$28="",$A103=""),"",C$116)</f>
        <v/>
      </c>
      <c r="D103" s="48" t="str">
        <f t="shared" si="39"/>
        <v/>
      </c>
      <c r="E103" s="48" t="str">
        <f t="shared" si="39"/>
        <v/>
      </c>
      <c r="F103" s="48" t="str">
        <f t="shared" si="39"/>
        <v/>
      </c>
      <c r="G103" s="48" t="str">
        <f t="shared" si="39"/>
        <v/>
      </c>
      <c r="H103" s="48" t="str">
        <f t="shared" si="39"/>
        <v/>
      </c>
      <c r="I103" s="48" t="str">
        <f t="shared" si="39"/>
        <v/>
      </c>
      <c r="J103" s="48" t="str">
        <f t="shared" si="39"/>
        <v/>
      </c>
      <c r="K103" s="48" t="str">
        <f t="shared" si="39"/>
        <v/>
      </c>
      <c r="L103" s="48" t="str">
        <f t="shared" si="39"/>
        <v/>
      </c>
      <c r="M103" t="str">
        <f t="shared" si="39"/>
        <v/>
      </c>
      <c r="N103" s="159"/>
    </row>
    <row r="104" spans="1:14" x14ac:dyDescent="0.25">
      <c r="A104" s="1" t="str">
        <f>IF(A102="","","   Available Water [maf]")</f>
        <v xml:space="preserve">   Available Water [maf]</v>
      </c>
      <c r="C104" s="13" t="str">
        <f>IF(OR(C$28="",$A104=""),"",C38+C56-C48+C101)</f>
        <v/>
      </c>
      <c r="D104" s="13" t="str">
        <f t="shared" ref="D104:L104" si="40">IF(OR(D$28="",$A104=""),"",D38+D56-D48+D101)</f>
        <v/>
      </c>
      <c r="E104" s="13" t="str">
        <f t="shared" si="40"/>
        <v/>
      </c>
      <c r="F104" s="13" t="str">
        <f t="shared" si="40"/>
        <v/>
      </c>
      <c r="G104" s="13" t="str">
        <f t="shared" si="40"/>
        <v/>
      </c>
      <c r="H104" s="13" t="str">
        <f t="shared" si="40"/>
        <v/>
      </c>
      <c r="I104" s="13" t="str">
        <f t="shared" si="40"/>
        <v/>
      </c>
      <c r="J104" s="13" t="str">
        <f t="shared" si="40"/>
        <v/>
      </c>
      <c r="K104" s="13" t="str">
        <f t="shared" si="40"/>
        <v/>
      </c>
      <c r="L104" s="13" t="str">
        <f t="shared" si="40"/>
        <v/>
      </c>
      <c r="N104" s="159"/>
    </row>
    <row r="105" spans="1:14" x14ac:dyDescent="0.25">
      <c r="A105" s="138" t="str">
        <f>IF(A104="","",$A$65)</f>
        <v xml:space="preserve">   Enter withdraw [maf] within available water</v>
      </c>
      <c r="C105" s="29"/>
      <c r="D105" s="29"/>
      <c r="E105" s="29"/>
      <c r="F105" s="29"/>
      <c r="G105" s="29"/>
      <c r="H105" s="29"/>
      <c r="I105" s="29"/>
      <c r="J105" s="29"/>
      <c r="K105" s="29"/>
      <c r="L105" s="29"/>
      <c r="N105" s="159"/>
    </row>
    <row r="106" spans="1:14" x14ac:dyDescent="0.25">
      <c r="A106" s="21" t="str">
        <f>IF(A105="","","   End of Year Balance [maf]")</f>
        <v xml:space="preserve">   End of Year Balance [maf]</v>
      </c>
      <c r="C106" s="47" t="str">
        <f>IF(OR(C$28="",$A106=""),"",C104-C105)</f>
        <v/>
      </c>
      <c r="D106" s="47" t="str">
        <f t="shared" ref="D106:L106" si="41">IF(OR(D$28="",$A106=""),"",D104-D105)</f>
        <v/>
      </c>
      <c r="E106" s="47" t="str">
        <f t="shared" si="41"/>
        <v/>
      </c>
      <c r="F106" s="47" t="str">
        <f t="shared" si="41"/>
        <v/>
      </c>
      <c r="G106" s="47" t="str">
        <f t="shared" si="41"/>
        <v/>
      </c>
      <c r="H106" s="47" t="str">
        <f t="shared" si="41"/>
        <v/>
      </c>
      <c r="I106" s="47" t="str">
        <f t="shared" si="41"/>
        <v/>
      </c>
      <c r="J106" s="47" t="str">
        <f t="shared" si="41"/>
        <v/>
      </c>
      <c r="K106" s="47" t="str">
        <f t="shared" si="41"/>
        <v/>
      </c>
      <c r="L106" s="47" t="str">
        <f t="shared" si="41"/>
        <v/>
      </c>
      <c r="N106" s="159"/>
    </row>
    <row r="107" spans="1:14" x14ac:dyDescent="0.25">
      <c r="C107"/>
      <c r="N107" s="159"/>
    </row>
    <row r="108" spans="1:14" x14ac:dyDescent="0.25">
      <c r="A108" s="112" t="s">
        <v>264</v>
      </c>
      <c r="B108" s="112"/>
      <c r="C108" s="112"/>
      <c r="D108" s="112"/>
      <c r="E108" s="112"/>
      <c r="F108" s="112"/>
      <c r="G108" s="112"/>
      <c r="H108" s="112"/>
      <c r="I108" s="112"/>
      <c r="J108" s="112"/>
      <c r="K108" s="112"/>
      <c r="L108" s="112"/>
      <c r="M108" s="112"/>
      <c r="N108" s="158" t="s">
        <v>291</v>
      </c>
    </row>
    <row r="109" spans="1:14" x14ac:dyDescent="0.25">
      <c r="A109" s="1" t="s">
        <v>219</v>
      </c>
      <c r="C109"/>
      <c r="M109" t="s">
        <v>114</v>
      </c>
      <c r="N109" s="159"/>
    </row>
    <row r="110" spans="1:14" x14ac:dyDescent="0.25">
      <c r="A110" t="str">
        <f t="shared" ref="A110:A115" si="42">IF(A5="","","    "&amp;A5)</f>
        <v xml:space="preserve">    Upper Basin</v>
      </c>
      <c r="B110" s="1"/>
      <c r="C110" s="48" t="str">
        <f t="shared" ref="C110:L115" ca="1" si="43">IF(OR(C$28="",$A110=""),"",OFFSET(C$61,8*(ROW(B110)-ROW(B$110)),0))</f>
        <v/>
      </c>
      <c r="D110" s="48" t="str">
        <f t="shared" ca="1" si="43"/>
        <v/>
      </c>
      <c r="E110" s="48" t="str">
        <f t="shared" ca="1" si="43"/>
        <v/>
      </c>
      <c r="F110" s="48" t="str">
        <f t="shared" ca="1" si="43"/>
        <v/>
      </c>
      <c r="G110" s="48" t="str">
        <f t="shared" ca="1" si="43"/>
        <v/>
      </c>
      <c r="H110" s="48" t="str">
        <f t="shared" ca="1" si="43"/>
        <v/>
      </c>
      <c r="I110" s="48" t="str">
        <f t="shared" ca="1" si="43"/>
        <v/>
      </c>
      <c r="J110" s="48" t="str">
        <f t="shared" ca="1" si="43"/>
        <v/>
      </c>
      <c r="K110" s="48" t="str">
        <f t="shared" ca="1" si="43"/>
        <v/>
      </c>
      <c r="L110" s="149" t="str">
        <f t="shared" ca="1" si="43"/>
        <v/>
      </c>
      <c r="M110" s="150">
        <f ca="1">IF(OR($A110=""),"",SUM(C110:L110))</f>
        <v>0</v>
      </c>
      <c r="N110" s="163"/>
    </row>
    <row r="111" spans="1:14" x14ac:dyDescent="0.25">
      <c r="A111" t="str">
        <f t="shared" si="42"/>
        <v xml:space="preserve">    Lower Basin</v>
      </c>
      <c r="B111" s="1"/>
      <c r="C111" s="48" t="str">
        <f t="shared" ca="1" si="43"/>
        <v/>
      </c>
      <c r="D111" s="48" t="str">
        <f t="shared" ca="1" si="43"/>
        <v/>
      </c>
      <c r="E111" s="48" t="str">
        <f t="shared" ca="1" si="43"/>
        <v/>
      </c>
      <c r="F111" s="48" t="str">
        <f t="shared" ca="1" si="43"/>
        <v/>
      </c>
      <c r="G111" s="48" t="str">
        <f t="shared" ca="1" si="43"/>
        <v/>
      </c>
      <c r="H111" s="48" t="str">
        <f t="shared" ca="1" si="43"/>
        <v/>
      </c>
      <c r="I111" s="48" t="str">
        <f t="shared" ca="1" si="43"/>
        <v/>
      </c>
      <c r="J111" s="48" t="str">
        <f t="shared" ca="1" si="43"/>
        <v/>
      </c>
      <c r="K111" s="48" t="str">
        <f t="shared" ca="1" si="43"/>
        <v/>
      </c>
      <c r="L111" s="149" t="str">
        <f t="shared" ca="1" si="43"/>
        <v/>
      </c>
      <c r="M111" s="150">
        <f t="shared" ref="M111:M115" ca="1" si="44">IF(OR($A111=""),"",SUM(C111:L111))</f>
        <v>0</v>
      </c>
      <c r="N111" s="163"/>
    </row>
    <row r="112" spans="1:14" x14ac:dyDescent="0.25">
      <c r="A112" t="str">
        <f t="shared" si="42"/>
        <v xml:space="preserve">    Mexico</v>
      </c>
      <c r="B112" s="1"/>
      <c r="C112" s="48" t="str">
        <f t="shared" ca="1" si="43"/>
        <v/>
      </c>
      <c r="D112" s="48" t="str">
        <f t="shared" ca="1" si="43"/>
        <v/>
      </c>
      <c r="E112" s="48" t="str">
        <f t="shared" ca="1" si="43"/>
        <v/>
      </c>
      <c r="F112" s="48" t="str">
        <f t="shared" ca="1" si="43"/>
        <v/>
      </c>
      <c r="G112" s="48" t="str">
        <f t="shared" ca="1" si="43"/>
        <v/>
      </c>
      <c r="H112" s="48" t="str">
        <f t="shared" ca="1" si="43"/>
        <v/>
      </c>
      <c r="I112" s="48" t="str">
        <f t="shared" ca="1" si="43"/>
        <v/>
      </c>
      <c r="J112" s="48" t="str">
        <f t="shared" ca="1" si="43"/>
        <v/>
      </c>
      <c r="K112" s="48" t="str">
        <f t="shared" ca="1" si="43"/>
        <v/>
      </c>
      <c r="L112" s="149" t="str">
        <f t="shared" ca="1" si="43"/>
        <v/>
      </c>
      <c r="M112" s="150">
        <f t="shared" ca="1" si="44"/>
        <v>0</v>
      </c>
      <c r="N112" s="163"/>
    </row>
    <row r="113" spans="1:14" x14ac:dyDescent="0.25">
      <c r="A113" t="str">
        <f t="shared" si="42"/>
        <v xml:space="preserve">    Colorado River Delta</v>
      </c>
      <c r="B113" s="1"/>
      <c r="C113" s="48" t="str">
        <f t="shared" ca="1" si="43"/>
        <v/>
      </c>
      <c r="D113" s="48" t="str">
        <f t="shared" ca="1" si="43"/>
        <v/>
      </c>
      <c r="E113" s="48" t="str">
        <f t="shared" ca="1" si="43"/>
        <v/>
      </c>
      <c r="F113" s="48" t="str">
        <f t="shared" ca="1" si="43"/>
        <v/>
      </c>
      <c r="G113" s="48" t="str">
        <f t="shared" ca="1" si="43"/>
        <v/>
      </c>
      <c r="H113" s="48" t="str">
        <f t="shared" ca="1" si="43"/>
        <v/>
      </c>
      <c r="I113" s="48" t="str">
        <f t="shared" ca="1" si="43"/>
        <v/>
      </c>
      <c r="J113" s="48" t="str">
        <f t="shared" ca="1" si="43"/>
        <v/>
      </c>
      <c r="K113" s="48" t="str">
        <f t="shared" ca="1" si="43"/>
        <v/>
      </c>
      <c r="L113" s="149" t="str">
        <f t="shared" ca="1" si="43"/>
        <v/>
      </c>
      <c r="M113" s="150">
        <f t="shared" ca="1" si="44"/>
        <v>0</v>
      </c>
      <c r="N113" s="163"/>
    </row>
    <row r="114" spans="1:14" x14ac:dyDescent="0.25">
      <c r="A114" t="str">
        <f t="shared" si="42"/>
        <v xml:space="preserve">    First Nations</v>
      </c>
      <c r="B114" s="1"/>
      <c r="C114" s="48" t="str">
        <f t="shared" ca="1" si="43"/>
        <v/>
      </c>
      <c r="D114" s="48" t="str">
        <f t="shared" ca="1" si="43"/>
        <v/>
      </c>
      <c r="E114" s="48" t="str">
        <f t="shared" ca="1" si="43"/>
        <v/>
      </c>
      <c r="F114" s="48" t="str">
        <f t="shared" ca="1" si="43"/>
        <v/>
      </c>
      <c r="G114" s="48" t="str">
        <f t="shared" ca="1" si="43"/>
        <v/>
      </c>
      <c r="H114" s="48" t="str">
        <f t="shared" ca="1" si="43"/>
        <v/>
      </c>
      <c r="I114" s="48" t="str">
        <f t="shared" ca="1" si="43"/>
        <v/>
      </c>
      <c r="J114" s="48" t="str">
        <f t="shared" ca="1" si="43"/>
        <v/>
      </c>
      <c r="K114" s="48" t="str">
        <f t="shared" ca="1" si="43"/>
        <v/>
      </c>
      <c r="L114" s="149" t="str">
        <f t="shared" ca="1" si="43"/>
        <v/>
      </c>
      <c r="M114" s="150">
        <f t="shared" ca="1" si="44"/>
        <v>0</v>
      </c>
      <c r="N114" s="163"/>
    </row>
    <row r="115" spans="1:14" x14ac:dyDescent="0.25">
      <c r="A115" t="str">
        <f t="shared" si="42"/>
        <v xml:space="preserve">    Shared, Reserve</v>
      </c>
      <c r="B115" s="1"/>
      <c r="C115" s="48" t="str">
        <f t="shared" ca="1" si="43"/>
        <v/>
      </c>
      <c r="D115" s="48" t="str">
        <f t="shared" ca="1" si="43"/>
        <v/>
      </c>
      <c r="E115" s="48" t="str">
        <f t="shared" ca="1" si="43"/>
        <v/>
      </c>
      <c r="F115" s="48" t="str">
        <f t="shared" ca="1" si="43"/>
        <v/>
      </c>
      <c r="G115" s="48" t="str">
        <f t="shared" ca="1" si="43"/>
        <v/>
      </c>
      <c r="H115" s="48" t="str">
        <f t="shared" ca="1" si="43"/>
        <v/>
      </c>
      <c r="I115" s="48" t="str">
        <f t="shared" ca="1" si="43"/>
        <v/>
      </c>
      <c r="J115" s="48" t="str">
        <f t="shared" ca="1" si="43"/>
        <v/>
      </c>
      <c r="K115" s="48" t="str">
        <f t="shared" ca="1" si="43"/>
        <v/>
      </c>
      <c r="L115" s="149" t="str">
        <f t="shared" ca="1" si="43"/>
        <v/>
      </c>
      <c r="M115" s="150">
        <f t="shared" ca="1" si="44"/>
        <v>0</v>
      </c>
      <c r="N115" s="163"/>
    </row>
    <row r="116" spans="1:14" x14ac:dyDescent="0.25">
      <c r="A116" t="s">
        <v>93</v>
      </c>
      <c r="B116" s="1"/>
      <c r="C116" s="35" t="str">
        <f>IF(C$28&lt;&gt;"",SUM(C110:C115),"")</f>
        <v/>
      </c>
      <c r="D116" s="35" t="str">
        <f t="shared" ref="D116:L116" si="45">IF(D$28&lt;&gt;"",SUM(D110:D115),"")</f>
        <v/>
      </c>
      <c r="E116" s="92" t="str">
        <f t="shared" si="45"/>
        <v/>
      </c>
      <c r="F116" s="35" t="str">
        <f t="shared" si="45"/>
        <v/>
      </c>
      <c r="G116" s="35" t="str">
        <f t="shared" si="45"/>
        <v/>
      </c>
      <c r="H116" s="35" t="str">
        <f t="shared" si="45"/>
        <v/>
      </c>
      <c r="I116" s="35" t="str">
        <f t="shared" si="45"/>
        <v/>
      </c>
      <c r="J116" s="35" t="str">
        <f t="shared" si="45"/>
        <v/>
      </c>
      <c r="K116" s="35" t="str">
        <f t="shared" si="45"/>
        <v/>
      </c>
      <c r="L116" s="35" t="str">
        <f t="shared" si="45"/>
        <v/>
      </c>
      <c r="M116" s="22"/>
      <c r="N116" s="165"/>
    </row>
    <row r="117" spans="1:14" x14ac:dyDescent="0.25">
      <c r="A117" s="1" t="s">
        <v>220</v>
      </c>
      <c r="B117" s="1"/>
      <c r="C117" s="37"/>
      <c r="D117" s="2"/>
      <c r="E117" s="37"/>
      <c r="F117" s="2"/>
      <c r="G117" s="2"/>
      <c r="H117" s="2"/>
      <c r="I117" s="2"/>
      <c r="J117" s="2"/>
      <c r="K117" s="2"/>
      <c r="L117" s="2"/>
      <c r="N117" s="159"/>
    </row>
    <row r="118" spans="1:14" x14ac:dyDescent="0.25">
      <c r="A118" t="str">
        <f>IF(A5="","","    "&amp;A5&amp;" - Consumptive Use and Headwaters Losses")</f>
        <v xml:space="preserve">    Upper Basin - Consumptive Use and Headwaters Losses</v>
      </c>
      <c r="C118" s="48" t="str">
        <f t="shared" ref="C118:L123" ca="1" si="46">IF(OR(C$28="",$A118=""),"",OFFSET(C$65,8*(ROW(B118)-ROW(B$118)),0))</f>
        <v/>
      </c>
      <c r="D118" s="48" t="str">
        <f t="shared" ca="1" si="46"/>
        <v/>
      </c>
      <c r="E118" s="48" t="str">
        <f t="shared" ca="1" si="46"/>
        <v/>
      </c>
      <c r="F118" s="48" t="str">
        <f t="shared" ca="1" si="46"/>
        <v/>
      </c>
      <c r="G118" s="48" t="str">
        <f t="shared" ca="1" si="46"/>
        <v/>
      </c>
      <c r="H118" s="48" t="str">
        <f t="shared" ca="1" si="46"/>
        <v/>
      </c>
      <c r="I118" s="48" t="str">
        <f t="shared" ca="1" si="46"/>
        <v/>
      </c>
      <c r="J118" s="48" t="str">
        <f t="shared" ca="1" si="46"/>
        <v/>
      </c>
      <c r="K118" s="48" t="str">
        <f t="shared" ca="1" si="46"/>
        <v/>
      </c>
      <c r="L118" s="48" t="str">
        <f t="shared" ca="1" si="46"/>
        <v/>
      </c>
      <c r="N118" s="159"/>
    </row>
    <row r="119" spans="1:14" x14ac:dyDescent="0.25">
      <c r="A119" t="str">
        <f>IF(A6="","","    "&amp;A6&amp;" - Release from Mead")</f>
        <v xml:space="preserve">    Lower Basin - Release from Mead</v>
      </c>
      <c r="C119" s="48" t="str">
        <f t="shared" ca="1" si="46"/>
        <v/>
      </c>
      <c r="D119" s="48" t="str">
        <f t="shared" ca="1" si="46"/>
        <v/>
      </c>
      <c r="E119" s="48" t="str">
        <f t="shared" ca="1" si="46"/>
        <v/>
      </c>
      <c r="F119" s="48" t="str">
        <f t="shared" ca="1" si="46"/>
        <v/>
      </c>
      <c r="G119" s="48" t="str">
        <f t="shared" ca="1" si="46"/>
        <v/>
      </c>
      <c r="H119" s="48" t="str">
        <f t="shared" ca="1" si="46"/>
        <v/>
      </c>
      <c r="I119" s="48" t="str">
        <f t="shared" ca="1" si="46"/>
        <v/>
      </c>
      <c r="J119" s="48" t="str">
        <f t="shared" ca="1" si="46"/>
        <v/>
      </c>
      <c r="K119" s="48" t="str">
        <f t="shared" ca="1" si="46"/>
        <v/>
      </c>
      <c r="L119" s="48" t="str">
        <f t="shared" ca="1" si="46"/>
        <v/>
      </c>
      <c r="N119" s="159"/>
    </row>
    <row r="120" spans="1:14" x14ac:dyDescent="0.25">
      <c r="A120" t="str">
        <f>IF(A7="","","    "&amp;A7&amp;" - Release from Mead")</f>
        <v xml:space="preserve">    Mexico - Release from Mead</v>
      </c>
      <c r="C120" s="48" t="str">
        <f t="shared" ca="1" si="46"/>
        <v/>
      </c>
      <c r="D120" s="48" t="str">
        <f t="shared" ca="1" si="46"/>
        <v/>
      </c>
      <c r="E120" s="48" t="str">
        <f t="shared" ca="1" si="46"/>
        <v/>
      </c>
      <c r="F120" s="48" t="str">
        <f t="shared" ca="1" si="46"/>
        <v/>
      </c>
      <c r="G120" s="48" t="str">
        <f t="shared" ca="1" si="46"/>
        <v/>
      </c>
      <c r="H120" s="48" t="str">
        <f t="shared" ca="1" si="46"/>
        <v/>
      </c>
      <c r="I120" s="48" t="str">
        <f t="shared" ca="1" si="46"/>
        <v/>
      </c>
      <c r="J120" s="48" t="str">
        <f t="shared" ca="1" si="46"/>
        <v/>
      </c>
      <c r="K120" s="48" t="str">
        <f t="shared" ca="1" si="46"/>
        <v/>
      </c>
      <c r="L120" s="48" t="str">
        <f t="shared" ca="1" si="46"/>
        <v/>
      </c>
      <c r="N120" s="159"/>
    </row>
    <row r="121" spans="1:14" x14ac:dyDescent="0.25">
      <c r="A121" t="str">
        <f>IF(A8="","","    "&amp;A8&amp;" - Release from Mead")</f>
        <v xml:space="preserve">    Colorado River Delta - Release from Mead</v>
      </c>
      <c r="C121" s="48" t="str">
        <f t="shared" ca="1" si="46"/>
        <v/>
      </c>
      <c r="D121" s="48" t="str">
        <f t="shared" ca="1" si="46"/>
        <v/>
      </c>
      <c r="E121" s="48" t="str">
        <f t="shared" ca="1" si="46"/>
        <v/>
      </c>
      <c r="F121" s="48" t="str">
        <f t="shared" ca="1" si="46"/>
        <v/>
      </c>
      <c r="G121" s="48" t="str">
        <f t="shared" ca="1" si="46"/>
        <v/>
      </c>
      <c r="H121" s="48" t="str">
        <f t="shared" ca="1" si="46"/>
        <v/>
      </c>
      <c r="I121" s="48" t="str">
        <f t="shared" ca="1" si="46"/>
        <v/>
      </c>
      <c r="J121" s="48" t="str">
        <f t="shared" ca="1" si="46"/>
        <v/>
      </c>
      <c r="K121" s="48" t="str">
        <f t="shared" ca="1" si="46"/>
        <v/>
      </c>
      <c r="L121" s="48" t="str">
        <f t="shared" ca="1" si="46"/>
        <v/>
      </c>
      <c r="N121" s="159"/>
    </row>
    <row r="122" spans="1:14" x14ac:dyDescent="0.25">
      <c r="A122" t="str">
        <f>IF(A9="","","    "&amp;A9&amp;" - Release from Mead")</f>
        <v xml:space="preserve">    First Nations - Release from Mead</v>
      </c>
      <c r="C122" s="48" t="str">
        <f t="shared" ca="1" si="46"/>
        <v/>
      </c>
      <c r="D122" s="48" t="str">
        <f t="shared" ca="1" si="46"/>
        <v/>
      </c>
      <c r="E122" s="48" t="str">
        <f t="shared" ca="1" si="46"/>
        <v/>
      </c>
      <c r="F122" s="48" t="str">
        <f t="shared" ca="1" si="46"/>
        <v/>
      </c>
      <c r="G122" s="48" t="str">
        <f t="shared" ca="1" si="46"/>
        <v/>
      </c>
      <c r="H122" s="48" t="str">
        <f t="shared" ca="1" si="46"/>
        <v/>
      </c>
      <c r="I122" s="48" t="str">
        <f t="shared" ca="1" si="46"/>
        <v/>
      </c>
      <c r="J122" s="48" t="str">
        <f t="shared" ca="1" si="46"/>
        <v/>
      </c>
      <c r="K122" s="48" t="str">
        <f t="shared" ca="1" si="46"/>
        <v/>
      </c>
      <c r="L122" s="48" t="str">
        <f t="shared" ca="1" si="46"/>
        <v/>
      </c>
      <c r="N122" s="159"/>
    </row>
    <row r="123" spans="1:14" x14ac:dyDescent="0.25">
      <c r="A123" t="str">
        <f>IF(A10="","","    "&amp;A10&amp;" - Release from Mead")</f>
        <v xml:space="preserve">    Shared, Reserve - Release from Mead</v>
      </c>
      <c r="C123" s="48" t="str">
        <f t="shared" ca="1" si="46"/>
        <v/>
      </c>
      <c r="D123" s="48" t="str">
        <f t="shared" ca="1" si="46"/>
        <v/>
      </c>
      <c r="E123" s="48" t="str">
        <f t="shared" ca="1" si="46"/>
        <v/>
      </c>
      <c r="F123" s="48" t="str">
        <f t="shared" ca="1" si="46"/>
        <v/>
      </c>
      <c r="G123" s="48" t="str">
        <f t="shared" ca="1" si="46"/>
        <v/>
      </c>
      <c r="H123" s="48" t="str">
        <f t="shared" ca="1" si="46"/>
        <v/>
      </c>
      <c r="I123" s="48" t="str">
        <f t="shared" ca="1" si="46"/>
        <v/>
      </c>
      <c r="J123" s="48" t="str">
        <f t="shared" ca="1" si="46"/>
        <v/>
      </c>
      <c r="K123" s="48" t="str">
        <f t="shared" ca="1" si="46"/>
        <v/>
      </c>
      <c r="L123" s="48" t="str">
        <f t="shared" ca="1" si="46"/>
        <v/>
      </c>
      <c r="N123" s="159"/>
    </row>
    <row r="124" spans="1:14" x14ac:dyDescent="0.25">
      <c r="A124" s="1" t="s">
        <v>90</v>
      </c>
      <c r="B124" s="1"/>
      <c r="D124" s="2"/>
      <c r="E124" s="2"/>
      <c r="F124" s="2"/>
      <c r="G124" s="2"/>
      <c r="H124" s="2"/>
      <c r="I124" s="2"/>
      <c r="J124" s="2"/>
      <c r="K124" s="2"/>
      <c r="L124" s="2"/>
      <c r="N124" s="159"/>
    </row>
    <row r="125" spans="1:14" x14ac:dyDescent="0.25">
      <c r="A125" t="str">
        <f t="shared" ref="A125:A130" si="47">IF(A5="","","    "&amp;A5)</f>
        <v xml:space="preserve">    Upper Basin</v>
      </c>
      <c r="C125" s="48" t="str">
        <f t="shared" ref="C125:L130" ca="1" si="48">IF(OR(C$28="",$A125=""),"",OFFSET(C$66,8*(ROW(B125)-ROW(B$125)),0))</f>
        <v/>
      </c>
      <c r="D125" s="48" t="str">
        <f t="shared" ca="1" si="48"/>
        <v/>
      </c>
      <c r="E125" s="48" t="str">
        <f t="shared" ca="1" si="48"/>
        <v/>
      </c>
      <c r="F125" s="48" t="str">
        <f t="shared" ca="1" si="48"/>
        <v/>
      </c>
      <c r="G125" s="48" t="str">
        <f t="shared" ca="1" si="48"/>
        <v/>
      </c>
      <c r="H125" s="48" t="str">
        <f t="shared" ca="1" si="48"/>
        <v/>
      </c>
      <c r="I125" s="48" t="str">
        <f t="shared" ca="1" si="48"/>
        <v/>
      </c>
      <c r="J125" s="48" t="str">
        <f t="shared" ca="1" si="48"/>
        <v/>
      </c>
      <c r="K125" s="48" t="str">
        <f t="shared" ca="1" si="48"/>
        <v/>
      </c>
      <c r="L125" s="48" t="str">
        <f t="shared" ca="1" si="48"/>
        <v/>
      </c>
      <c r="N125" s="159"/>
    </row>
    <row r="126" spans="1:14" x14ac:dyDescent="0.25">
      <c r="A126" t="str">
        <f t="shared" si="47"/>
        <v xml:space="preserve">    Lower Basin</v>
      </c>
      <c r="C126" s="48" t="str">
        <f t="shared" ca="1" si="48"/>
        <v/>
      </c>
      <c r="D126" s="48" t="str">
        <f t="shared" ca="1" si="48"/>
        <v/>
      </c>
      <c r="E126" s="48" t="str">
        <f t="shared" ca="1" si="48"/>
        <v/>
      </c>
      <c r="F126" s="48" t="str">
        <f t="shared" ca="1" si="48"/>
        <v/>
      </c>
      <c r="G126" s="48" t="str">
        <f t="shared" ca="1" si="48"/>
        <v/>
      </c>
      <c r="H126" s="48" t="str">
        <f t="shared" ca="1" si="48"/>
        <v/>
      </c>
      <c r="I126" s="48" t="str">
        <f t="shared" ca="1" si="48"/>
        <v/>
      </c>
      <c r="J126" s="48" t="str">
        <f t="shared" ca="1" si="48"/>
        <v/>
      </c>
      <c r="K126" s="48" t="str">
        <f t="shared" ca="1" si="48"/>
        <v/>
      </c>
      <c r="L126" s="48" t="str">
        <f t="shared" ca="1" si="48"/>
        <v/>
      </c>
      <c r="N126" s="159"/>
    </row>
    <row r="127" spans="1:14" x14ac:dyDescent="0.25">
      <c r="A127" t="str">
        <f t="shared" si="47"/>
        <v xml:space="preserve">    Mexico</v>
      </c>
      <c r="C127" s="48" t="str">
        <f t="shared" ca="1" si="48"/>
        <v/>
      </c>
      <c r="D127" s="48" t="str">
        <f t="shared" ca="1" si="48"/>
        <v/>
      </c>
      <c r="E127" s="48" t="str">
        <f t="shared" ca="1" si="48"/>
        <v/>
      </c>
      <c r="F127" s="48" t="str">
        <f t="shared" ca="1" si="48"/>
        <v/>
      </c>
      <c r="G127" s="48" t="str">
        <f t="shared" ca="1" si="48"/>
        <v/>
      </c>
      <c r="H127" s="48" t="str">
        <f t="shared" ca="1" si="48"/>
        <v/>
      </c>
      <c r="I127" s="48" t="str">
        <f t="shared" ca="1" si="48"/>
        <v/>
      </c>
      <c r="J127" s="48" t="str">
        <f t="shared" ca="1" si="48"/>
        <v/>
      </c>
      <c r="K127" s="48" t="str">
        <f t="shared" ca="1" si="48"/>
        <v/>
      </c>
      <c r="L127" s="48" t="str">
        <f t="shared" ca="1" si="48"/>
        <v/>
      </c>
      <c r="N127" s="159"/>
    </row>
    <row r="128" spans="1:14" x14ac:dyDescent="0.25">
      <c r="A128" t="str">
        <f t="shared" si="47"/>
        <v xml:space="preserve">    Colorado River Delta</v>
      </c>
      <c r="C128" s="48" t="str">
        <f t="shared" ca="1" si="48"/>
        <v/>
      </c>
      <c r="D128" s="48" t="str">
        <f t="shared" ca="1" si="48"/>
        <v/>
      </c>
      <c r="E128" s="48" t="str">
        <f t="shared" ca="1" si="48"/>
        <v/>
      </c>
      <c r="F128" s="48" t="str">
        <f t="shared" ca="1" si="48"/>
        <v/>
      </c>
      <c r="G128" s="48" t="str">
        <f t="shared" ca="1" si="48"/>
        <v/>
      </c>
      <c r="H128" s="48" t="str">
        <f t="shared" ca="1" si="48"/>
        <v/>
      </c>
      <c r="I128" s="48" t="str">
        <f t="shared" ca="1" si="48"/>
        <v/>
      </c>
      <c r="J128" s="48" t="str">
        <f t="shared" ca="1" si="48"/>
        <v/>
      </c>
      <c r="K128" s="48" t="str">
        <f t="shared" ca="1" si="48"/>
        <v/>
      </c>
      <c r="L128" s="48" t="str">
        <f t="shared" ca="1" si="48"/>
        <v/>
      </c>
      <c r="N128" s="159"/>
    </row>
    <row r="129" spans="1:14" x14ac:dyDescent="0.25">
      <c r="A129" t="str">
        <f t="shared" si="47"/>
        <v xml:space="preserve">    First Nations</v>
      </c>
      <c r="C129" s="48" t="str">
        <f t="shared" ca="1" si="48"/>
        <v/>
      </c>
      <c r="D129" s="48" t="str">
        <f t="shared" ca="1" si="48"/>
        <v/>
      </c>
      <c r="E129" s="48" t="str">
        <f t="shared" ca="1" si="48"/>
        <v/>
      </c>
      <c r="F129" s="48" t="str">
        <f t="shared" ca="1" si="48"/>
        <v/>
      </c>
      <c r="G129" s="48" t="str">
        <f t="shared" ca="1" si="48"/>
        <v/>
      </c>
      <c r="H129" s="48" t="str">
        <f t="shared" ca="1" si="48"/>
        <v/>
      </c>
      <c r="I129" s="48" t="str">
        <f t="shared" ca="1" si="48"/>
        <v/>
      </c>
      <c r="J129" s="48" t="str">
        <f t="shared" ca="1" si="48"/>
        <v/>
      </c>
      <c r="K129" s="48" t="str">
        <f t="shared" ca="1" si="48"/>
        <v/>
      </c>
      <c r="L129" s="48" t="str">
        <f t="shared" ca="1" si="48"/>
        <v/>
      </c>
      <c r="N129" s="159"/>
    </row>
    <row r="130" spans="1:14" x14ac:dyDescent="0.25">
      <c r="A130" t="str">
        <f t="shared" si="47"/>
        <v xml:space="preserve">    Shared, Reserve</v>
      </c>
      <c r="C130" s="48" t="str">
        <f t="shared" ca="1" si="48"/>
        <v/>
      </c>
      <c r="D130" s="48" t="str">
        <f t="shared" ca="1" si="48"/>
        <v/>
      </c>
      <c r="E130" s="48" t="str">
        <f t="shared" ca="1" si="48"/>
        <v/>
      </c>
      <c r="F130" s="48" t="str">
        <f t="shared" ca="1" si="48"/>
        <v/>
      </c>
      <c r="G130" s="48" t="str">
        <f t="shared" ca="1" si="48"/>
        <v/>
      </c>
      <c r="H130" s="48" t="str">
        <f t="shared" ca="1" si="48"/>
        <v/>
      </c>
      <c r="I130" s="48" t="str">
        <f t="shared" ca="1" si="48"/>
        <v/>
      </c>
      <c r="J130" s="48" t="str">
        <f t="shared" ca="1" si="48"/>
        <v/>
      </c>
      <c r="K130" s="48" t="str">
        <f t="shared" ca="1" si="48"/>
        <v/>
      </c>
      <c r="L130" s="48" t="str">
        <f t="shared" ca="1" si="48"/>
        <v/>
      </c>
      <c r="N130" s="159"/>
    </row>
    <row r="131" spans="1:14" x14ac:dyDescent="0.25">
      <c r="A131" s="1" t="s">
        <v>221</v>
      </c>
      <c r="B131" s="1"/>
      <c r="C131" s="13" t="str">
        <f>IF(C$28&lt;&gt;"",SUM(C125:C130),"")</f>
        <v/>
      </c>
      <c r="D131" s="13" t="str">
        <f t="shared" ref="D131:L131" si="49">IF(D$28&lt;&gt;"",SUM(D125:D130),"")</f>
        <v/>
      </c>
      <c r="E131" s="13" t="str">
        <f t="shared" si="49"/>
        <v/>
      </c>
      <c r="F131" s="13" t="str">
        <f t="shared" si="49"/>
        <v/>
      </c>
      <c r="G131" s="13" t="str">
        <f t="shared" si="49"/>
        <v/>
      </c>
      <c r="H131" s="13" t="str">
        <f t="shared" si="49"/>
        <v/>
      </c>
      <c r="I131" s="13" t="str">
        <f t="shared" si="49"/>
        <v/>
      </c>
      <c r="J131" s="13" t="str">
        <f t="shared" si="49"/>
        <v/>
      </c>
      <c r="K131" s="13" t="str">
        <f t="shared" si="49"/>
        <v/>
      </c>
      <c r="L131" s="13" t="str">
        <f t="shared" si="49"/>
        <v/>
      </c>
      <c r="N131" s="158" t="s">
        <v>292</v>
      </c>
    </row>
    <row r="132" spans="1:14" ht="29.45" customHeight="1" x14ac:dyDescent="0.25">
      <c r="A132" s="201" t="s">
        <v>265</v>
      </c>
      <c r="B132" s="202"/>
      <c r="C132" s="140">
        <v>0.5</v>
      </c>
      <c r="D132" s="140">
        <v>0.5</v>
      </c>
      <c r="E132" s="140">
        <v>0.5</v>
      </c>
      <c r="F132" s="140"/>
      <c r="G132" s="140"/>
      <c r="H132" s="140"/>
      <c r="I132" s="140"/>
      <c r="J132" s="140"/>
      <c r="K132" s="140"/>
      <c r="L132" s="140"/>
      <c r="N132" s="155" t="s">
        <v>293</v>
      </c>
    </row>
    <row r="133" spans="1:14" x14ac:dyDescent="0.25">
      <c r="A133" s="1" t="s">
        <v>229</v>
      </c>
      <c r="B133" s="1"/>
      <c r="C133" s="13" t="str">
        <f>IF(C28="","",C$132*C$131)</f>
        <v/>
      </c>
      <c r="D133" s="13" t="str">
        <f t="shared" ref="D133:L133" si="50">IF(D28="","",D$132*D$131)</f>
        <v/>
      </c>
      <c r="E133" s="13" t="str">
        <f t="shared" si="50"/>
        <v/>
      </c>
      <c r="F133" s="13" t="str">
        <f t="shared" si="50"/>
        <v/>
      </c>
      <c r="G133" s="13" t="str">
        <f t="shared" si="50"/>
        <v/>
      </c>
      <c r="H133" s="13" t="str">
        <f t="shared" si="50"/>
        <v/>
      </c>
      <c r="I133" s="13" t="str">
        <f t="shared" si="50"/>
        <v/>
      </c>
      <c r="J133" s="13" t="str">
        <f t="shared" si="50"/>
        <v/>
      </c>
      <c r="K133" s="13" t="str">
        <f t="shared" si="50"/>
        <v/>
      </c>
      <c r="L133" s="13" t="str">
        <f t="shared" si="50"/>
        <v/>
      </c>
      <c r="N133" s="158" t="s">
        <v>304</v>
      </c>
    </row>
    <row r="134" spans="1:14" x14ac:dyDescent="0.25">
      <c r="A134" s="1" t="s">
        <v>230</v>
      </c>
      <c r="B134" s="1"/>
      <c r="C134" s="13" t="str">
        <f>IF(C29="","",(1-C$132)*C$131)</f>
        <v/>
      </c>
      <c r="D134" s="13" t="str">
        <f t="shared" ref="D134:L134" si="51">IF(D29="","",(1-D$132)*D$131)</f>
        <v/>
      </c>
      <c r="E134" s="13" t="str">
        <f t="shared" si="51"/>
        <v/>
      </c>
      <c r="F134" s="13" t="str">
        <f t="shared" si="51"/>
        <v/>
      </c>
      <c r="G134" s="13" t="str">
        <f t="shared" si="51"/>
        <v/>
      </c>
      <c r="H134" s="13" t="str">
        <f t="shared" si="51"/>
        <v/>
      </c>
      <c r="I134" s="13" t="str">
        <f t="shared" si="51"/>
        <v/>
      </c>
      <c r="J134" s="13" t="str">
        <f t="shared" si="51"/>
        <v/>
      </c>
      <c r="K134" s="13" t="str">
        <f t="shared" si="51"/>
        <v/>
      </c>
      <c r="L134" s="13" t="str">
        <f t="shared" si="51"/>
        <v/>
      </c>
      <c r="N134" s="158" t="s">
        <v>304</v>
      </c>
    </row>
    <row r="135" spans="1:14" x14ac:dyDescent="0.2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304</v>
      </c>
    </row>
    <row r="136" spans="1:14" x14ac:dyDescent="0.2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304</v>
      </c>
    </row>
    <row r="137" spans="1:14" x14ac:dyDescent="0.25">
      <c r="A137" s="1" t="s">
        <v>231</v>
      </c>
      <c r="B137" s="1"/>
      <c r="N137" s="158" t="s">
        <v>294</v>
      </c>
    </row>
    <row r="138" spans="1:14" x14ac:dyDescent="0.25">
      <c r="A138" s="21" t="s">
        <v>232</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295</v>
      </c>
    </row>
    <row r="139" spans="1:14" x14ac:dyDescent="0.25">
      <c r="A139" s="21" t="s">
        <v>222</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296</v>
      </c>
    </row>
    <row r="140" spans="1:14" s="65" customFormat="1" ht="62.45" customHeight="1" x14ac:dyDescent="0.25">
      <c r="A140" s="94" t="s">
        <v>223</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298</v>
      </c>
    </row>
    <row r="141" spans="1:14" s="65" customFormat="1" ht="32.1" customHeight="1" x14ac:dyDescent="0.2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297</v>
      </c>
    </row>
    <row r="142" spans="1:14" x14ac:dyDescent="0.25">
      <c r="A142" s="151" t="s">
        <v>266</v>
      </c>
      <c r="C142" s="19"/>
      <c r="N142" s="158" t="s">
        <v>299</v>
      </c>
    </row>
  </sheetData>
  <mergeCells count="14">
    <mergeCell ref="C7:G7"/>
    <mergeCell ref="A1:G1"/>
    <mergeCell ref="A3:G3"/>
    <mergeCell ref="C4:G4"/>
    <mergeCell ref="C5:G5"/>
    <mergeCell ref="C6:G6"/>
    <mergeCell ref="B15:D15"/>
    <mergeCell ref="A132:B132"/>
    <mergeCell ref="C8:G8"/>
    <mergeCell ref="C9:G9"/>
    <mergeCell ref="C10:G10"/>
    <mergeCell ref="B12:D12"/>
    <mergeCell ref="B13:D13"/>
    <mergeCell ref="B14:D14"/>
  </mergeCells>
  <conditionalFormatting sqref="H73">
    <cfRule type="cellIs" dxfId="43" priority="63" operator="greaterThan">
      <formula>$H$72</formula>
    </cfRule>
  </conditionalFormatting>
  <conditionalFormatting sqref="I73">
    <cfRule type="cellIs" dxfId="42" priority="62" operator="greaterThan">
      <formula>$I$72</formula>
    </cfRule>
  </conditionalFormatting>
  <conditionalFormatting sqref="J73">
    <cfRule type="cellIs" dxfId="41" priority="61" operator="greaterThan">
      <formula>$J$72</formula>
    </cfRule>
  </conditionalFormatting>
  <conditionalFormatting sqref="K73">
    <cfRule type="cellIs" dxfId="40" priority="60" operator="greaterThan">
      <formula>$K$72</formula>
    </cfRule>
  </conditionalFormatting>
  <conditionalFormatting sqref="L73">
    <cfRule type="cellIs" dxfId="39" priority="59" operator="greaterThan">
      <formula>$L$72</formula>
    </cfRule>
  </conditionalFormatting>
  <conditionalFormatting sqref="H81">
    <cfRule type="cellIs" dxfId="38" priority="58" operator="greaterThan">
      <formula>$H$80</formula>
    </cfRule>
  </conditionalFormatting>
  <conditionalFormatting sqref="I81">
    <cfRule type="cellIs" dxfId="37" priority="57" operator="greaterThan">
      <formula>$I$80</formula>
    </cfRule>
  </conditionalFormatting>
  <conditionalFormatting sqref="J81">
    <cfRule type="cellIs" dxfId="36" priority="56" operator="greaterThan">
      <formula>$J$80</formula>
    </cfRule>
  </conditionalFormatting>
  <conditionalFormatting sqref="K81">
    <cfRule type="cellIs" dxfId="35" priority="55" operator="greaterThan">
      <formula>$K$80</formula>
    </cfRule>
  </conditionalFormatting>
  <conditionalFormatting sqref="L81">
    <cfRule type="cellIs" dxfId="34" priority="54" operator="greaterThan">
      <formula>$L$80</formula>
    </cfRule>
  </conditionalFormatting>
  <conditionalFormatting sqref="C89:L89">
    <cfRule type="cellIs" dxfId="33" priority="53" operator="greaterThan">
      <formula>$C$88</formula>
    </cfRule>
  </conditionalFormatting>
  <conditionalFormatting sqref="H97">
    <cfRule type="cellIs" dxfId="32" priority="47" operator="greaterThan">
      <formula>$H$96</formula>
    </cfRule>
  </conditionalFormatting>
  <conditionalFormatting sqref="I97">
    <cfRule type="cellIs" dxfId="31" priority="46" operator="greaterThan">
      <formula>$I$96</formula>
    </cfRule>
  </conditionalFormatting>
  <conditionalFormatting sqref="J97">
    <cfRule type="cellIs" dxfId="30" priority="45" operator="greaterThan">
      <formula>$J$96</formula>
    </cfRule>
  </conditionalFormatting>
  <conditionalFormatting sqref="K97">
    <cfRule type="cellIs" dxfId="29" priority="44" operator="greaterThan">
      <formula>$K$96</formula>
    </cfRule>
  </conditionalFormatting>
  <conditionalFormatting sqref="L97">
    <cfRule type="cellIs" dxfId="28" priority="43" operator="greaterThan">
      <formula>$L$96</formula>
    </cfRule>
  </conditionalFormatting>
  <conditionalFormatting sqref="C105">
    <cfRule type="cellIs" dxfId="27" priority="42" operator="greaterThan">
      <formula>$C$104</formula>
    </cfRule>
  </conditionalFormatting>
  <conditionalFormatting sqref="D105">
    <cfRule type="cellIs" dxfId="26" priority="41" operator="greaterThan">
      <formula>$D$104</formula>
    </cfRule>
  </conditionalFormatting>
  <conditionalFormatting sqref="E105">
    <cfRule type="cellIs" dxfId="25" priority="40" operator="greaterThan">
      <formula>$E$104</formula>
    </cfRule>
  </conditionalFormatting>
  <conditionalFormatting sqref="F105">
    <cfRule type="cellIs" dxfId="24" priority="39" operator="greaterThan">
      <formula>$F$104</formula>
    </cfRule>
  </conditionalFormatting>
  <conditionalFormatting sqref="G105">
    <cfRule type="cellIs" dxfId="23" priority="38" operator="greaterThan">
      <formula>$G$104</formula>
    </cfRule>
  </conditionalFormatting>
  <conditionalFormatting sqref="H105">
    <cfRule type="cellIs" dxfId="22" priority="37" operator="greaterThan">
      <formula>$H$104</formula>
    </cfRule>
  </conditionalFormatting>
  <conditionalFormatting sqref="I105">
    <cfRule type="cellIs" dxfId="21" priority="36" operator="greaterThan">
      <formula>$I$104</formula>
    </cfRule>
  </conditionalFormatting>
  <conditionalFormatting sqref="J105">
    <cfRule type="cellIs" dxfId="20" priority="35" operator="greaterThan">
      <formula>$J$104</formula>
    </cfRule>
  </conditionalFormatting>
  <conditionalFormatting sqref="K105">
    <cfRule type="cellIs" dxfId="19" priority="34" operator="greaterThan">
      <formula>$K$104</formula>
    </cfRule>
  </conditionalFormatting>
  <conditionalFormatting sqref="L105">
    <cfRule type="cellIs" dxfId="18" priority="33" operator="greaterThan">
      <formula>$L$104</formula>
    </cfRule>
  </conditionalFormatting>
  <conditionalFormatting sqref="C65:L65">
    <cfRule type="cellIs" dxfId="17" priority="18" operator="greaterThan">
      <formula>$C$64</formula>
    </cfRule>
  </conditionalFormatting>
  <conditionalFormatting sqref="C73:G73">
    <cfRule type="cellIs" dxfId="16" priority="10" operator="greaterThan">
      <formula>$C$72</formula>
    </cfRule>
  </conditionalFormatting>
  <conditionalFormatting sqref="C81:G81">
    <cfRule type="cellIs" dxfId="15" priority="5" operator="greaterThan">
      <formula>$C$80</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8" operator="equal" id="{FDC729FA-5C2C-4D50-A4A7-3D6761C76856}">
            <xm:f>PowellReleaseTemperature!$B$10</xm:f>
            <x14:dxf>
              <font>
                <color auto="1"/>
              </font>
              <fill>
                <patternFill>
                  <bgColor theme="4"/>
                </patternFill>
              </fill>
            </x14:dxf>
          </x14:cfRule>
          <x14:cfRule type="cellIs" priority="29" operator="equal" id="{3A6008C5-068A-4FAB-B211-EB7C240F3DEA}">
            <xm:f>PowellReleaseTemperature!$B$9</xm:f>
            <x14:dxf>
              <font>
                <color theme="4" tint="-0.24994659260841701"/>
              </font>
              <fill>
                <patternFill>
                  <bgColor theme="8" tint="0.59996337778862885"/>
                </patternFill>
              </fill>
            </x14:dxf>
          </x14:cfRule>
          <x14:cfRule type="cellIs" priority="30" operator="equal" id="{79B8E7E8-066E-4475-A48F-5199EE3D8BFE}">
            <xm:f>PowellReleaseTemperature!$B$8</xm:f>
            <x14:dxf>
              <font>
                <color rgb="FF9C0006"/>
              </font>
              <fill>
                <patternFill>
                  <bgColor rgb="FFFFC7CE"/>
                </patternFill>
              </fill>
            </x14:dxf>
          </x14:cfRule>
          <x14:cfRule type="cellIs" priority="31"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590B7319-E0E9-48A1-834F-F8AFDF2F99E1}">
            <xm:f>PowellReleaseTemperature!$E$5</xm:f>
            <x14:dxf>
              <font>
                <color auto="1"/>
              </font>
              <fill>
                <patternFill>
                  <bgColor rgb="FFFF0000"/>
                </patternFill>
              </fill>
            </x14:dxf>
          </x14:cfRule>
          <x14:cfRule type="cellIs" priority="25" operator="equal" id="{4FDD0B3C-383A-4F44-B8B9-BA5C65EA8377}">
            <xm:f>PowellReleaseTemperature!$E$8</xm:f>
            <x14:dxf>
              <font>
                <color rgb="FF9C0006"/>
              </font>
              <fill>
                <patternFill>
                  <bgColor rgb="FFFFC7CE"/>
                </patternFill>
              </fill>
            </x14:dxf>
          </x14:cfRule>
          <x14:cfRule type="cellIs" priority="26" operator="equal" id="{3CB5E7AA-B917-4E47-839A-0C85FCC34671}">
            <xm:f>PowellReleaseTemperature!$E$9</xm:f>
            <x14:dxf>
              <font>
                <color theme="4" tint="-0.24994659260841701"/>
              </font>
              <fill>
                <patternFill>
                  <bgColor theme="8" tint="0.59996337778862885"/>
                </patternFill>
              </fill>
            </x14:dxf>
          </x14:cfRule>
          <x14:cfRule type="cellIs" priority="27"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4CD1BC81-F0DD-4150-AC8A-EB7D840AE113}">
            <xm:f>PowellReleaseTemperature!$F$10</xm:f>
            <x14:dxf>
              <font>
                <color auto="1"/>
              </font>
              <fill>
                <patternFill>
                  <bgColor theme="4"/>
                </patternFill>
              </fill>
            </x14:dxf>
          </x14:cfRule>
          <x14:cfRule type="cellIs" priority="22" operator="equal" id="{253607B2-DC04-4898-BC73-A255ABEF6E9B}">
            <xm:f>PowellReleaseTemperature!$F$9</xm:f>
            <x14:dxf>
              <font>
                <color theme="4" tint="-0.24994659260841701"/>
              </font>
              <fill>
                <patternFill>
                  <bgColor theme="8" tint="0.59996337778862885"/>
                </patternFill>
              </fill>
            </x14:dxf>
          </x14:cfRule>
          <x14:cfRule type="cellIs" priority="23"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7" id="{1991237B-BC2E-4AB2-871E-A7051D2F0F3B}">
            <x14:iconSet iconSet="3Symbols" custom="1">
              <x14:cfvo type="percent">
                <xm:f>0</xm:f>
              </x14:cfvo>
              <x14:cfvo type="num">
                <xm:f>$C$64</xm:f>
              </x14:cfvo>
              <x14:cfvo type="num">
                <xm:f>$C$64</xm:f>
              </x14:cfvo>
              <x14:cfIcon iconSet="NoIcons" iconId="0"/>
              <x14:cfIcon iconSet="3Symbols2" iconId="0"/>
              <x14:cfIcon iconSet="3Symbols2" iconId="0"/>
            </x14:iconSet>
          </x14:cfRule>
          <xm:sqref>C65:L65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topLeftCell="A2" workbookViewId="0">
      <selection activeCell="X34" sqref="X34"/>
    </sheetView>
  </sheetViews>
  <sheetFormatPr defaultRowHeight="15" x14ac:dyDescent="0.25"/>
  <sheetData>
    <row r="1" spans="7:24" ht="36" x14ac:dyDescent="0.55000000000000004">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137</v>
      </c>
    </row>
    <row r="3" spans="1:16" s="1" customFormat="1" x14ac:dyDescent="0.25">
      <c r="D3" s="220" t="s">
        <v>138</v>
      </c>
      <c r="E3" s="220"/>
      <c r="F3" s="220" t="s">
        <v>139</v>
      </c>
      <c r="G3" s="220"/>
      <c r="H3" s="220"/>
      <c r="I3" s="220" t="s">
        <v>140</v>
      </c>
      <c r="J3" s="220"/>
      <c r="K3" s="220"/>
      <c r="L3" s="148"/>
      <c r="M3" s="220" t="s">
        <v>30</v>
      </c>
      <c r="N3" s="220"/>
      <c r="O3" s="220"/>
    </row>
    <row r="4" spans="1:16" s="51" customFormat="1" ht="42.6" customHeight="1" x14ac:dyDescent="0.2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25">
      <c r="A5" s="26">
        <v>1025</v>
      </c>
      <c r="B5" s="27">
        <v>5.981122</v>
      </c>
      <c r="C5" s="28">
        <v>0</v>
      </c>
      <c r="D5" s="24">
        <v>480</v>
      </c>
      <c r="E5" s="24">
        <v>20</v>
      </c>
      <c r="F5" s="24">
        <v>240</v>
      </c>
      <c r="G5" s="24">
        <v>10</v>
      </c>
      <c r="H5" s="24">
        <v>350</v>
      </c>
      <c r="I5" s="146">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7">
        <f t="shared" ref="P5:P13" si="5">SUM(L5,O5)</f>
        <v>1.375</v>
      </c>
    </row>
    <row r="6" spans="1:16" x14ac:dyDescent="0.25">
      <c r="A6" s="26">
        <v>1030</v>
      </c>
      <c r="B6" s="27">
        <v>6.305377</v>
      </c>
      <c r="C6" s="28">
        <f t="shared" ref="C6:C12" si="6">B5</f>
        <v>5.981122</v>
      </c>
      <c r="D6" s="24">
        <v>400</v>
      </c>
      <c r="E6" s="24">
        <v>17</v>
      </c>
      <c r="F6" s="24">
        <v>240</v>
      </c>
      <c r="G6" s="24">
        <v>10</v>
      </c>
      <c r="H6" s="24">
        <v>350</v>
      </c>
      <c r="I6" s="146">
        <f t="shared" si="0"/>
        <v>640</v>
      </c>
      <c r="J6" s="24">
        <f t="shared" si="1"/>
        <v>27</v>
      </c>
      <c r="K6" s="24">
        <f t="shared" si="2"/>
        <v>350</v>
      </c>
      <c r="L6" s="32">
        <f t="shared" si="3"/>
        <v>1.0169999999999999</v>
      </c>
      <c r="M6" s="24">
        <v>70</v>
      </c>
      <c r="N6" s="24">
        <v>101</v>
      </c>
      <c r="O6" s="24">
        <f t="shared" si="4"/>
        <v>0.17100000000000001</v>
      </c>
      <c r="P6" s="147">
        <f t="shared" si="5"/>
        <v>1.1879999999999999</v>
      </c>
    </row>
    <row r="7" spans="1:16" x14ac:dyDescent="0.25">
      <c r="A7" s="26">
        <v>1035</v>
      </c>
      <c r="B7" s="27">
        <v>6.6375080000000004</v>
      </c>
      <c r="C7" s="28">
        <f t="shared" si="6"/>
        <v>6.305377</v>
      </c>
      <c r="D7" s="24">
        <v>400</v>
      </c>
      <c r="E7" s="24">
        <v>17</v>
      </c>
      <c r="F7" s="24">
        <v>240</v>
      </c>
      <c r="G7" s="24">
        <v>10</v>
      </c>
      <c r="H7" s="24">
        <v>300</v>
      </c>
      <c r="I7" s="146">
        <f t="shared" si="0"/>
        <v>640</v>
      </c>
      <c r="J7" s="24">
        <f t="shared" si="1"/>
        <v>27</v>
      </c>
      <c r="K7" s="24">
        <f t="shared" si="2"/>
        <v>300</v>
      </c>
      <c r="L7" s="32">
        <f t="shared" si="3"/>
        <v>0.96699999999999997</v>
      </c>
      <c r="M7" s="24">
        <v>70</v>
      </c>
      <c r="N7" s="24">
        <v>92</v>
      </c>
      <c r="O7" s="24">
        <f t="shared" si="4"/>
        <v>0.16200000000000001</v>
      </c>
      <c r="P7" s="147">
        <f t="shared" si="5"/>
        <v>1.129</v>
      </c>
    </row>
    <row r="8" spans="1:16" x14ac:dyDescent="0.25">
      <c r="A8" s="26">
        <v>1040</v>
      </c>
      <c r="B8" s="27">
        <v>6.977665</v>
      </c>
      <c r="C8" s="28">
        <f t="shared" si="6"/>
        <v>6.6375080000000004</v>
      </c>
      <c r="D8" s="24">
        <v>400</v>
      </c>
      <c r="E8" s="24">
        <v>17</v>
      </c>
      <c r="F8" s="24">
        <v>240</v>
      </c>
      <c r="G8" s="24">
        <v>10</v>
      </c>
      <c r="H8" s="24">
        <v>250</v>
      </c>
      <c r="I8" s="146">
        <f t="shared" si="0"/>
        <v>640</v>
      </c>
      <c r="J8" s="24">
        <f t="shared" si="1"/>
        <v>27</v>
      </c>
      <c r="K8" s="24">
        <f t="shared" si="2"/>
        <v>250</v>
      </c>
      <c r="L8" s="32">
        <f t="shared" si="3"/>
        <v>0.91700000000000004</v>
      </c>
      <c r="M8" s="24">
        <v>70</v>
      </c>
      <c r="N8" s="24">
        <v>84</v>
      </c>
      <c r="O8" s="24">
        <f t="shared" si="4"/>
        <v>0.154</v>
      </c>
      <c r="P8" s="147">
        <f t="shared" si="5"/>
        <v>1.071</v>
      </c>
    </row>
    <row r="9" spans="1:16" x14ac:dyDescent="0.25">
      <c r="A9" s="26">
        <v>1045</v>
      </c>
      <c r="B9" s="27">
        <v>7.3260519999999998</v>
      </c>
      <c r="C9" s="28">
        <f t="shared" si="6"/>
        <v>6.977665</v>
      </c>
      <c r="D9" s="24">
        <v>400</v>
      </c>
      <c r="E9" s="24">
        <v>17</v>
      </c>
      <c r="F9" s="24">
        <v>240</v>
      </c>
      <c r="G9" s="24">
        <v>10</v>
      </c>
      <c r="H9" s="24">
        <v>200</v>
      </c>
      <c r="I9" s="146">
        <f t="shared" si="0"/>
        <v>640</v>
      </c>
      <c r="J9" s="24">
        <f t="shared" si="1"/>
        <v>27</v>
      </c>
      <c r="K9" s="24">
        <f t="shared" si="2"/>
        <v>200</v>
      </c>
      <c r="L9" s="32">
        <f t="shared" si="3"/>
        <v>0.86699999999999999</v>
      </c>
      <c r="M9" s="24">
        <v>70</v>
      </c>
      <c r="N9" s="24">
        <v>76</v>
      </c>
      <c r="O9" s="24">
        <f t="shared" si="4"/>
        <v>0.14599999999999999</v>
      </c>
      <c r="P9" s="147">
        <f t="shared" si="5"/>
        <v>1.0129999999999999</v>
      </c>
    </row>
    <row r="10" spans="1:16" x14ac:dyDescent="0.25">
      <c r="A10" s="26">
        <v>1050</v>
      </c>
      <c r="B10" s="27">
        <v>7.6828779999999997</v>
      </c>
      <c r="C10" s="28">
        <f t="shared" si="6"/>
        <v>7.3260519999999998</v>
      </c>
      <c r="D10" s="24">
        <v>400</v>
      </c>
      <c r="E10" s="24">
        <v>17</v>
      </c>
      <c r="F10" s="24">
        <v>192</v>
      </c>
      <c r="G10" s="24">
        <v>8</v>
      </c>
      <c r="H10" s="24">
        <v>0</v>
      </c>
      <c r="I10" s="146">
        <f t="shared" si="0"/>
        <v>592</v>
      </c>
      <c r="J10" s="24">
        <f t="shared" si="1"/>
        <v>25</v>
      </c>
      <c r="K10" s="24">
        <f t="shared" si="2"/>
        <v>0</v>
      </c>
      <c r="L10" s="32">
        <f t="shared" si="3"/>
        <v>0.61699999999999999</v>
      </c>
      <c r="M10" s="24">
        <v>70</v>
      </c>
      <c r="N10" s="24">
        <v>34</v>
      </c>
      <c r="O10" s="24">
        <f t="shared" si="4"/>
        <v>0.104</v>
      </c>
      <c r="P10" s="147">
        <f t="shared" si="5"/>
        <v>0.72099999999999997</v>
      </c>
    </row>
    <row r="11" spans="1:16" x14ac:dyDescent="0.25">
      <c r="A11" s="26">
        <v>1075</v>
      </c>
      <c r="B11" s="27">
        <v>9.6009879999900001</v>
      </c>
      <c r="C11" s="28">
        <f t="shared" si="6"/>
        <v>7.6828779999999997</v>
      </c>
      <c r="D11" s="24">
        <v>320</v>
      </c>
      <c r="E11" s="24">
        <v>13</v>
      </c>
      <c r="F11" s="24">
        <v>192</v>
      </c>
      <c r="G11" s="24">
        <v>8</v>
      </c>
      <c r="H11" s="24">
        <v>0</v>
      </c>
      <c r="I11" s="146">
        <f t="shared" si="0"/>
        <v>512</v>
      </c>
      <c r="J11" s="24">
        <f t="shared" si="1"/>
        <v>21</v>
      </c>
      <c r="K11" s="24">
        <f t="shared" si="2"/>
        <v>0</v>
      </c>
      <c r="L11" s="32">
        <f t="shared" si="3"/>
        <v>0.53300000000000003</v>
      </c>
      <c r="M11" s="24">
        <v>50</v>
      </c>
      <c r="N11" s="24">
        <v>30</v>
      </c>
      <c r="O11" s="147">
        <f t="shared" si="4"/>
        <v>0.08</v>
      </c>
      <c r="P11" s="147">
        <f t="shared" si="5"/>
        <v>0.61299999999999999</v>
      </c>
    </row>
    <row r="12" spans="1:16" x14ac:dyDescent="0.25">
      <c r="A12" s="26">
        <v>1090</v>
      </c>
      <c r="B12" s="27">
        <v>10.857008</v>
      </c>
      <c r="C12" s="28">
        <f t="shared" si="6"/>
        <v>9.6009879999900001</v>
      </c>
      <c r="D12" s="24">
        <v>0</v>
      </c>
      <c r="E12" s="24">
        <v>0</v>
      </c>
      <c r="F12" s="24">
        <v>192</v>
      </c>
      <c r="G12" s="24">
        <v>8</v>
      </c>
      <c r="H12" s="24">
        <v>0</v>
      </c>
      <c r="I12" s="146">
        <f t="shared" si="0"/>
        <v>192</v>
      </c>
      <c r="J12" s="24">
        <f t="shared" si="1"/>
        <v>8</v>
      </c>
      <c r="K12" s="24">
        <f t="shared" si="2"/>
        <v>0</v>
      </c>
      <c r="L12" s="32">
        <f t="shared" si="3"/>
        <v>0.2</v>
      </c>
      <c r="M12" s="24">
        <v>0</v>
      </c>
      <c r="N12" s="24">
        <v>41</v>
      </c>
      <c r="O12" s="24">
        <f t="shared" si="4"/>
        <v>4.1000000000000002E-2</v>
      </c>
      <c r="P12" s="147">
        <f t="shared" si="5"/>
        <v>0.24100000000000002</v>
      </c>
    </row>
    <row r="13" spans="1:16" x14ac:dyDescent="0.2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25">
      <c r="B14" s="57"/>
    </row>
    <row r="15" spans="1:16" x14ac:dyDescent="0.25">
      <c r="B15" s="55"/>
      <c r="C15" s="56"/>
    </row>
    <row r="16" spans="1:16" x14ac:dyDescent="0.25">
      <c r="A16" t="s">
        <v>148</v>
      </c>
    </row>
    <row r="17" spans="1:16" x14ac:dyDescent="0.25">
      <c r="A17" s="52">
        <v>1091</v>
      </c>
    </row>
    <row r="18" spans="1:16" x14ac:dyDescent="0.2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2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2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2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2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2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2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2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25">
      <c r="A26" s="25">
        <v>955</v>
      </c>
    </row>
    <row r="29" spans="1:16" x14ac:dyDescent="0.25">
      <c r="A29" s="26"/>
      <c r="I29" s="9"/>
      <c r="L29" s="20"/>
      <c r="O29" s="2"/>
      <c r="P29" s="53"/>
    </row>
    <row r="30" spans="1:16" x14ac:dyDescent="0.25">
      <c r="A30" s="26"/>
      <c r="I30" s="9"/>
      <c r="L30" s="20"/>
      <c r="O30" s="2"/>
      <c r="P30" s="53"/>
    </row>
    <row r="31" spans="1:16" x14ac:dyDescent="0.25">
      <c r="A31" s="26"/>
      <c r="I31" s="9"/>
      <c r="L31" s="20"/>
      <c r="O31" s="2"/>
      <c r="P31" s="53"/>
    </row>
    <row r="32" spans="1:16" x14ac:dyDescent="0.25">
      <c r="A32" s="26"/>
      <c r="I32" s="9"/>
      <c r="L32" s="20"/>
      <c r="O32" s="2"/>
      <c r="P32" s="53"/>
    </row>
    <row r="33" spans="1:16" x14ac:dyDescent="0.25">
      <c r="A33" s="26"/>
      <c r="I33" s="9"/>
      <c r="L33" s="20"/>
      <c r="O33" s="2"/>
      <c r="P33" s="53"/>
    </row>
    <row r="34" spans="1:16" x14ac:dyDescent="0.25">
      <c r="A34" s="26"/>
      <c r="I34" s="9"/>
      <c r="L34" s="20"/>
      <c r="O34" s="2"/>
      <c r="P34" s="53"/>
    </row>
    <row r="35" spans="1:16" x14ac:dyDescent="0.25">
      <c r="A35" s="26"/>
      <c r="I35" s="9"/>
      <c r="L35" s="20"/>
      <c r="O35" s="2"/>
      <c r="P35" s="53"/>
    </row>
    <row r="36" spans="1:16" x14ac:dyDescent="0.2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36</v>
      </c>
    </row>
    <row r="3" spans="1:24" x14ac:dyDescent="0.25">
      <c r="A3" t="s">
        <v>58</v>
      </c>
    </row>
    <row r="5" spans="1:24" s="1" customFormat="1" x14ac:dyDescent="0.2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2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2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2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2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2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2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2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2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2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2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2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25">
      <c r="A18" s="1" t="s">
        <v>73</v>
      </c>
    </row>
    <row r="19" spans="1:21" x14ac:dyDescent="0.2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2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2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5" x14ac:dyDescent="0.25"/>
  <cols>
    <col min="1" max="1" width="10.85546875" style="65" customWidth="1"/>
    <col min="2" max="2" width="12.7109375" style="65" customWidth="1"/>
    <col min="3" max="3" width="9.42578125" style="65" customWidth="1"/>
    <col min="4" max="4" width="46.28515625" style="65" customWidth="1"/>
    <col min="5" max="5" width="14.42578125" style="95" customWidth="1"/>
    <col min="6" max="6" width="10.5703125" style="2" customWidth="1"/>
    <col min="7" max="7" width="10.5703125" style="19" customWidth="1"/>
  </cols>
  <sheetData>
    <row r="1" spans="1:9" x14ac:dyDescent="0.25">
      <c r="A1" s="64" t="s">
        <v>164</v>
      </c>
    </row>
    <row r="2" spans="1:9" x14ac:dyDescent="0.25">
      <c r="A2" s="65" t="s">
        <v>165</v>
      </c>
    </row>
    <row r="3" spans="1:9" x14ac:dyDescent="0.25">
      <c r="I3" s="1" t="s">
        <v>257</v>
      </c>
    </row>
    <row r="4" spans="1:9" s="58" customFormat="1" ht="45" x14ac:dyDescent="0.25">
      <c r="A4" s="39" t="s">
        <v>166</v>
      </c>
      <c r="B4" s="39" t="s">
        <v>171</v>
      </c>
      <c r="C4" s="39" t="s">
        <v>172</v>
      </c>
      <c r="D4" s="40" t="s">
        <v>167</v>
      </c>
      <c r="E4" s="39" t="s">
        <v>186</v>
      </c>
      <c r="F4" s="39" t="s">
        <v>187</v>
      </c>
      <c r="G4" s="133" t="s">
        <v>218</v>
      </c>
    </row>
    <row r="5" spans="1:9" s="58" customFormat="1" ht="60" x14ac:dyDescent="0.2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60" x14ac:dyDescent="0.2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60" x14ac:dyDescent="0.25">
      <c r="A7" s="73">
        <v>3490</v>
      </c>
      <c r="B7" s="74" t="s">
        <v>178</v>
      </c>
      <c r="C7" s="74" t="s">
        <v>173</v>
      </c>
      <c r="D7" s="75" t="s">
        <v>170</v>
      </c>
      <c r="E7" s="97" t="str">
        <f>E6</f>
        <v>Highly uncertain</v>
      </c>
      <c r="F7" s="96" t="s">
        <v>188</v>
      </c>
      <c r="G7" s="134">
        <f>VLOOKUP(A7,'Powell-Elevation-Area'!$A$5:$B$689,2)/1000000</f>
        <v>3.9971625</v>
      </c>
    </row>
    <row r="8" spans="1:9" ht="90" x14ac:dyDescent="0.25">
      <c r="A8" s="76">
        <v>3525</v>
      </c>
      <c r="B8" s="77" t="s">
        <v>177</v>
      </c>
      <c r="C8" s="77" t="s">
        <v>173</v>
      </c>
      <c r="D8" s="78" t="s">
        <v>169</v>
      </c>
      <c r="E8" s="98" t="s">
        <v>190</v>
      </c>
      <c r="F8" s="98" t="s">
        <v>193</v>
      </c>
      <c r="G8" s="135">
        <f>VLOOKUP(A8,'Powell-Elevation-Area'!$A$5:$B$689,2)/1000000</f>
        <v>5.9265762500000001</v>
      </c>
    </row>
    <row r="9" spans="1:9" ht="45" x14ac:dyDescent="0.25">
      <c r="A9" s="79">
        <v>3600</v>
      </c>
      <c r="B9" s="80" t="s">
        <v>176</v>
      </c>
      <c r="C9" s="80" t="s">
        <v>173</v>
      </c>
      <c r="D9" s="81" t="s">
        <v>184</v>
      </c>
      <c r="E9" s="99" t="s">
        <v>185</v>
      </c>
      <c r="F9" s="99" t="str">
        <f>F8</f>
        <v>Help grow + incubate</v>
      </c>
      <c r="G9" s="136">
        <f>VLOOKUP(A9,'Powell-Elevation-Area'!$A$5:$B$689,2)/1000000</f>
        <v>11.750075000000001</v>
      </c>
    </row>
    <row r="10" spans="1:9" ht="120" x14ac:dyDescent="0.25">
      <c r="A10" s="82">
        <v>3675</v>
      </c>
      <c r="B10" s="83" t="s">
        <v>175</v>
      </c>
      <c r="C10" s="83" t="s">
        <v>173</v>
      </c>
      <c r="D10" s="84" t="s">
        <v>168</v>
      </c>
      <c r="E10" s="100" t="s">
        <v>192</v>
      </c>
      <c r="F10" s="100" t="s">
        <v>194</v>
      </c>
      <c r="G10" s="137">
        <f>VLOOKUP(A10,'Powell-Elevation-Area'!$A$5:$B$689,2)/1000000</f>
        <v>20.539037499999999</v>
      </c>
    </row>
    <row r="11" spans="1:9" ht="120" x14ac:dyDescent="0.2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25">
      <c r="D13" s="66"/>
    </row>
    <row r="14" spans="1:9" ht="16.5" x14ac:dyDescent="0.25">
      <c r="D14" s="66"/>
    </row>
    <row r="15" spans="1:9" ht="16.5" x14ac:dyDescent="0.2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8</v>
      </c>
    </row>
    <row r="2" spans="1:19" x14ac:dyDescent="0.25">
      <c r="A2" t="s">
        <v>9</v>
      </c>
    </row>
    <row r="4" spans="1:19" x14ac:dyDescent="0.25">
      <c r="A4" s="3" t="s">
        <v>10</v>
      </c>
      <c r="B4" s="3" t="s">
        <v>11</v>
      </c>
      <c r="C4" s="3" t="s">
        <v>12</v>
      </c>
      <c r="D4" s="3" t="s">
        <v>13</v>
      </c>
      <c r="E4" s="4" t="s">
        <v>14</v>
      </c>
      <c r="G4" s="3" t="s">
        <v>15</v>
      </c>
      <c r="H4" s="3" t="s">
        <v>16</v>
      </c>
      <c r="J4" s="3" t="s">
        <v>17</v>
      </c>
    </row>
    <row r="5" spans="1:19" x14ac:dyDescent="0.25">
      <c r="A5" s="5">
        <v>3370</v>
      </c>
      <c r="B5" s="6">
        <v>0</v>
      </c>
      <c r="C5" s="6">
        <v>1895000</v>
      </c>
      <c r="D5" s="6">
        <v>20303</v>
      </c>
      <c r="E5" s="2">
        <v>1</v>
      </c>
      <c r="G5" s="7">
        <f>C5</f>
        <v>1895000</v>
      </c>
      <c r="H5" s="8">
        <f>A5</f>
        <v>3370</v>
      </c>
      <c r="J5" t="s">
        <v>18</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19</v>
      </c>
      <c r="K7" t="s">
        <v>13</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20</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ReadMe-Directions</vt:lpstr>
      <vt:lpstr>Versions</vt:lpstr>
      <vt:lpstr>Master</vt:lpstr>
      <vt:lpstr>Master-LawOfRiver</vt:lpstr>
      <vt:lpstr>Master-Plots</vt:lpstr>
      <vt:lpstr>MandatoryConservation</vt:lpstr>
      <vt:lpstr>HydrologicScenarios</vt:lpstr>
      <vt:lpstr>PowellReleaseTemperature</vt:lpstr>
      <vt:lpstr>Powell-Elevation-Area</vt:lpstr>
      <vt:lpstr>Mead-Elevation-Area</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2022-04-01T00:03:55Z</dcterms:modified>
</cp:coreProperties>
</file>