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A8813F00-685A-4E01-9DF8-1ADAC6BDAD00}" xr6:coauthVersionLast="36" xr6:coauthVersionMax="36" xr10:uidLastSave="{00000000-0000-0000-0000-000000000000}"/>
  <bookViews>
    <workbookView xWindow="0" yWindow="0" windowWidth="19200" windowHeight="6650" firstSheet="1" activeTab="3"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D94" i="47"/>
  <c r="C94" i="47"/>
  <c r="C70" i="47" s="1"/>
  <c r="D86" i="47"/>
  <c r="C86" i="47"/>
  <c r="C78" i="47" s="1"/>
  <c r="D70"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C35" i="60" s="1"/>
  <c r="D35" i="60" s="1"/>
  <c r="E35" i="60" s="1"/>
  <c r="F35" i="60" s="1"/>
  <c r="G35" i="60" s="1"/>
  <c r="H35" i="60" s="1"/>
  <c r="I35" i="60" s="1"/>
  <c r="J35" i="60" s="1"/>
  <c r="K35" i="60" s="1"/>
  <c r="L35" i="60" s="1"/>
  <c r="A1" i="60"/>
  <c r="D36" i="60" l="1"/>
  <c r="D37" i="60" s="1"/>
  <c r="D45" i="60" s="1"/>
  <c r="D46" i="60" s="1"/>
  <c r="E33" i="60"/>
  <c r="D34" i="60"/>
  <c r="C36" i="60"/>
  <c r="C37" i="60" s="1"/>
  <c r="C45" i="60" s="1"/>
  <c r="C44" i="60" l="1"/>
  <c r="C43" i="60" s="1"/>
  <c r="C42" i="60" s="1"/>
  <c r="C41" i="60" s="1"/>
  <c r="C40" i="60" s="1"/>
  <c r="C48" i="60" s="1"/>
  <c r="C46" i="60"/>
  <c r="D44" i="60"/>
  <c r="D43" i="60" s="1"/>
  <c r="D38" i="60"/>
  <c r="E34" i="60"/>
  <c r="F33" i="60"/>
  <c r="E36" i="60"/>
  <c r="E37" i="60" s="1"/>
  <c r="E45" i="60" s="1"/>
  <c r="D42" i="60" l="1"/>
  <c r="D41" i="60" s="1"/>
  <c r="D40" i="60" s="1"/>
  <c r="D48" i="60" s="1"/>
  <c r="F36" i="60"/>
  <c r="F37" i="60" s="1"/>
  <c r="F45" i="60" s="1"/>
  <c r="G33" i="60"/>
  <c r="E46" i="60"/>
  <c r="E44" i="60" s="1"/>
  <c r="E43" i="60" s="1"/>
  <c r="E42" i="60" s="1"/>
  <c r="E41" i="60" s="1"/>
  <c r="E40" i="60" s="1"/>
  <c r="E48" i="60" s="1"/>
  <c r="E38" i="60"/>
  <c r="F34" i="60"/>
  <c r="F46" i="60" l="1"/>
  <c r="F44" i="60" s="1"/>
  <c r="F43" i="60" s="1"/>
  <c r="F38" i="60"/>
  <c r="G34" i="60"/>
  <c r="G36" i="60"/>
  <c r="G37" i="60" s="1"/>
  <c r="G45" i="60" s="1"/>
  <c r="H33" i="60"/>
  <c r="F42" i="60" l="1"/>
  <c r="F41" i="60" s="1"/>
  <c r="F40" i="60" s="1"/>
  <c r="F48" i="60" s="1"/>
  <c r="H36" i="60"/>
  <c r="H37" i="60" s="1"/>
  <c r="H45" i="60" s="1"/>
  <c r="I33" i="60"/>
  <c r="G46" i="60"/>
  <c r="G44" i="60" s="1"/>
  <c r="G43" i="60" s="1"/>
  <c r="G38" i="60"/>
  <c r="H34" i="60"/>
  <c r="G42" i="60" l="1"/>
  <c r="G41" i="60" s="1"/>
  <c r="G40" i="60" s="1"/>
  <c r="G48" i="60" s="1"/>
  <c r="H46" i="60"/>
  <c r="H44" i="60" s="1"/>
  <c r="H43" i="60" s="1"/>
  <c r="H42" i="60" s="1"/>
  <c r="H41" i="60" s="1"/>
  <c r="H40" i="60" s="1"/>
  <c r="H48" i="60" s="1"/>
  <c r="H38" i="60"/>
  <c r="I34" i="60"/>
  <c r="I36" i="60"/>
  <c r="I37" i="60" s="1"/>
  <c r="I45" i="60" s="1"/>
  <c r="J33" i="60"/>
  <c r="I46" i="60" l="1"/>
  <c r="I44" i="60" s="1"/>
  <c r="I43" i="60" s="1"/>
  <c r="I42" i="60" s="1"/>
  <c r="I41" i="60" s="1"/>
  <c r="I38" i="60"/>
  <c r="J34" i="60"/>
  <c r="K33" i="60"/>
  <c r="J36" i="60"/>
  <c r="J37" i="60" s="1"/>
  <c r="J45" i="60" s="1"/>
  <c r="H50" i="60" l="1"/>
  <c r="I40" i="60"/>
  <c r="I48" i="60" s="1"/>
  <c r="J46" i="60"/>
  <c r="J44" i="60" s="1"/>
  <c r="J43" i="60" s="1"/>
  <c r="J42" i="60" s="1"/>
  <c r="J41" i="60" s="1"/>
  <c r="J40" i="60" s="1"/>
  <c r="J48" i="60" s="1"/>
  <c r="L33" i="60"/>
  <c r="K36" i="60"/>
  <c r="K37" i="60" s="1"/>
  <c r="K45" i="60" s="1"/>
  <c r="J38" i="60"/>
  <c r="K34" i="60"/>
  <c r="K38" i="60" l="1"/>
  <c r="L34" i="60"/>
  <c r="L38" i="60" s="1"/>
  <c r="K46" i="60"/>
  <c r="K44" i="60" s="1"/>
  <c r="K43" i="60" s="1"/>
  <c r="K42" i="60" s="1"/>
  <c r="K41" i="60" s="1"/>
  <c r="K40" i="60" s="1"/>
  <c r="K48" i="60" s="1"/>
  <c r="L36" i="60" l="1"/>
  <c r="L37" i="60" s="1"/>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111" i="57"/>
  <c r="M111" i="57" s="1"/>
  <c r="M69" i="57"/>
  <c r="D81" i="57"/>
  <c r="D120" i="57" s="1"/>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<sst xmlns="http://schemas.openxmlformats.org/spreadsheetml/2006/main" count="808" uniqueCount="409">
  <si>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</si>
  <si>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</si>
  <si>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</si>
  <si>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</si>
  <si>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</si>
  <si>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</si>
  <si>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</si>
  <si>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</si>
  <si>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</si>
  <si>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</si>
  <si>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</si>
  <si>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</si>
  <si>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</si>
  <si>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</si>
  <si>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</si>
  <si>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</si>
  <si>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</si>
  <si>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</si>
  <si>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</si>
  <si>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</si>
  <si>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</si>
  <si>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</si>
  <si>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</si>
  <si>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</si>
  <si>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</si>
  <si>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</si>
  <si>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</si>
  <si>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</si>
  <si>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</si>
  <si>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</si>
  <si>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</si>
  <si>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</si>
  <si>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</si>
  <si>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</si>
  <si>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</si>
  <si>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</si>
  <si>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</si>
  <si>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</si>
  <si>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</si>
  <si>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</si>
  <si>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</si>
  <si>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</si>
  <si>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</si>
  <si>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</si>
  <si>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</si>
  <si>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</si>
  <si>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</si>
  <si>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</si>
  <si>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</si>
  <si>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</si>
  <si>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</si>
  <si>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</si>
  <si>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</si>
  <si>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</si>
  <si>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</si>
  <si>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</si>
  <si>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</si>
  <si>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</si>
  <si>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</si>
  <si>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</si>
  <si>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</si>
  <si>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</si>
  <si>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</si>
  <si>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</si>
  <si>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</si>
  <si>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</si>
  <si>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</si>
  <si>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</si>
  <si>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</si>
  <si>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</si>
  <si>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</si>
  <si>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</si>
  <si>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</si>
  <si>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</si>
  <si>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</si>
  <si>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</si>
  <si>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</si>
  <si>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</si>
  <si>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</si>
  <si>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</si>
  <si>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</si>
  <si>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</si>
  <si>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</si>
  <si>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</si>
  <si>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</si>
  <si>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</si>
  <si>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</si>
  <si>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</si>
  <si>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</si>
  <si>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</si>
  <si>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</si>
  <si>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</si>
  <si>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</si>
  <si>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</si>
  <si>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</si>
  <si>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</si>
  <si>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</si>
  <si>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</si>
  <si>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</si>
  <si>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</si>
  <si>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</si>
  <si>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</si>
  <si>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</si>
  <si>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</si>
  <si>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</si>
  <si>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</si>
  <si>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</si>
  <si>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</si>
  <si>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</si>
  <si>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</si>
  <si>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</si>
  <si>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</si>
  <si>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</si>
  <si>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</si>
  <si>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</si>
  <si>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</si>
  <si>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</si>
  <si>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</si>
  <si>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</si>
  <si>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</si>
  <si>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</si>
  <si>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</si>
  <si>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</si>
  <si>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</si>
  <si>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</si>
  <si>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</si>
  <si>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</si>
  <si>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</si>
  <si>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</si>
  <si>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</si>
  <si>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</si>
  <si>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</si>
  <si>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</si>
  <si>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</si>
  <si>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</si>
  <si>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</si>
  <si>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</si>
  <si>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</si>
  <si>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</si>
  <si>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</si>
  <si>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</si>
  <si>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</si>
  <si>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</si>
  <si>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</si>
  <si>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</si>
  <si>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</si>
  <si>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</si>
  <si>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</si>
  <si>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</si>
  <si>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</si>
  <si>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</si>
  <si>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</si>
  <si>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</si>
  <si>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</si>
  <si>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</si>
  <si>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</si>
  <si>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</si>
  <si>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</si>
  <si>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</si>
  <si>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</si>
  <si>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</si>
  <si>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</si>
  <si>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</si>
  <si>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</si>
  <si>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</si>
  <si>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</si>
  <si>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</si>
  <si>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</si>
  <si>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</si>
  <si>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</si>
  <si>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</si>
  <si>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</si>
  <si>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</si>
  <si>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</si>
  <si>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</si>
  <si>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</si>
  <si>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</si>
  <si>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</si>
  <si>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</si>
  <si>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</si>
  <si>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</si>
  <si>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</si>
  <si>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</si>
  <si>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</si>
  <si>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</si>
  <si>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</si>
  <si>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</si>
  <si>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</si>
  <si>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</si>
  <si>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</si>
  <si>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</si>
  <si>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</si>
  <si>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</si>
  <si>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</si>
  <si>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</si>
  <si>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</si>
  <si>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</si>
  <si>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</si>
  <si>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</si>
  <si>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</si>
  <si>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</si>
  <si>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</si>
  <si>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</si>
  <si>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</si>
  <si>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</si>
  <si>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</si>
  <si>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</si>
  <si>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</si>
  <si>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</si>
  <si>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</si>
  <si>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</si>
  <si>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</si>
  <si>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</si>
  <si>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</si>
  <si>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</si>
  <si>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</si>
  <si>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</si>
  <si>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</si>
  <si>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</si>
  <si>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</si>
  <si>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</si>
  <si>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</si>
  <si>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</si>
  <si>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</si>
  <si>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</si>
  <si>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</si>
  <si>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</si>
  <si>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</si>
  <si>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</si>
  <si>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</si>
  <si>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</si>
  <si>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</si>
  <si>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</si>
  <si>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</si>
  <si>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</si>
  <si>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</si>
  <si>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</si>
  <si>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</si>
  <si>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</si>
  <si>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</si>
  <si>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</si>
  <si>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</si>
  <si>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</si>
  <si>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</si>
  <si>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</si>
  <si>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</si>
  <si>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</si>
  <si>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</si>
  <si>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</si>
  <si>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</si>
  <si>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</si>
  <si>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</si>
  <si>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</si>
  <si>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</si>
  <si>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</si>
  <si>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</si>
  <si>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</si>
  <si>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</si>
  <si>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</si>
  <si>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</si>
  <si>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</si>
  <si>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</si>
  <si>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</si>
  <si>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</si>
  <si>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</si>
  <si>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</si>
  <si>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</si>
  <si>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</si>
  <si>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</si>
  <si>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</si>
  <si>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</si>
  <si>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</si>
  <si>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</si>
  <si>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</si>
  <si>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</si>
  <si>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</si>
  <si>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</si>
  <si>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</si>
  <si>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</si>
  <si>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</si>
  <si>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</si>
  <si>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</si>
  <si>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</si>
  <si>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</si>
  <si>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</si>
  <si>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</si>
  <si>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</si>
  <si>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</si>
  <si>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</si>
  <si>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</si>
  <si>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</si>
  <si>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</si>
  <si>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</si>
  <si>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</si>
  <si>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</si>
  <si>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</si>
  <si>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</si>
  <si>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</si>
  <si>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</si>
  <si>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</si>
  <si>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</si>
  <si>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</si>
  <si>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</si>
  <si>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</si>
  <si>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</si>
  <si>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</si>
  <si>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</si>
  <si>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</si>
  <si>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</si>
  <si>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</si>
  <si>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</si>
  <si>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</si>
  <si>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</si>
  <si>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</si>
  <si>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</si>
  <si>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</si>
  <si>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</si>
  <si>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</si>
  <si>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</si>
  <si>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</si>
  <si>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</si>
  <si>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</si>
  <si>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</si>
  <si>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</si>
  <si>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</si>
  <si>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</si>
  <si>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</si>
  <si>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</si>
  <si>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</si>
  <si>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</si>
  <si>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</si>
  <si>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</si>
  <si>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</si>
  <si>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</si>
  <si>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</si>
  <si>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</si>
  <si>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</si>
  <si>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</si>
  <si>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</si>
  <si>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</si>
  <si>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</si>
  <si>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</si>
  <si>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</si>
  <si>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</si>
  <si>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</si>
  <si>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</si>
  <si>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</si>
  <si>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</si>
  <si>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</si>
  <si>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</si>
  <si>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</si>
  <si>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</si>
  <si>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</si>
  <si>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</si>
  <si>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</si>
  <si>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</si>
  <si>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</si>
  <si>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</si>
  <si>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</si>
  <si>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</si>
  <si>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</si>
  <si>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</si>
  <si>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</si>
  <si>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VISUALS of KEY IDEAS</t>
  </si>
  <si>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</si>
  <si>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</si>
  <si>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</si>
  <si>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</si>
  <si>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</si>
  <si>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</si>
  <si>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</si>
  <si>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</si>
  <si>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</si>
  <si>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</si>
  <si>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</si>
  <si>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</si>
  <si>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</si>
  <si>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</si>
  <si>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</si>
  <si>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</si>
  <si>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</si>
  <si>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</si>
  <si>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</si>
  <si>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</si>
  <si>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</si>
  <si>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</si>
  <si>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</si>
  <si>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</si>
  <si>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</si>
  <si>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</si>
  <si>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</si>
  <si>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</si>
  <si>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</si>
  <si>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</si>
  <si>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</si>
  <si>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</si>
  <si>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</si>
  <si>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</si>
  <si>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</si>
  <si>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</si>
  <si>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</si>
  <si>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</si>
  <si>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</si>
  <si>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</si>
  <si>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</si>
  <si>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</si>
  <si>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</si>
  <si>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</si>
  <si>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when those account balances go negate. The sale amount is the difference between Withdraw and Available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</si>
</sst>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6" fillId="21" borderId="2" xfId="6" applyFill="1" applyBorder="1" applyAlignment="1">
      <alignment horizontal="left"/>
    </xf>
    <xf numFmtId="0" fontId="6" fillId="21" borderId="3" xfId="6" applyFill="1" applyBorder="1" applyAlignment="1">
      <alignment horizontal="left"/>
    </xf>
    <xf numFmtId="0" fontId="6" fillId="21" borderId="4" xfId="6"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1.25</c:v>
                </c:pt>
                <c:pt idx="1">
                  <c:v>1.2</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4.2</c:v>
                </c:pt>
                <c:pt idx="1">
                  <c:v>4.1900000000000004</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2.6204172582733354</c:v>
                </c:pt>
                <c:pt idx="1">
                  <c:v>2.5249062310843744</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0.73041725827333348</c:v>
                </c:pt>
                <c:pt idx="1">
                  <c:v>9.9999999999997868E-3</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5.6</c:v>
                </c:pt>
                <c:pt idx="1">
                  <c:v>4.4000000000000004</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6.8860000000000001</c:v>
                </c:pt>
                <c:pt idx="1">
                  <c:v>6.4859999999999998</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1.9206576451362052</c:v>
                </c:pt>
                <c:pt idx="1">
                  <c:v>0.57619188055761672</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3.4121748865155155</c:v>
                </c:pt>
                <c:pt idx="1">
                  <c:v>3.1313756238091983</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17.892685295000604</c:v>
                </c:pt>
                <c:pt idx="1">
                  <c:v>17.678391372500627</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14.421800237529336</c:v>
                </c:pt>
                <c:pt idx="1">
                  <c:v>10.091435659957499</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Research/ColoradoRiver/RCode/ColoradoRiverCoding2/ModelMusings/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sheetData sheetId="2"/>
      <sheetData sheetId="3"/>
      <sheetData sheetId="4"/>
      <sheetData sheetId="5" refreshError="1"/>
      <sheetData sheetId="6"/>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sheetData sheetId="9"/>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row r="677">
          <cell r="A677"/>
          <cell r="B677"/>
        </row>
        <row r="678">
          <cell r="A678"/>
          <cell r="B678"/>
        </row>
        <row r="679">
          <cell r="A679"/>
          <cell r="B679"/>
        </row>
        <row r="680">
          <cell r="A680"/>
          <cell r="B680"/>
        </row>
        <row r="681">
          <cell r="A681"/>
          <cell r="B681"/>
        </row>
        <row r="682">
          <cell r="A682"/>
          <cell r="B682"/>
        </row>
        <row r="683">
          <cell r="A683"/>
          <cell r="B683"/>
        </row>
        <row r="684">
          <cell r="A684"/>
          <cell r="B684"/>
        </row>
        <row r="685">
          <cell r="A685"/>
          <cell r="B685"/>
        </row>
        <row r="686">
          <cell r="A686"/>
          <cell r="B686"/>
        </row>
        <row r="687">
          <cell r="A687"/>
          <cell r="B687"/>
        </row>
        <row r="688">
          <cell r="A688"/>
          <cell r="B688"/>
        </row>
        <row r="689">
          <cell r="A689"/>
          <cell r="B689"/>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raw/main/ModelMusings/ColoradoRiverBasinAccounts-KeyIdeas.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opLeftCell="A31" zoomScale="150" zoomScaleNormal="150" workbookViewId="0">
      <selection activeCell="C42" sqref="C42:L42"/>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380</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378</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8" t="s">
        <v>379</v>
      </c>
      <c r="B7" s="249"/>
      <c r="C7" s="249"/>
      <c r="D7" s="249"/>
      <c r="E7" s="249"/>
      <c r="F7" s="249"/>
      <c r="G7" s="249"/>
      <c r="H7" s="249"/>
      <c r="I7" s="249"/>
      <c r="J7" s="249"/>
      <c r="K7" s="249"/>
      <c r="L7" s="250"/>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3" t="s">
        <v>350</v>
      </c>
      <c r="B12" s="244"/>
      <c r="C12" s="244"/>
      <c r="D12" s="244"/>
      <c r="E12" s="244"/>
      <c r="F12" s="244"/>
      <c r="G12" s="244"/>
      <c r="H12" s="244"/>
      <c r="I12" s="244"/>
      <c r="J12" s="244"/>
      <c r="K12" s="244"/>
      <c r="L12" s="245"/>
      <c r="N12" s="1"/>
    </row>
    <row r="13" spans="1:18" s="94" customFormat="1" ht="16.5" customHeight="1" x14ac:dyDescent="0.35">
      <c r="A13" s="222" t="s">
        <v>366</v>
      </c>
      <c r="B13" s="223"/>
      <c r="C13" s="223"/>
      <c r="D13" s="223"/>
      <c r="E13" s="223"/>
      <c r="F13" s="223"/>
      <c r="G13" s="223"/>
      <c r="H13" s="223"/>
      <c r="I13" s="223"/>
      <c r="J13" s="223"/>
      <c r="K13" s="223"/>
      <c r="L13" s="224"/>
      <c r="N13" s="1"/>
    </row>
    <row r="14" spans="1:18" s="94" customFormat="1" ht="15" customHeight="1" x14ac:dyDescent="0.35">
      <c r="A14" s="183">
        <v>1</v>
      </c>
      <c r="B14" s="213" t="s">
        <v>365</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367</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6" t="s">
        <v>372</v>
      </c>
      <c r="C28" s="246"/>
      <c r="D28" s="246"/>
      <c r="E28" s="246"/>
      <c r="F28" s="246"/>
      <c r="G28" s="246"/>
      <c r="H28" s="246"/>
      <c r="I28" s="246"/>
      <c r="J28" s="246"/>
      <c r="K28" s="246"/>
      <c r="L28" s="247"/>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40" t="s">
        <v>363</v>
      </c>
      <c r="B30" s="241"/>
      <c r="C30" s="241"/>
      <c r="D30" s="241"/>
      <c r="E30" s="241"/>
      <c r="F30" s="241"/>
      <c r="G30" s="241"/>
      <c r="H30" s="241"/>
      <c r="I30" s="241"/>
      <c r="J30" s="241"/>
      <c r="K30" s="241"/>
      <c r="L30" s="242"/>
    </row>
    <row r="31" spans="1:14" s="1" customFormat="1" ht="16.5" customHeight="1" x14ac:dyDescent="0.35">
      <c r="A31" s="189" t="s">
        <v>364</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403</v>
      </c>
      <c r="C39" s="215" t="s">
        <v>404</v>
      </c>
      <c r="D39" s="215"/>
      <c r="E39" s="215"/>
      <c r="F39" s="215"/>
      <c r="G39" s="215"/>
      <c r="H39" s="215"/>
      <c r="I39" s="215"/>
      <c r="J39" s="215"/>
      <c r="K39" s="215"/>
      <c r="L39" s="216"/>
    </row>
    <row r="40" spans="1:12" ht="15.5" customHeight="1" x14ac:dyDescent="0.35">
      <c r="A40" s="196"/>
      <c r="B40" s="197" t="s">
        <v>403</v>
      </c>
      <c r="C40" s="215" t="s">
        <v>405</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381</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8" t="s">
        <v>242</v>
      </c>
      <c r="B3" s="278"/>
      <c r="C3" s="278"/>
      <c r="D3" s="142" t="s">
        <v>241</v>
      </c>
    </row>
    <row r="4" spans="1:4" ht="30" customHeight="1" x14ac:dyDescent="0.35">
      <c r="A4" s="279" t="s">
        <v>238</v>
      </c>
      <c r="B4" s="279"/>
      <c r="C4" s="279"/>
      <c r="D4" s="205" t="s">
        <v>382</v>
      </c>
    </row>
    <row r="5" spans="1:4" ht="43.5" x14ac:dyDescent="0.35">
      <c r="A5" s="283" t="s">
        <v>383</v>
      </c>
      <c r="B5" s="280"/>
      <c r="C5" s="280"/>
      <c r="D5" s="206" t="s">
        <v>384</v>
      </c>
    </row>
    <row r="6" spans="1:4" ht="57.5" customHeight="1" x14ac:dyDescent="0.35">
      <c r="A6" s="281" t="s">
        <v>385</v>
      </c>
      <c r="B6" s="281"/>
      <c r="C6" s="281"/>
      <c r="D6" s="207" t="s">
        <v>386</v>
      </c>
    </row>
    <row r="7" spans="1:4" ht="29" x14ac:dyDescent="0.35">
      <c r="A7" s="282" t="s">
        <v>33</v>
      </c>
      <c r="B7" s="282"/>
      <c r="C7" s="282"/>
      <c r="D7" s="208" t="s">
        <v>387</v>
      </c>
    </row>
    <row r="11" spans="1:4" x14ac:dyDescent="0.35">
      <c r="A11" s="279" t="s">
        <v>238</v>
      </c>
      <c r="B11" s="279"/>
      <c r="C11" s="279"/>
    </row>
    <row r="12" spans="1:4" x14ac:dyDescent="0.35">
      <c r="A12" s="280" t="s">
        <v>239</v>
      </c>
      <c r="B12" s="280"/>
      <c r="C12" s="280"/>
    </row>
    <row r="13" spans="1:4" x14ac:dyDescent="0.35">
      <c r="A13" s="281" t="s">
        <v>240</v>
      </c>
      <c r="B13" s="281"/>
      <c r="C13" s="281"/>
    </row>
    <row r="14" spans="1:4" x14ac:dyDescent="0.35">
      <c r="A14" s="282" t="s">
        <v>33</v>
      </c>
      <c r="B14" s="282"/>
      <c r="C14" s="282"/>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87" x14ac:dyDescent="0.35">
      <c r="A3" s="62">
        <v>44699</v>
      </c>
      <c r="B3" s="167" t="s">
        <v>407</v>
      </c>
      <c r="C3" s="61" t="s">
        <v>408</v>
      </c>
      <c r="D3" s="60" t="s">
        <v>95</v>
      </c>
      <c r="E3" s="60" t="s">
        <v>95</v>
      </c>
      <c r="F3" s="62"/>
      <c r="H3" s="41"/>
      <c r="I3" s="41"/>
      <c r="J3" s="42"/>
    </row>
    <row r="4" spans="1:10" ht="29" x14ac:dyDescent="0.35">
      <c r="A4" s="62">
        <v>44698</v>
      </c>
      <c r="B4" s="167" t="s">
        <v>401</v>
      </c>
      <c r="C4" s="61" t="s">
        <v>402</v>
      </c>
      <c r="D4" s="60" t="s">
        <v>95</v>
      </c>
      <c r="E4" s="60" t="s">
        <v>95</v>
      </c>
      <c r="F4" s="62"/>
      <c r="H4" s="41"/>
      <c r="I4" s="41"/>
      <c r="J4" s="43"/>
    </row>
    <row r="5" spans="1:10" ht="40.5" customHeight="1" x14ac:dyDescent="0.35">
      <c r="A5" s="62">
        <v>44676</v>
      </c>
      <c r="B5" s="167" t="s">
        <v>373</v>
      </c>
      <c r="C5" s="61" t="s">
        <v>374</v>
      </c>
      <c r="D5" s="60" t="s">
        <v>95</v>
      </c>
      <c r="E5" s="60" t="s">
        <v>95</v>
      </c>
      <c r="F5" s="62"/>
      <c r="H5" s="41"/>
      <c r="I5" s="41"/>
      <c r="J5" s="43"/>
    </row>
    <row r="6" spans="1:10" ht="38.5" customHeight="1" x14ac:dyDescent="0.35">
      <c r="A6" s="62">
        <v>44656</v>
      </c>
      <c r="B6" s="167" t="s">
        <v>376</v>
      </c>
      <c r="C6" s="61" t="s">
        <v>377</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77" zoomScale="150" zoomScaleNormal="150" workbookViewId="0">
      <selection activeCell="C29" sqref="C29"/>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369</v>
      </c>
      <c r="B2" s="1"/>
    </row>
    <row r="3" spans="1:14" ht="32.15" customHeight="1" x14ac:dyDescent="0.35">
      <c r="A3" s="261" t="s">
        <v>392</v>
      </c>
      <c r="B3" s="261"/>
      <c r="C3" s="261"/>
      <c r="D3" s="261"/>
      <c r="E3" s="261"/>
      <c r="F3" s="261"/>
      <c r="G3" s="261"/>
      <c r="H3" s="91"/>
      <c r="I3" s="91"/>
      <c r="J3" s="91"/>
      <c r="K3" s="91"/>
      <c r="N3" s="153" t="s">
        <v>296</v>
      </c>
    </row>
    <row r="4" spans="1:14" x14ac:dyDescent="0.35">
      <c r="A4" s="141" t="s">
        <v>235</v>
      </c>
      <c r="B4" s="141" t="s">
        <v>31</v>
      </c>
      <c r="C4" s="262" t="s">
        <v>32</v>
      </c>
      <c r="D4" s="263"/>
      <c r="E4" s="263"/>
      <c r="F4" s="263"/>
      <c r="G4" s="264"/>
      <c r="N4" s="155" t="s">
        <v>260</v>
      </c>
    </row>
    <row r="5" spans="1:14" x14ac:dyDescent="0.35">
      <c r="A5" s="101" t="s">
        <v>28</v>
      </c>
      <c r="B5" s="181"/>
      <c r="C5" s="265"/>
      <c r="D5" s="260"/>
      <c r="E5" s="260"/>
      <c r="F5" s="260"/>
      <c r="G5" s="260"/>
      <c r="N5" s="159"/>
    </row>
    <row r="6" spans="1:14" x14ac:dyDescent="0.35">
      <c r="A6" s="101" t="s">
        <v>29</v>
      </c>
      <c r="B6" s="181"/>
      <c r="C6" s="265"/>
      <c r="D6" s="260"/>
      <c r="E6" s="260"/>
      <c r="F6" s="260"/>
      <c r="G6" s="260"/>
      <c r="N6" s="159"/>
    </row>
    <row r="7" spans="1:14" x14ac:dyDescent="0.35">
      <c r="A7" s="101" t="s">
        <v>30</v>
      </c>
      <c r="B7" s="181"/>
      <c r="C7" s="265"/>
      <c r="D7" s="260"/>
      <c r="E7" s="260"/>
      <c r="F7" s="260"/>
      <c r="G7" s="260"/>
      <c r="N7" s="159"/>
    </row>
    <row r="8" spans="1:14" x14ac:dyDescent="0.35">
      <c r="A8" s="127" t="s">
        <v>94</v>
      </c>
      <c r="B8" s="126"/>
      <c r="C8" s="260"/>
      <c r="D8" s="260"/>
      <c r="E8" s="260"/>
      <c r="F8" s="260"/>
      <c r="G8" s="260"/>
      <c r="N8" s="159"/>
    </row>
    <row r="9" spans="1:14" x14ac:dyDescent="0.35">
      <c r="A9" s="152" t="s">
        <v>334</v>
      </c>
      <c r="B9" s="101"/>
      <c r="C9" s="266"/>
      <c r="D9" s="266"/>
      <c r="E9" s="266"/>
      <c r="F9" s="266"/>
      <c r="G9" s="266"/>
      <c r="N9" s="159"/>
    </row>
    <row r="10" spans="1:14" x14ac:dyDescent="0.35">
      <c r="A10" s="128" t="s">
        <v>97</v>
      </c>
      <c r="B10" s="128"/>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385</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406</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13.5</v>
      </c>
      <c r="D28" s="108">
        <v>8</v>
      </c>
      <c r="E28" s="108"/>
      <c r="F28" s="108"/>
      <c r="G28" s="108"/>
      <c r="H28" s="108"/>
      <c r="I28" s="108"/>
      <c r="J28" s="108"/>
      <c r="K28" s="108"/>
      <c r="L28" s="108"/>
      <c r="N28" s="155" t="s">
        <v>270</v>
      </c>
    </row>
    <row r="29" spans="1:14" x14ac:dyDescent="0.35">
      <c r="A29" s="1" t="s">
        <v>86</v>
      </c>
      <c r="B29" s="1"/>
      <c r="C29" s="107">
        <f>IF(C$28&lt;&gt;"",0.8,"")</f>
        <v>0.8</v>
      </c>
      <c r="D29" s="107">
        <f t="shared" ref="D29:L29" si="0">IF(D$28&lt;&gt;"",0.8,"")</f>
        <v>0.8</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f>IF(C$28&lt;&gt;"",0.2,"")</f>
        <v>0.2</v>
      </c>
      <c r="D30" s="107">
        <f t="shared" ref="D30:L30" si="1">IF(D$28&lt;&gt;"",0.2,"")</f>
        <v>0.2</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f>IF(C$28&lt;&gt;"",0.6,"")</f>
        <v>0.6</v>
      </c>
      <c r="D31" s="107">
        <f t="shared" ref="D31:L31" si="2">IF(D$28&lt;&gt;"",0.6,"")</f>
        <v>0.6</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f>IF(C$28&lt;&gt;"",SUM(B19:C19),"")</f>
        <v>13.7</v>
      </c>
      <c r="D32" s="13">
        <f ca="1">IF(D$28&lt;&gt;"",C131,"")</f>
        <v>17.892685295000604</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f>IF(OR(C$28="",$A33=""),"",B33)</f>
        <v>1.342375000000029E-2</v>
      </c>
      <c r="D33" s="13">
        <f t="shared" ref="D33:D38" ca="1" si="5">IF(OR(D$28="",$A33=""),"",C125)</f>
        <v>2.6204172582733354</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f t="shared" ref="C34:C38" si="7">IF(OR(C$28="",$A34=""),"",B34)</f>
        <v>1.9214069999999999</v>
      </c>
      <c r="D34" s="13">
        <f t="shared" ca="1" si="5"/>
        <v>3.4121748865155155</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f t="shared" si="7"/>
        <v>0.17399999999999999</v>
      </c>
      <c r="D35" s="36">
        <f t="shared" ca="1" si="5"/>
        <v>-1.1144139644945206E-3</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f t="shared" si="7"/>
        <v>0</v>
      </c>
      <c r="D36" s="13">
        <f t="shared" ca="1" si="5"/>
        <v>2.5555555555555554E-2</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f t="shared" si="7"/>
        <v>0</v>
      </c>
      <c r="D37" s="13">
        <f t="shared" ca="1" si="5"/>
        <v>0.24448275862068947</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f t="shared" si="7"/>
        <v>11.59116925</v>
      </c>
      <c r="D38" s="13">
        <f t="shared" ca="1" si="5"/>
        <v>11.59116925</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f>IF(C$28&lt;&gt;"",IF(COLUMN(C27)=COLUMN($C27),$B$19,B133),"")</f>
        <v>5.94</v>
      </c>
      <c r="D40" s="13">
        <f t="shared" ref="D40:L40" ca="1" si="9">IF(D$28&lt;&gt;"",IF(COLUMN(D27)=COLUMN($C27),$B$19,C133),"")</f>
        <v>8.9463426475003018</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f>IF(C$28&lt;&gt;"",IF(COLUMN(C28)=COLUMN($C28),$C$19,B134),"")</f>
        <v>7.76</v>
      </c>
      <c r="D41" s="13">
        <f t="shared" ref="D41:L41" ca="1" si="10">IF(D$28&lt;&gt;"",IF(COLUMN(D28)=COLUMN($C28),$C$19,C134),"")</f>
        <v>8.9463426475003018</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f>IF(C$28&lt;&gt;"",VLOOKUP(C40*1000000,'Powell-Elevation-Area'!$B$5:$D$689,3)*$B$18/1000000 + VLOOKUP(C41*1000000,'Mead-Elevation-Area'!$B$5:$D$676,3)*$C$18/1000000,"")</f>
        <v>0.78731470499940004</v>
      </c>
      <c r="D42" s="13">
        <f ca="1">IF(D$28&lt;&gt;"",VLOOKUP(D40*1000000,'Powell-Elevation-Area'!$B$5:$D$689,3)*$B$18/1000000 + VLOOKUP(D41*1000000,'Mead-Elevation-Area'!$B$5:$D$676,3)*$C$18/1000000,"")</f>
        <v>0.925293922499973</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f t="shared" ref="C43:L43" si="12">IF(OR(C$28="",$A43=""),"",C$42*C33/C$32)</f>
        <v>7.7143910738948355E-4</v>
      </c>
      <c r="D43" s="13">
        <f t="shared" ca="1" si="12"/>
        <v>0.13551102718896157</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f t="shared" ref="C44:L44" si="13">IF(OR(C$28="",$A44=""),"",C$42*C34/C$32)</f>
        <v>0.11041985294808629</v>
      </c>
      <c r="D44" s="13">
        <f t="shared" ca="1" si="13"/>
        <v>0.17645560925849474</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f t="shared" ref="C45:L45" si="14">IF(OR(C$28="",$A45=""),"",C$42*C35/C$32)</f>
        <v>9.9994714357588034E-3</v>
      </c>
      <c r="D45" s="13">
        <f t="shared" ca="1" si="14"/>
        <v>-5.7630280279058902E-5</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f t="shared" ref="C46:L46" si="15">IF(OR(C$28="",$A46=""),"",C$42*C36/C$32)</f>
        <v>0</v>
      </c>
      <c r="D46" s="13">
        <f t="shared" ca="1" si="15"/>
        <v>1.3215679956251739E-3</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f t="shared" ref="C47:L47" si="16">IF(OR(C$28="",$A47=""),"",C$42*C37/C$32)</f>
        <v>0</v>
      </c>
      <c r="D47" s="13">
        <f t="shared" ca="1" si="16"/>
        <v>1.2643066536857915E-2</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f t="shared" ref="C48:L48" si="17">IF(OR(C$28="",$A48=""),"",C$42*C38/C$32)</f>
        <v>0.66612394150816545</v>
      </c>
      <c r="D48" s="13">
        <f t="shared" ca="1" si="17"/>
        <v>0.59942028180031248</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f>IF(C$28&lt;&gt;"",1.5-0.21/9/2-VLOOKUP(C41,MandatoryConservation!$C$5:$P$13,13)-C57*(1.5/8.7),"")</f>
        <v>1.3048850574712643</v>
      </c>
      <c r="D49" s="33">
        <f ca="1">IF(D$28&lt;&gt;"",1.5-0.21/9/2-VLOOKUP(D41,MandatoryConservation!$C$5:$P$13,13)-D57*(1.5/8.7),"")</f>
        <v>1.3048850574712643</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f>IF(C28="","",SUM(C28:C30))</f>
        <v>14.5</v>
      </c>
      <c r="D50" s="13">
        <f t="shared" ref="D50:L50" si="18">IF(D28="","",SUM(D28:D30))</f>
        <v>9</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f>IF(OR(C$28="",$A52=""),"",MAX(0,C50-SUM(C52:C57)))</f>
        <v>3.8577649473807245</v>
      </c>
      <c r="D51" s="87">
        <f t="shared" ref="D51:G51" ca="1" si="20">IF(OR(D$28="",$A52=""),"",MAX(0,D50-SUM(D52:D57)))</f>
        <v>1.2400000000000002</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f>IF(OR(C$28="",$A52=""),"",IF(C50&lt;=SUM(C53:C57),0,IF(C50&lt;=SUM(C53:C57)+2*$B$25,(C50-SUM(C53:C57))/2,IF(C50&lt;=SUM(C53:C57)+2*$B$25+$B$52-$B$25,C50-SUM(C53:C57)-$B$25,$B$52))))</f>
        <v>6.1111877394636007</v>
      </c>
      <c r="D52" s="87">
        <f t="shared" ref="D52:G52" ca="1" si="26">IF(OR(D$28="",$A52=""),"",IF(D50&lt;=SUM(D53:D57),0,IF(D50&lt;=SUM(D53:D57)+2*$B$25,(D50-SUM(D53:D57))/2,IF(D50&lt;=SUM(D53:D57)+2*$B$25+$B$52-$B$25,D50-SUM(D53:D57)-$B$25,$B$52))))</f>
        <v>3.2956563465521787</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400</v>
      </c>
      <c r="C53" s="88">
        <f>IF(OR(C$28="",$A53=""),"",MIN(C49,C$50-SUM(C54:C57)))</f>
        <v>1.3048850574712643</v>
      </c>
      <c r="D53" s="88">
        <f t="shared" ref="D53:G53" ca="1" si="32">IF(OR(D$28="",$A53=""),"",MIN(D49,D$50-SUM(D54:D57)))</f>
        <v>1.3048850574712643</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f>IF(OR(C$28="",$A54=""),"",MIN($B54,C$50-SUM(C55:C57)))</f>
        <v>1.5555555555555553E-2</v>
      </c>
      <c r="D54" s="116">
        <f t="shared" ref="D54:G54" ca="1" si="38">IF(OR(D$28="",$A54=""),"",MIN($B54,D$50-SUM(D55:D57)))</f>
        <v>1.5555555555555553E-2</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f>IF(OR(C$28="",$A55=""),"",MIN($B55,C$50-SUM(C56:C57)))</f>
        <v>1.9444827586206894</v>
      </c>
      <c r="D55" s="87">
        <f t="shared" ref="D55:G55" ca="1" si="44">IF(OR(D$28="",$A55=""),"",MIN($B55,D$50-SUM(D56:D57)))</f>
        <v>1.9444827586206894</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f>IF(OR(C$28="",$A56=""),"",IF(C$50&gt;C48,C48,C50))</f>
        <v>0.66612394150816545</v>
      </c>
      <c r="D56" s="170">
        <f t="shared" ref="D56:G56" ca="1" si="50">IF(OR(D$28="",$A56=""),"",IF(D$50&gt;D48,D48,D50))</f>
        <v>0.59942028180031248</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f>IF(OR(C$28="",$A57=""),"",MIN(C31,C50-C56))</f>
        <v>0.6</v>
      </c>
      <c r="D57" s="171">
        <f t="shared" ref="D57:G57" ca="1" si="52">IF(OR(D$28="",$A57=""),"",MIN(D31,D50-D56))</f>
        <v>0.6</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388</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f t="shared" ref="C63:M63" ca="1" si="58">IF(OR(C$28="",$A63=""),"",C$116)</f>
        <v>1.1102230246251565E-16</v>
      </c>
      <c r="D63" s="48">
        <f t="shared" ca="1" si="58"/>
        <v>0</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f>IF(OR(C$28="",$A64=""),"",C33+C51-C43+C61)</f>
        <v>3.8704172582733354</v>
      </c>
      <c r="D64" s="13">
        <f t="shared" ref="D64:L64" ca="1" si="59">IF(OR(D$28="",$A64=""),"",D33+D51-D43+D61)</f>
        <v>3.7249062310843741</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v>1.25</v>
      </c>
      <c r="D65" s="104">
        <v>1.2</v>
      </c>
      <c r="E65" s="104"/>
      <c r="F65" s="104"/>
      <c r="G65" s="104"/>
      <c r="H65" s="104"/>
      <c r="I65" s="104"/>
      <c r="J65" s="104"/>
      <c r="K65" s="104"/>
      <c r="L65" s="104"/>
      <c r="N65" s="158" t="s">
        <v>295</v>
      </c>
    </row>
    <row r="66" spans="1:14" x14ac:dyDescent="0.35">
      <c r="A66" s="21" t="str">
        <f>IF(A65="","","   End of Year Balance [maf]")</f>
        <v xml:space="preserve">   End of Year Balance [maf]</v>
      </c>
      <c r="C66" s="47">
        <f>IF(OR(C$28="",$A66=""),"",C64-C65)</f>
        <v>2.6204172582733354</v>
      </c>
      <c r="D66" s="47">
        <f t="shared" ref="D66:L66" ca="1" si="60">IF(OR(D$28="",$A66=""),"",D64-D65)</f>
        <v>2.5249062310843744</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v>1.0900000000000001</v>
      </c>
      <c r="D69" s="102">
        <v>1</v>
      </c>
      <c r="E69" s="102"/>
      <c r="F69" s="102"/>
      <c r="G69" s="102"/>
      <c r="H69" s="102"/>
      <c r="I69" s="102"/>
      <c r="J69" s="102"/>
      <c r="K69" s="102"/>
      <c r="L69" s="102"/>
      <c r="M69" s="48">
        <f>SUM(C69:L69)</f>
        <v>2.09</v>
      </c>
      <c r="N69" s="161" t="s">
        <v>279</v>
      </c>
    </row>
    <row r="70" spans="1:14" x14ac:dyDescent="0.35">
      <c r="A70" s="139" t="str">
        <f>IF(A69="","",$A$62)</f>
        <v xml:space="preserve">   Enter compensation to Buy(-) or Sell(+) [$ Mill]</v>
      </c>
      <c r="C70" s="103">
        <f>-C94 +(-0.49*800)</f>
        <v>-992</v>
      </c>
      <c r="D70" s="103">
        <f>-D69*1200</f>
        <v>-1200</v>
      </c>
      <c r="E70" s="103"/>
      <c r="F70" s="103"/>
      <c r="G70" s="103"/>
      <c r="H70" s="103"/>
      <c r="I70" s="103"/>
      <c r="J70" s="103"/>
      <c r="K70" s="103"/>
      <c r="L70" s="103"/>
      <c r="M70" s="46">
        <f>SUM(C70:L70)</f>
        <v>-2192</v>
      </c>
      <c r="N70" s="162" t="s">
        <v>280</v>
      </c>
    </row>
    <row r="71" spans="1:14" x14ac:dyDescent="0.35">
      <c r="A71" s="145" t="str">
        <f>IF(A70="","",$A$63)</f>
        <v xml:space="preserve">   Net trade volume all participants (should be zero)</v>
      </c>
      <c r="C71" s="48">
        <f t="shared" ref="C71:M71" ca="1" si="61">IF(OR(C$28="",$A71=""),"",C$116)</f>
        <v>1.1102230246251565E-16</v>
      </c>
      <c r="D71" s="48">
        <f t="shared" ca="1" si="61"/>
        <v>0</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f>IF(OR(C$28="",$A72=""),"",C34+C52-C44+C69)</f>
        <v>9.0121748865155151</v>
      </c>
      <c r="D72" s="13">
        <f t="shared" ref="D72:L72" ca="1" si="62">IF(OR(D$28="",$A72=""),"",D34+D52-D44+D69)</f>
        <v>7.5313756238091987</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v>5.6</v>
      </c>
      <c r="D73" s="104">
        <v>4.4000000000000004</v>
      </c>
      <c r="E73" s="104"/>
      <c r="F73" s="104"/>
      <c r="G73" s="104"/>
      <c r="H73" s="104"/>
      <c r="I73" s="104"/>
      <c r="J73" s="104"/>
      <c r="K73" s="104"/>
      <c r="L73" s="104"/>
      <c r="N73" s="158" t="s">
        <v>295</v>
      </c>
    </row>
    <row r="74" spans="1:14" x14ac:dyDescent="0.35">
      <c r="A74" s="21" t="str">
        <f>IF(A73="","","   End of Year Balance [maf]")</f>
        <v xml:space="preserve">   End of Year Balance [maf]</v>
      </c>
      <c r="C74" s="47">
        <f>IF(OR(C$28="",$A74=""),"",C72-C73)</f>
        <v>3.4121748865155155</v>
      </c>
      <c r="D74" s="47">
        <f t="shared" ref="D74:L74" ca="1" si="63">IF(OR(D$28="",$A74=""),"",D72-D73)</f>
        <v>3.1313756238091983</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v>-0.5</v>
      </c>
      <c r="D77" s="102"/>
      <c r="E77" s="102"/>
      <c r="F77" s="102"/>
      <c r="G77" s="102"/>
      <c r="H77" s="102"/>
      <c r="I77" s="102"/>
      <c r="J77" s="102"/>
      <c r="K77" s="102"/>
      <c r="L77" s="102"/>
      <c r="M77" s="48">
        <f>SUM(C77:L77)</f>
        <v>-0.5</v>
      </c>
      <c r="N77" s="161" t="s">
        <v>279</v>
      </c>
    </row>
    <row r="78" spans="1:14" x14ac:dyDescent="0.35">
      <c r="A78" s="139" t="str">
        <f>IF(A77="","",$A$62)</f>
        <v xml:space="preserve">   Enter compensation to Buy(-) or Sell(+) [$ Mill]</v>
      </c>
      <c r="C78" s="103">
        <f>C86 +(0.49*800)</f>
        <v>388</v>
      </c>
      <c r="D78" s="103"/>
      <c r="E78" s="103"/>
      <c r="F78" s="103"/>
      <c r="G78" s="103"/>
      <c r="H78" s="103"/>
      <c r="I78" s="103"/>
      <c r="J78" s="103"/>
      <c r="K78" s="103"/>
      <c r="L78" s="103"/>
      <c r="M78" s="46">
        <f>SUM(C78:L78)</f>
        <v>388</v>
      </c>
      <c r="N78" s="162" t="s">
        <v>280</v>
      </c>
    </row>
    <row r="79" spans="1:14" x14ac:dyDescent="0.35">
      <c r="A79" s="145" t="str">
        <f>IF(A78="","",$A$63)</f>
        <v xml:space="preserve">   Net trade volume all participants (should be zero)</v>
      </c>
      <c r="C79" s="48">
        <f t="shared" ref="C79:M79" ca="1" si="64">IF(OR(C$28="",$A79=""),"",C$116)</f>
        <v>1.1102230246251565E-16</v>
      </c>
      <c r="D79" s="48">
        <f t="shared" ca="1" si="64"/>
        <v>0</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f>IF(OR(C$28="",$A80=""),"",C35+C53-C45+C77)</f>
        <v>0.96888558603550545</v>
      </c>
      <c r="D80" s="13">
        <f t="shared" ref="D80:L80" ca="1" si="65">IF(OR(D$28="",$A80=""),"",D35+D53-D45+D77)</f>
        <v>1.3038282737870488</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v>0.97</v>
      </c>
      <c r="D81" s="104">
        <v>1</v>
      </c>
      <c r="E81" s="104"/>
      <c r="F81" s="104"/>
      <c r="G81" s="104"/>
      <c r="H81" s="104"/>
      <c r="I81" s="104"/>
      <c r="J81" s="104"/>
      <c r="K81" s="104"/>
      <c r="L81" s="104"/>
      <c r="N81" s="158" t="s">
        <v>295</v>
      </c>
    </row>
    <row r="82" spans="1:14" x14ac:dyDescent="0.35">
      <c r="A82" s="21" t="str">
        <f>IF(A81="","","   End of Year Balance [maf]")</f>
        <v xml:space="preserve">   End of Year Balance [maf]</v>
      </c>
      <c r="C82" s="47">
        <f>IF(OR(C$28="",$A82=""),"",C80-C81)</f>
        <v>-1.1144139644945206E-3</v>
      </c>
      <c r="D82" s="47">
        <f t="shared" ref="D82:L82" ca="1" si="66">IF(OR(D$28="",$A82=""),"",D80-D81)</f>
        <v>0.3038282737870488</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v>0.01</v>
      </c>
      <c r="D85" s="102">
        <v>0.05</v>
      </c>
      <c r="E85" s="102"/>
      <c r="F85" s="102"/>
      <c r="G85" s="102"/>
      <c r="H85" s="102"/>
      <c r="I85" s="102"/>
      <c r="J85" s="102"/>
      <c r="K85" s="102"/>
      <c r="L85" s="102"/>
      <c r="M85" s="48">
        <f>SUM(C85:L85)</f>
        <v>6.0000000000000005E-2</v>
      </c>
      <c r="N85" s="161" t="s">
        <v>279</v>
      </c>
    </row>
    <row r="86" spans="1:14" x14ac:dyDescent="0.35">
      <c r="A86" s="139" t="str">
        <f>IF(A85="","",$A$62)</f>
        <v xml:space="preserve">   Enter compensation to Buy(-) or Sell(+) [$ Mill]</v>
      </c>
      <c r="C86" s="103">
        <f>-400*C85</f>
        <v>-4</v>
      </c>
      <c r="D86" s="103">
        <f>-400*D85</f>
        <v>-20</v>
      </c>
      <c r="E86" s="103"/>
      <c r="F86" s="103"/>
      <c r="G86" s="103"/>
      <c r="H86" s="103"/>
      <c r="I86" s="103"/>
      <c r="J86" s="103"/>
      <c r="K86" s="103"/>
      <c r="L86" s="103"/>
      <c r="M86" s="46">
        <f>SUM(C86:L86)</f>
        <v>-24</v>
      </c>
      <c r="N86" s="162" t="s">
        <v>280</v>
      </c>
    </row>
    <row r="87" spans="1:14" x14ac:dyDescent="0.35">
      <c r="A87" s="145" t="str">
        <f>IF(A86="","",$A$63)</f>
        <v xml:space="preserve">   Net trade volume all participants (should be zero)</v>
      </c>
      <c r="C87" s="48">
        <f t="shared" ref="C87:M87" ca="1" si="67">IF(OR(C$28="",$A87=""),"",C$116)</f>
        <v>1.1102230246251565E-16</v>
      </c>
      <c r="D87" s="48">
        <f t="shared" ca="1" si="67"/>
        <v>0</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f>IF(OR(C$28="",$A88=""),"",C36+C54-C46+C85)</f>
        <v>2.5555555555555554E-2</v>
      </c>
      <c r="D88" s="130">
        <f t="shared" ref="D88:L88" ca="1" si="68">IF(OR(D$28="",$A88=""),"",D36+D54-D46+D85)</f>
        <v>8.9789543115485926E-2</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v>0</v>
      </c>
      <c r="D89" s="131">
        <v>8.8999999999999996E-2</v>
      </c>
      <c r="E89" s="131"/>
      <c r="F89" s="131"/>
      <c r="G89" s="131"/>
      <c r="H89" s="131"/>
      <c r="I89" s="131"/>
      <c r="J89" s="131"/>
      <c r="K89" s="131"/>
      <c r="L89" s="131"/>
      <c r="N89" s="158" t="s">
        <v>295</v>
      </c>
    </row>
    <row r="90" spans="1:14" x14ac:dyDescent="0.35">
      <c r="A90" s="21" t="str">
        <f>IF(A89="","","   End of Year Balance [maf]")</f>
        <v xml:space="preserve">   End of Year Balance [maf]</v>
      </c>
      <c r="C90" s="47">
        <f>IF(OR(C$28="",$A90=""),"",C88-C89)</f>
        <v>2.5555555555555554E-2</v>
      </c>
      <c r="D90" s="47">
        <f t="shared" ref="D90:L90" ca="1" si="69">IF(OR(D$28="",$A90=""),"",D88-D89)</f>
        <v>7.8954311548593004E-4</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v>-0.6</v>
      </c>
      <c r="D93" s="102">
        <v>-1.05</v>
      </c>
      <c r="E93" s="102"/>
      <c r="F93" s="102"/>
      <c r="G93" s="102"/>
      <c r="H93" s="102"/>
      <c r="I93" s="102"/>
      <c r="J93" s="102"/>
      <c r="K93" s="102"/>
      <c r="L93" s="102"/>
      <c r="M93" s="48">
        <f>SUM(C93:L93)</f>
        <v>-1.65</v>
      </c>
      <c r="N93" s="161" t="s">
        <v>279</v>
      </c>
    </row>
    <row r="94" spans="1:14" x14ac:dyDescent="0.35">
      <c r="A94" s="21" t="str">
        <f>IF(A93="","",$A$62)</f>
        <v xml:space="preserve">   Enter compensation to Buy(-) or Sell(+) [$ Mill]</v>
      </c>
      <c r="C94" s="103">
        <f>-1000*C93</f>
        <v>600</v>
      </c>
      <c r="D94" s="103">
        <f>-D86-D70</f>
        <v>1220</v>
      </c>
      <c r="E94" s="103"/>
      <c r="F94" s="103"/>
      <c r="G94" s="103"/>
      <c r="H94" s="103"/>
      <c r="I94" s="103"/>
      <c r="J94" s="103"/>
      <c r="K94" s="103"/>
      <c r="L94" s="103"/>
      <c r="M94" s="46">
        <f>SUM(C94:L94)</f>
        <v>1820</v>
      </c>
      <c r="N94" s="162" t="s">
        <v>280</v>
      </c>
    </row>
    <row r="95" spans="1:14" x14ac:dyDescent="0.35">
      <c r="A95" s="145" t="str">
        <f>IF(A94="","",$A$63)</f>
        <v xml:space="preserve">   Net trade volume all participants (should be zero)</v>
      </c>
      <c r="C95" s="48">
        <f t="shared" ref="C95:M95" ca="1" si="70">IF(OR(C$28="",$A95=""),"",C$116)</f>
        <v>1.1102230246251565E-16</v>
      </c>
      <c r="D95" s="48">
        <f t="shared" ca="1" si="70"/>
        <v>0</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f>IF(OR(C$28="",$A96=""),"",C37+C55-C47+C93)</f>
        <v>1.3444827586206896</v>
      </c>
      <c r="D96" s="13">
        <f t="shared" ref="D96:L96" ca="1" si="71">IF(OR(D$28="",$A96=""),"",D37+D55-D47+D93)</f>
        <v>1.1263224507045211</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v>1.1000000000000001</v>
      </c>
      <c r="D97" s="104">
        <v>1</v>
      </c>
      <c r="E97" s="104"/>
      <c r="F97" s="104"/>
      <c r="G97" s="104"/>
      <c r="H97" s="104"/>
      <c r="I97" s="104"/>
      <c r="J97" s="104"/>
      <c r="K97" s="104"/>
      <c r="L97" s="104"/>
      <c r="N97" s="158" t="s">
        <v>295</v>
      </c>
    </row>
    <row r="98" spans="1:14" x14ac:dyDescent="0.35">
      <c r="A98" s="21" t="str">
        <f>IF(A97="","","   End of Year Balance [maf]")</f>
        <v xml:space="preserve">   End of Year Balance [maf]</v>
      </c>
      <c r="C98" s="47">
        <f>IF(OR(C$28="",$A98=""),"",C96-C97)</f>
        <v>0.24448275862068947</v>
      </c>
      <c r="D98" s="47">
        <f t="shared" ref="D98:L98" ca="1" si="72">IF(OR(D$28="",$A98=""),"",D96-D97)</f>
        <v>0.12632245070452108</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73">IF(OR(C$28="",$A103=""),"",C$116)</f>
        <v>1.1102230246251565E-16</v>
      </c>
      <c r="D103" s="48">
        <f t="shared" ca="1" si="73"/>
        <v>0</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f>IF(OR(C$28="",$A104=""),"",C38+C56-C48+C101)</f>
        <v>11.59116925</v>
      </c>
      <c r="D104" s="13">
        <f t="shared" ref="D104:L104" ca="1" si="74">IF(OR(D$28="",$A104=""),"",D38+D56-D48+D101)</f>
        <v>11.59116925</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f t="shared" ref="D106:L106" ca="1" si="75">IF(OR(D$28="",$A106=""),"",D104-D105)</f>
        <v>11.59116925</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f t="shared" ref="C110:L110" ca="1" si="77">IF(OR(C$28="",$A110=""),"",OFFSET(C$61,8*(ROW(B110)-ROW(B$110)),0))</f>
        <v>0</v>
      </c>
      <c r="D110" s="48">
        <f t="shared" ca="1" si="77"/>
        <v>0</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f t="shared" ref="C111:L111" ca="1" si="78">IF(OR(C$28="",$A111=""),"",OFFSET(C$61,8*(ROW(B111)-ROW(B$110)),0))</f>
        <v>1.0900000000000001</v>
      </c>
      <c r="D111" s="48">
        <f t="shared" ca="1" si="78"/>
        <v>1</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2.09</v>
      </c>
      <c r="N111" s="163"/>
    </row>
    <row r="112" spans="1:14" x14ac:dyDescent="0.35">
      <c r="A112" t="str">
        <f t="shared" si="76"/>
        <v xml:space="preserve">    Mexico</v>
      </c>
      <c r="B112" s="1"/>
      <c r="C112" s="48">
        <f t="shared" ref="C112:L112" ca="1" si="80">IF(OR(C$28="",$A112=""),"",OFFSET(C$61,8*(ROW(B112)-ROW(B$110)),0))</f>
        <v>-0.5</v>
      </c>
      <c r="D112" s="48">
        <f t="shared" ca="1" si="80"/>
        <v>0</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-0.5</v>
      </c>
      <c r="N112" s="163"/>
    </row>
    <row r="113" spans="1:14" x14ac:dyDescent="0.35">
      <c r="A113" t="str">
        <f t="shared" si="76"/>
        <v xml:space="preserve">    Colorado River Delta</v>
      </c>
      <c r="B113" s="1"/>
      <c r="C113" s="48">
        <f t="shared" ref="C113:L113" ca="1" si="81">IF(OR(C$28="",$A113=""),"",OFFSET(C$61,8*(ROW(B113)-ROW(B$110)),0))</f>
        <v>0.01</v>
      </c>
      <c r="D113" s="48">
        <f t="shared" ca="1" si="81"/>
        <v>0.05</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6.0000000000000005E-2</v>
      </c>
      <c r="N113" s="163"/>
    </row>
    <row r="114" spans="1:14" x14ac:dyDescent="0.35">
      <c r="A114" t="str">
        <f t="shared" si="76"/>
        <v xml:space="preserve">    First Nations</v>
      </c>
      <c r="B114" s="1"/>
      <c r="C114" s="48">
        <f t="shared" ref="C114:L114" ca="1" si="82">IF(OR(C$28="",$A114=""),"",OFFSET(C$61,8*(ROW(B114)-ROW(B$110)),0))</f>
        <v>-0.6</v>
      </c>
      <c r="D114" s="48">
        <f t="shared" ca="1" si="82"/>
        <v>-1.05</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-1.65</v>
      </c>
      <c r="N114" s="163"/>
    </row>
    <row r="115" spans="1:14" x14ac:dyDescent="0.35">
      <c r="A115" t="str">
        <f t="shared" si="76"/>
        <v xml:space="preserve">    Shared, Reserve</v>
      </c>
      <c r="B115" s="1"/>
      <c r="C115" s="48">
        <f t="shared" ref="C115:L115" ca="1" si="83">IF(OR(C$28="",$A115=""),"",OFFSET(C$61,8*(ROW(B115)-ROW(B$110)),0))</f>
        <v>0</v>
      </c>
      <c r="D115" s="48">
        <f t="shared" ca="1" si="83"/>
        <v>0</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f ca="1">IF(C$28&lt;&gt;"",SUM(C110:C115),"")</f>
        <v>1.1102230246251565E-16</v>
      </c>
      <c r="D116" s="13">
        <f t="shared" ref="D116:L116" ca="1" si="84">IF(D$28&lt;&gt;"",SUM(D110:D115),"")</f>
        <v>0</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18" ca="1" si="85">IF(OR(C$28="",$A118=""),"",OFFSET(C$65,8*(ROW(B118)-ROW(B$118)),0))</f>
        <v>1.25</v>
      </c>
      <c r="D118" s="48">
        <f t="shared" ca="1" si="85"/>
        <v>1.2</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f t="shared" ref="C119:L119" ca="1" si="86">IF(OR(C$28="",$A119=""),"",OFFSET(C$65,8*(ROW(B119)-ROW(B$118)),0))</f>
        <v>5.6</v>
      </c>
      <c r="D119" s="48">
        <f t="shared" ca="1" si="86"/>
        <v>4.4000000000000004</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f t="shared" ref="C120:L120" ca="1" si="87">IF(OR(C$28="",$A120=""),"",OFFSET(C$65,8*(ROW(B120)-ROW(B$118)),0))</f>
        <v>0.97</v>
      </c>
      <c r="D120" s="48">
        <f t="shared" ca="1" si="87"/>
        <v>1</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f t="shared" ref="C121:L121" ca="1" si="88">IF(OR(C$28="",$A121=""),"",OFFSET(C$65,8*(ROW(B121)-ROW(B$118)),0))</f>
        <v>0</v>
      </c>
      <c r="D121" s="48">
        <f t="shared" ca="1" si="88"/>
        <v>8.8999999999999996E-2</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f t="shared" ref="C122:L122" ca="1" si="89">IF(OR(C$28="",$A122=""),"",OFFSET(C$65,8*(ROW(B122)-ROW(B$118)),0))</f>
        <v>1.1000000000000001</v>
      </c>
      <c r="D122" s="48">
        <f t="shared" ca="1" si="89"/>
        <v>1</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f t="shared" ref="C123:L123" ca="1" si="90">IF(OR(C$28="",$A123=""),"",OFFSET(C$65,8*(ROW(B123)-ROW(B$118)),0))</f>
        <v>0</v>
      </c>
      <c r="D123" s="48">
        <f t="shared" ca="1" si="90"/>
        <v>0</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f t="shared" ref="C125:L125" ca="1" si="92">IF(OR(C$28="",$A125=""),"",OFFSET(C$66,8*(ROW(B125)-ROW(B$125)),0))</f>
        <v>2.6204172582733354</v>
      </c>
      <c r="D125" s="48">
        <f t="shared" ca="1" si="92"/>
        <v>2.5249062310843744</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f t="shared" ref="C126:L126" ca="1" si="93">IF(OR(C$28="",$A126=""),"",OFFSET(C$66,8*(ROW(B126)-ROW(B$125)),0))</f>
        <v>3.4121748865155155</v>
      </c>
      <c r="D126" s="48">
        <f t="shared" ca="1" si="93"/>
        <v>3.1313756238091983</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f t="shared" ref="C127:L127" ca="1" si="94">IF(OR(C$28="",$A127=""),"",OFFSET(C$66,8*(ROW(B127)-ROW(B$125)),0))</f>
        <v>-1.1144139644945206E-3</v>
      </c>
      <c r="D127" s="48">
        <f t="shared" ca="1" si="94"/>
        <v>0.3038282737870488</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f t="shared" ref="C128:L128" ca="1" si="95">IF(OR(C$28="",$A128=""),"",OFFSET(C$66,8*(ROW(B128)-ROW(B$125)),0))</f>
        <v>2.5555555555555554E-2</v>
      </c>
      <c r="D128" s="48">
        <f t="shared" ca="1" si="95"/>
        <v>7.8954311548593004E-4</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f t="shared" ref="C129:L129" ca="1" si="96">IF(OR(C$28="",$A129=""),"",OFFSET(C$66,8*(ROW(B129)-ROW(B$125)),0))</f>
        <v>0.24448275862068947</v>
      </c>
      <c r="D129" s="48">
        <f t="shared" ca="1" si="96"/>
        <v>0.12632245070452108</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f t="shared" ref="C130:L130" ca="1" si="97">IF(OR(C$28="",$A130=""),"",OFFSET(C$66,8*(ROW(B130)-ROW(B$125)),0))</f>
        <v>11.59116925</v>
      </c>
      <c r="D130" s="48">
        <f t="shared" ca="1" si="97"/>
        <v>11.59116925</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f ca="1">IF(C$28&lt;&gt;"",SUM(C125:C130),"")</f>
        <v>17.892685295000604</v>
      </c>
      <c r="D131" s="13">
        <f t="shared" ref="D131:L131" ca="1" si="98">IF(D$28&lt;&gt;"",SUM(D125:D130),"")</f>
        <v>17.678391372500627</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8" t="s">
        <v>258</v>
      </c>
      <c r="B132" s="259"/>
      <c r="C132" s="140">
        <v>0.5</v>
      </c>
      <c r="D132" s="140">
        <v>0.5</v>
      </c>
      <c r="E132" s="140"/>
      <c r="F132" s="140"/>
      <c r="G132" s="140"/>
      <c r="H132" s="140"/>
      <c r="I132" s="140"/>
      <c r="J132" s="140"/>
      <c r="K132" s="140"/>
      <c r="L132" s="140"/>
      <c r="N132" s="155" t="s">
        <v>286</v>
      </c>
    </row>
    <row r="133" spans="1:14" x14ac:dyDescent="0.35">
      <c r="A133" s="1" t="s">
        <v>228</v>
      </c>
      <c r="B133" s="1"/>
      <c r="C133" s="13">
        <f ca="1">IF(C28="","",C$132*C$131)</f>
        <v>8.9463426475003018</v>
      </c>
      <c r="D133" s="13">
        <f t="shared" ref="D133:L133" ca="1" si="99">IF(D28="","",D$132*D$131)</f>
        <v>8.8391956862503136</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f ca="1">IF(C29="","",(1-C$132)*C$131)</f>
        <v>8.9463426475003018</v>
      </c>
      <c r="D134" s="13">
        <f t="shared" ref="D134:L134" ca="1" si="100">IF(D29="","",(1-D$132)*D$131)</f>
        <v>8.8391956862503136</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f ca="1">IF(C$28&lt;&gt;"",VLOOKUP(C133*1000000,'Powell-Elevation-Area'!$B$5:$H$689,7),"")</f>
        <v>3567.5</v>
      </c>
      <c r="D135" s="63">
        <f ca="1">IF(D$28&lt;&gt;"",VLOOKUP(D133*1000000,'Powell-Elevation-Area'!$B$5:$H$689,7),"")</f>
        <v>3566.5</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f ca="1">IF(C$28&lt;&gt;"",VLOOKUP(C134*1000000,'Mead-Elevation-Area'!$B$5:$H$689,7),"")</f>
        <v>1066.5</v>
      </c>
      <c r="D136" s="63">
        <f ca="1">IF(D$28&lt;&gt;"",VLOOKUP(D134*1000000,'Mead-Elevation-Area'!$B$5:$H$689,7),"")</f>
        <v>1065</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f ca="1">IF(C$28&lt;&gt;"",-C133+C40+C28-C65-VLOOKUP(C40*1000000,'Powell-Elevation-Area'!$B$5:$D$689,3)*$B$18/1000000,"")</f>
        <v>8.8917866474996998</v>
      </c>
      <c r="D138" s="13">
        <f ca="1">IF(D$28&lt;&gt;"",-D133+D40+D28-D65-VLOOKUP(D40*1000000,'Powell-Elevation-Area'!$B$5:$D$689,3)*$B$18/1000000,"")</f>
        <v>6.450963038749415</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 ca="1">IF(C$28&lt;&gt;"",VLOOKUP(C135,PowellReleaseTemperature!$A$5:$B$11,2),"")</f>
        <v>&lt; 18</v>
      </c>
      <c r="D139" s="63" t="str">
        <f ca="1">IF(D$28&lt;&gt;"",VLOOKUP(D135,PowellReleaseTemperature!$A$5:$B$11,2),"")</f>
        <v>&lt; 18</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 ca="1">IF(C$28&lt;&gt;"",VLOOKUP(C$135,PowellReleaseTemperature!$A$5:$E$11,5),"")</f>
        <v>May benefit or face invasion</v>
      </c>
      <c r="D140" s="93" t="str">
        <f ca="1">IF(D$28&lt;&gt;"",VLOOKUP(D$135,PowellReleaseTemperature!$A$5:$E$11,5),"")</f>
        <v>May benefit or face invasion</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 ca="1">IF(C$28&lt;&gt;"",VLOOKUP(C$135,PowellReleaseTemperature!$A$5:$F$11,6),"")</f>
        <v>Help grow + incubate</v>
      </c>
      <c r="D141" s="93" t="str">
        <f ca="1">IF(D$28&lt;&gt;"",VLOOKUP(D$135,PowellReleaseTemperature!$A$5:$F$11,6),"")</f>
        <v>Help grow + incubate</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6" priority="85" operator="greaterThan">
      <formula>$H$64</formula>
    </cfRule>
  </conditionalFormatting>
  <conditionalFormatting sqref="I65">
    <cfRule type="cellIs" dxfId="105" priority="84" operator="greaterThan">
      <formula>$I$64</formula>
    </cfRule>
  </conditionalFormatting>
  <conditionalFormatting sqref="J65">
    <cfRule type="cellIs" dxfId="104" priority="83" operator="greaterThan">
      <formula>$J$64</formula>
    </cfRule>
  </conditionalFormatting>
  <conditionalFormatting sqref="K65">
    <cfRule type="cellIs" dxfId="103" priority="82" operator="greaterThan">
      <formula>$K$64</formula>
    </cfRule>
  </conditionalFormatting>
  <conditionalFormatting sqref="L65">
    <cfRule type="cellIs" dxfId="102" priority="81" operator="greaterThan">
      <formula>$L$64</formula>
    </cfRule>
  </conditionalFormatting>
  <conditionalFormatting sqref="H73">
    <cfRule type="cellIs" dxfId="101" priority="68" operator="greaterThan">
      <formula>$H$72</formula>
    </cfRule>
  </conditionalFormatting>
  <conditionalFormatting sqref="I73">
    <cfRule type="cellIs" dxfId="100" priority="67" operator="greaterThan">
      <formula>$I$72</formula>
    </cfRule>
  </conditionalFormatting>
  <conditionalFormatting sqref="J73">
    <cfRule type="cellIs" dxfId="99" priority="66" operator="greaterThan">
      <formula>$J$72</formula>
    </cfRule>
  </conditionalFormatting>
  <conditionalFormatting sqref="K73">
    <cfRule type="cellIs" dxfId="98" priority="65" operator="greaterThan">
      <formula>$K$72</formula>
    </cfRule>
  </conditionalFormatting>
  <conditionalFormatting sqref="L73">
    <cfRule type="cellIs" dxfId="97" priority="64" operator="greaterThan">
      <formula>$L$72</formula>
    </cfRule>
  </conditionalFormatting>
  <conditionalFormatting sqref="H81">
    <cfRule type="cellIs" dxfId="96" priority="58" operator="greaterThan">
      <formula>$H$80</formula>
    </cfRule>
  </conditionalFormatting>
  <conditionalFormatting sqref="I81">
    <cfRule type="cellIs" dxfId="95" priority="57" operator="greaterThan">
      <formula>$I$80</formula>
    </cfRule>
  </conditionalFormatting>
  <conditionalFormatting sqref="J81">
    <cfRule type="cellIs" dxfId="94" priority="56" operator="greaterThan">
      <formula>$J$80</formula>
    </cfRule>
  </conditionalFormatting>
  <conditionalFormatting sqref="K81">
    <cfRule type="cellIs" dxfId="93" priority="55" operator="greaterThan">
      <formula>$K$80</formula>
    </cfRule>
  </conditionalFormatting>
  <conditionalFormatting sqref="L81">
    <cfRule type="cellIs" dxfId="92" priority="54" operator="greaterThan">
      <formula>$L$80</formula>
    </cfRule>
  </conditionalFormatting>
  <conditionalFormatting sqref="C89:L89">
    <cfRule type="cellIs" dxfId="91" priority="53" operator="greaterThan">
      <formula>$C$88</formula>
    </cfRule>
  </conditionalFormatting>
  <conditionalFormatting sqref="C97">
    <cfRule type="cellIs" dxfId="90" priority="52" operator="greaterThan">
      <formula>$C$96</formula>
    </cfRule>
  </conditionalFormatting>
  <conditionalFormatting sqref="D97">
    <cfRule type="cellIs" dxfId="89" priority="51" operator="greaterThan">
      <formula>$D$96</formula>
    </cfRule>
  </conditionalFormatting>
  <conditionalFormatting sqref="E97">
    <cfRule type="cellIs" dxfId="88" priority="50" operator="greaterThan">
      <formula>$E$96</formula>
    </cfRule>
  </conditionalFormatting>
  <conditionalFormatting sqref="F97">
    <cfRule type="cellIs" dxfId="87" priority="49" operator="greaterThan">
      <formula>$F$96</formula>
    </cfRule>
  </conditionalFormatting>
  <conditionalFormatting sqref="G97">
    <cfRule type="cellIs" dxfId="86" priority="48" operator="greaterThan">
      <formula>$G$96</formula>
    </cfRule>
  </conditionalFormatting>
  <conditionalFormatting sqref="H97">
    <cfRule type="cellIs" dxfId="85" priority="47" operator="greaterThan">
      <formula>$H$96</formula>
    </cfRule>
  </conditionalFormatting>
  <conditionalFormatting sqref="I97">
    <cfRule type="cellIs" dxfId="84" priority="46" operator="greaterThan">
      <formula>$I$96</formula>
    </cfRule>
  </conditionalFormatting>
  <conditionalFormatting sqref="J97">
    <cfRule type="cellIs" dxfId="83" priority="45" operator="greaterThan">
      <formula>$J$96</formula>
    </cfRule>
  </conditionalFormatting>
  <conditionalFormatting sqref="K97">
    <cfRule type="cellIs" dxfId="82" priority="44" operator="greaterThan">
      <formula>$K$96</formula>
    </cfRule>
  </conditionalFormatting>
  <conditionalFormatting sqref="L97">
    <cfRule type="cellIs" dxfId="81" priority="43" operator="greaterThan">
      <formula>$L$96</formula>
    </cfRule>
  </conditionalFormatting>
  <conditionalFormatting sqref="C105">
    <cfRule type="cellIs" dxfId="80" priority="42" operator="greaterThan">
      <formula>$C$104</formula>
    </cfRule>
  </conditionalFormatting>
  <conditionalFormatting sqref="D105">
    <cfRule type="cellIs" dxfId="79" priority="41" operator="greaterThan">
      <formula>$D$104</formula>
    </cfRule>
  </conditionalFormatting>
  <conditionalFormatting sqref="E105">
    <cfRule type="cellIs" dxfId="78" priority="40" operator="greaterThan">
      <formula>$E$104</formula>
    </cfRule>
  </conditionalFormatting>
  <conditionalFormatting sqref="F105">
    <cfRule type="cellIs" dxfId="77" priority="39" operator="greaterThan">
      <formula>$F$104</formula>
    </cfRule>
  </conditionalFormatting>
  <conditionalFormatting sqref="G105">
    <cfRule type="cellIs" dxfId="76" priority="38" operator="greaterThan">
      <formula>$G$104</formula>
    </cfRule>
  </conditionalFormatting>
  <conditionalFormatting sqref="H105">
    <cfRule type="cellIs" dxfId="75" priority="37" operator="greaterThan">
      <formula>$H$104</formula>
    </cfRule>
  </conditionalFormatting>
  <conditionalFormatting sqref="I105">
    <cfRule type="cellIs" dxfId="74" priority="36" operator="greaterThan">
      <formula>$I$104</formula>
    </cfRule>
  </conditionalFormatting>
  <conditionalFormatting sqref="J105">
    <cfRule type="cellIs" dxfId="73" priority="35" operator="greaterThan">
      <formula>$J$104</formula>
    </cfRule>
  </conditionalFormatting>
  <conditionalFormatting sqref="K105">
    <cfRule type="cellIs" dxfId="72" priority="34" operator="greaterThan">
      <formula>$K$104</formula>
    </cfRule>
  </conditionalFormatting>
  <conditionalFormatting sqref="L105">
    <cfRule type="cellIs" dxfId="71" priority="33" operator="greaterThan">
      <formula>$L$104</formula>
    </cfRule>
  </conditionalFormatting>
  <conditionalFormatting sqref="D65">
    <cfRule type="cellIs" dxfId="70" priority="20" operator="greaterThan">
      <formula>$D$64</formula>
    </cfRule>
  </conditionalFormatting>
  <conditionalFormatting sqref="C65">
    <cfRule type="cellIs" dxfId="69" priority="18" operator="greaterThan">
      <formula>$C$64</formula>
    </cfRule>
  </conditionalFormatting>
  <conditionalFormatting sqref="E65">
    <cfRule type="cellIs" dxfId="68" priority="16" operator="greaterThan">
      <formula>$E$64</formula>
    </cfRule>
  </conditionalFormatting>
  <conditionalFormatting sqref="F65">
    <cfRule type="cellIs" dxfId="67" priority="15" operator="greaterThan">
      <formula>$F$64</formula>
    </cfRule>
  </conditionalFormatting>
  <conditionalFormatting sqref="G65">
    <cfRule type="cellIs" dxfId="66" priority="14" operator="greaterThan">
      <formula>$G$64</formula>
    </cfRule>
  </conditionalFormatting>
  <conditionalFormatting sqref="C73">
    <cfRule type="cellIs" dxfId="65" priority="10" operator="greaterThan">
      <formula>$C$72</formula>
    </cfRule>
  </conditionalFormatting>
  <conditionalFormatting sqref="D73">
    <cfRule type="cellIs" dxfId="64" priority="9" operator="greaterThan">
      <formula>$D$72</formula>
    </cfRule>
  </conditionalFormatting>
  <conditionalFormatting sqref="E73">
    <cfRule type="cellIs" dxfId="63" priority="8" operator="greaterThan">
      <formula>$E$72</formula>
    </cfRule>
  </conditionalFormatting>
  <conditionalFormatting sqref="F73">
    <cfRule type="cellIs" dxfId="62" priority="7" operator="greaterThan">
      <formula>$F$72</formula>
    </cfRule>
  </conditionalFormatting>
  <conditionalFormatting sqref="G73">
    <cfRule type="cellIs" dxfId="61" priority="6" operator="greaterThan">
      <formula>$G$72</formula>
    </cfRule>
  </conditionalFormatting>
  <conditionalFormatting sqref="C81">
    <cfRule type="cellIs" dxfId="60" priority="5" operator="greaterThan">
      <formula>$C$80</formula>
    </cfRule>
  </conditionalFormatting>
  <conditionalFormatting sqref="D81">
    <cfRule type="cellIs" dxfId="59" priority="4" operator="greaterThan">
      <formula>$D$80</formula>
    </cfRule>
  </conditionalFormatting>
  <conditionalFormatting sqref="E81">
    <cfRule type="cellIs" dxfId="58" priority="3" operator="greaterThan">
      <formula>$E$80</formula>
    </cfRule>
  </conditionalFormatting>
  <conditionalFormatting sqref="F81">
    <cfRule type="cellIs" dxfId="57" priority="2" operator="greaterThan">
      <formula>$F$80</formula>
    </cfRule>
  </conditionalFormatting>
  <conditionalFormatting sqref="G81">
    <cfRule type="cellIs" dxfId="5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abSelected="1" topLeftCell="A98" zoomScale="150" zoomScaleNormal="150" workbookViewId="0">
      <selection activeCell="L98" sqref="H1:L104857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'ReadMe-Directions'!A1</f>
        <v>Colorado River Basin Accounts: Provoke Thought and Discussion about New Operations</v>
      </c>
      <c r="B1" s="251"/>
      <c r="C1" s="251"/>
      <c r="D1" s="251"/>
      <c r="E1" s="251"/>
      <c r="F1" s="251"/>
      <c r="G1" s="251"/>
    </row>
    <row r="2" spans="1:14" x14ac:dyDescent="0.35">
      <c r="A2" s="1" t="s">
        <v>233</v>
      </c>
      <c r="B2" s="1"/>
    </row>
    <row r="3" spans="1:14" ht="32.15" customHeight="1" x14ac:dyDescent="0.35">
      <c r="A3" s="261" t="s">
        <v>392</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179" t="str">
        <f>IF(Master!A5="","",Master!A5)</f>
        <v>Upper Basin</v>
      </c>
      <c r="B5" s="181" t="s">
        <v>331</v>
      </c>
      <c r="C5" s="265" t="s">
        <v>332</v>
      </c>
      <c r="D5" s="260"/>
      <c r="E5" s="260"/>
      <c r="F5" s="260"/>
      <c r="G5" s="260"/>
      <c r="N5" s="159"/>
    </row>
    <row r="6" spans="1:14" x14ac:dyDescent="0.35">
      <c r="A6" s="179" t="str">
        <f>IF(Master!A6="","",Master!A6)</f>
        <v>Lower Basin</v>
      </c>
      <c r="B6" s="181" t="s">
        <v>331</v>
      </c>
      <c r="C6" s="265" t="s">
        <v>332</v>
      </c>
      <c r="D6" s="260"/>
      <c r="E6" s="260"/>
      <c r="F6" s="260"/>
      <c r="G6" s="260"/>
      <c r="N6" s="159"/>
    </row>
    <row r="7" spans="1:14" x14ac:dyDescent="0.35">
      <c r="A7" s="179" t="str">
        <f>IF(Master!A7="","",Master!A7)</f>
        <v>Mexico</v>
      </c>
      <c r="B7" s="181" t="s">
        <v>331</v>
      </c>
      <c r="C7" s="265" t="s">
        <v>332</v>
      </c>
      <c r="D7" s="260"/>
      <c r="E7" s="260"/>
      <c r="F7" s="260"/>
      <c r="G7" s="260"/>
      <c r="N7" s="159"/>
    </row>
    <row r="8" spans="1:14" x14ac:dyDescent="0.35">
      <c r="A8" s="179" t="str">
        <f>IF(Master!A8="","",Master!A8)</f>
        <v>Colorado River Delta</v>
      </c>
      <c r="B8" s="181" t="s">
        <v>331</v>
      </c>
      <c r="C8" s="265" t="s">
        <v>332</v>
      </c>
      <c r="D8" s="260"/>
      <c r="E8" s="260"/>
      <c r="F8" s="260"/>
      <c r="G8" s="260"/>
      <c r="N8" s="159"/>
    </row>
    <row r="9" spans="1:14" x14ac:dyDescent="0.35">
      <c r="A9" s="179"/>
      <c r="B9" s="181" t="str">
        <f>IF($A9&lt;&gt;"",B8,"")</f>
        <v/>
      </c>
      <c r="C9" s="274" t="s">
        <v>340</v>
      </c>
      <c r="D9" s="275"/>
      <c r="E9" s="275"/>
      <c r="F9" s="275"/>
      <c r="G9" s="276"/>
      <c r="N9" s="159"/>
    </row>
    <row r="10" spans="1:14" x14ac:dyDescent="0.35">
      <c r="A10" s="182" t="s">
        <v>97</v>
      </c>
      <c r="B10" s="182"/>
      <c r="C10" s="267" t="s">
        <v>333</v>
      </c>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390</v>
      </c>
      <c r="C13" s="272"/>
      <c r="D13" s="273"/>
      <c r="N13" s="159"/>
    </row>
    <row r="14" spans="1:14" x14ac:dyDescent="0.35">
      <c r="B14" s="252" t="s">
        <v>391</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f>IF(Master!C28&lt;&gt;"",Master!C28,"")</f>
        <v>13.5</v>
      </c>
      <c r="D28" s="108">
        <f>IF(Master!D28&lt;&gt;"",Master!D28,"")</f>
        <v>8</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f>IF(C$28&lt;&gt;"",Master!C29,"")</f>
        <v>0.8</v>
      </c>
      <c r="D29" s="107">
        <f>IF(D$28&lt;&gt;"",Master!D29,"")</f>
        <v>0.8</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f>IF(C$28&lt;&gt;"",Master!C30,"")</f>
        <v>0.2</v>
      </c>
      <c r="D30" s="107">
        <f>IF(D$28&lt;&gt;"",Master!D30,"")</f>
        <v>0.2</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f>IF(C$28&lt;&gt;"",Master!C31,"")</f>
        <v>0.6</v>
      </c>
      <c r="D31" s="107">
        <f>IF(D$28&lt;&gt;"",Master!D31,"")</f>
        <v>0.6</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f>IF(C$28&lt;&gt;"",SUM(B19:C19),"")</f>
        <v>13.7</v>
      </c>
      <c r="D32" s="13">
        <f ca="1">IF(D$28&lt;&gt;"",C131,"")</f>
        <v>14.421800237529336</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f>IF(OR(C$28="",$A33=""),"",B33)</f>
        <v>1.342375000000029E-2</v>
      </c>
      <c r="D33" s="13">
        <f t="shared" ref="D33:L38" ca="1" si="5">IF(OR(D$28="",$A33=""),"",C125)</f>
        <v>0.73041725827333348</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f t="shared" ref="C34:C38" si="6">IF(OR(C$28="",$A34=""),"",B34)</f>
        <v>1.9214069999999999</v>
      </c>
      <c r="D34" s="13">
        <f t="shared" ca="1" si="5"/>
        <v>1.9206576451362052</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f t="shared" si="6"/>
        <v>0.17399999999999999</v>
      </c>
      <c r="D35" s="36">
        <f t="shared" ca="1" si="5"/>
        <v>0.16400052856424119</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f t="shared" si="6"/>
        <v>0</v>
      </c>
      <c r="D36" s="13">
        <f t="shared" ca="1" si="5"/>
        <v>1.5555555555555553E-2</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f t="shared" si="6"/>
        <v>11.59116925</v>
      </c>
      <c r="D38" s="13">
        <f t="shared" ca="1" si="5"/>
        <v>11.59116925</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f>IF(C$28&lt;&gt;"",IF(COLUMN(C27)=COLUMN($C27),$B$19,B133),"")</f>
        <v>5.94</v>
      </c>
      <c r="D40" s="13">
        <f t="shared" ref="D40:L40" ca="1" si="7">IF(D$28&lt;&gt;"",IF(COLUMN(D27)=COLUMN($C27),$B$19,C133),"")</f>
        <v>7.210900118764668</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f>IF(C$28&lt;&gt;"",IF(COLUMN(C28)=COLUMN($C28),$C$19,B134),"")</f>
        <v>7.76</v>
      </c>
      <c r="D41" s="13">
        <f t="shared" ref="D41:L41" ca="1" si="8">IF(D$28&lt;&gt;"",IF(COLUMN(D28)=COLUMN($C28),$C$19,C134),"")</f>
        <v>7.210900118764668</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f>IF(C$28&lt;&gt;"",VLOOKUP(C40*1000000,'Powell-Elevation-Area'!$B$5:$D$689,3)*$B$18/1000000 + VLOOKUP(C41*1000000,'Mead-Elevation-Area'!$B$5:$D$676,3)*$C$18/1000000,"")</f>
        <v>0.78731470499940004</v>
      </c>
      <c r="D42" s="13">
        <f ca="1">IF(D$28&lt;&gt;"",VLOOKUP(D40*1000000,'Powell-Elevation-Area'!$B$5:$D$689,3)*$B$18/1000000 + VLOOKUP(D41*1000000,'Mead-Elevation-Area'!$B$5:$D$676,3)*$C$18/1000000,"")</f>
        <v>0.81547952010057301</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f t="shared" ref="C43:L48" si="10">IF(OR(C$28="",$A43=""),"",C$42*C33/C$32)</f>
        <v>7.7143910738948355E-4</v>
      </c>
      <c r="D43" s="13">
        <f t="shared" ca="1" si="10"/>
        <v>4.1301384393045516E-2</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f t="shared" si="10"/>
        <v>0.11041985294808629</v>
      </c>
      <c r="D44" s="13">
        <f t="shared" ca="1" si="10"/>
        <v>0.1086034301499583</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f t="shared" si="10"/>
        <v>9.9994714357588034E-3</v>
      </c>
      <c r="D45" s="13">
        <f t="shared" ca="1" si="10"/>
        <v>9.2733965335189787E-3</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f t="shared" si="10"/>
        <v>0</v>
      </c>
      <c r="D46" s="13">
        <f t="shared" ca="1" si="10"/>
        <v>8.7958762223955267E-4</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f t="shared" si="10"/>
        <v>0.66612394150816545</v>
      </c>
      <c r="D48" s="13">
        <f t="shared" ca="1" si="10"/>
        <v>0.65542172140181065</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f>IF(C$28&lt;&gt;"",1.5-0.21/9/2-VLOOKUP(C41,MandatoryConservation!$C$5:$P$13,13)-C57*(1.5/8.7),"")</f>
        <v>1.3048850574712643</v>
      </c>
      <c r="D49" s="33">
        <f ca="1">IF(D$28&lt;&gt;"",1.5-0.21/9/2-VLOOKUP(D41,MandatoryConservation!$C$5:$P$13,13)-D57*(1.5/8.7),"")</f>
        <v>1.2388850574712644</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f>IF(C28="","",SUM(C28:C30))</f>
        <v>14.5</v>
      </c>
      <c r="D50" s="13">
        <f t="shared" ref="D50:L50" si="11">IF(D28="","",SUM(D28:D30))</f>
        <v>9</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f>IF(OR(C$28="",$A52=""),"",MAX(0,C50-SUM(C52:C57)))</f>
        <v>4.9177649473807232</v>
      </c>
      <c r="D51" s="87">
        <f t="shared" ref="D51:G51" ca="1" si="13">IF(OR(D$28="",$A52=""),"",MAX(0,D50-SUM(D52:D57)))</f>
        <v>1.2400000000000002</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f>IF(OR(C$28="",$A52=""),"",IF(C50&lt;=SUM(C53:C57),0,IF(C50&lt;=SUM(C53:C57)+2*$B$25,(C50-SUM(C53:C57))/2,IF(C50&lt;=SUM(C53:C57)+2*$B$25+$B$52-$B$25,C50-SUM(C53:C57)-$B$25,$B$52))))</f>
        <v>6.9956704980842908</v>
      </c>
      <c r="D52" s="87">
        <f t="shared" ref="D52:G52" ca="1" si="19">IF(OR(D$28="",$A52=""),"",IF(D50&lt;=SUM(D53:D57),0,IF(D50&lt;=SUM(D53:D57)+2*$B$25,(D50-SUM(D53:D57))/2,IF(D50&lt;=SUM(D53:D57)+2*$B$25+$B$52-$B$25,D50-SUM(D53:D57)-$B$25,$B$52))))</f>
        <v>5.2501376655713692</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400</v>
      </c>
      <c r="C53" s="88">
        <f>IF(OR(C$28="",$A53=""),"",MIN(C49,C$50-SUM(C54:C57)))</f>
        <v>1.3048850574712643</v>
      </c>
      <c r="D53" s="88">
        <f t="shared" ref="D53:G53" ca="1" si="25">IF(OR(D$28="",$A53=""),"",MIN(D49,D$50-SUM(D54:D57)))</f>
        <v>1.2388850574712644</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f>IF(OR(C$28="",$A54=""),"",MIN($B54,C$50-SUM(C55:C57)))</f>
        <v>1.5555555555555553E-2</v>
      </c>
      <c r="D54" s="116">
        <f t="shared" ref="D54:G54" ca="1" si="31">IF(OR(D$28="",$A54=""),"",MIN($B54,D$50-SUM(D55:D57)))</f>
        <v>1.5555555555555553E-2</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f>IF(OR(C$28="",$A56=""),"",IF(C$50&gt;C48,C48,C50))</f>
        <v>0.66612394150816545</v>
      </c>
      <c r="D56" s="170">
        <f t="shared" ref="D56:G56" ca="1" si="43">IF(OR(D$28="",$A56=""),"",IF(D$50&gt;D48,D48,D50))</f>
        <v>0.65542172140181065</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f>IF(OR(C$28="",$A57=""),"",MIN(C31,C50-C56))</f>
        <v>0.6</v>
      </c>
      <c r="D57" s="171">
        <f t="shared" ref="D57:G57" ca="1" si="45">IF(OR(D$28="",$A57=""),"",MIN(D31,D50-D56))</f>
        <v>0.6</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f>IF(OR(C$28="",$A61=""),"",IF(C33+C51-C43&lt;4.2,4.2-(C33+C51-C43),0))</f>
        <v>0</v>
      </c>
      <c r="D61" s="104">
        <f ca="1">IF(OR(D$28="",$A61=""),"",IF(D33+D51-D43&lt;4.2,4.2-(D33+D51-D43),0))</f>
        <v>2.2708841261197117</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 ca="1">SUM(C61:L61)</f>
        <v>2.2708841261197117</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f t="shared" ref="C63:M63" ca="1" si="52">IF(OR(C$28="",$A63=""),"",C$116)</f>
        <v>0</v>
      </c>
      <c r="D63" s="48">
        <f t="shared" ca="1" si="52"/>
        <v>0</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f>IF(OR(C$28="",$A64=""),"",C33+C51-C43+C61)</f>
        <v>4.9304172582733337</v>
      </c>
      <c r="D64" s="13">
        <f t="shared" ref="D64:L64" ca="1" si="53">IF(OR(D$28="",$A64=""),"",D33+D51-D43+D61)</f>
        <v>4.2</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f t="shared" ref="C65:D65" si="54">IF(C$28&lt;&gt;"",IF(C64&gt;4.2,4.2,MAX(C64,0)-0.01),"")</f>
        <v>4.2</v>
      </c>
      <c r="D65" s="104">
        <f t="shared" ca="1" si="54"/>
        <v>4.1900000000000004</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f>IF(OR(C$28="",$A66=""),"",C64-C65)</f>
        <v>0.73041725827333348</v>
      </c>
      <c r="D66" s="47">
        <f t="shared" ref="D66:L66" ca="1" si="63">IF(OR(D$28="",$A66=""),"",D64-D65)</f>
        <v>9.9999999999997868E-3</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f>IF(OR(C$28="",$A69=""),"",IF(C34+C52-C44&lt;C73,C73-(C34+C52-C44),0))</f>
        <v>0</v>
      </c>
      <c r="D69" s="104">
        <f t="shared" ref="D69:L69" ca="1" si="64">IF(OR(D$28="",$A69=""),"",IF(D34+D52-D44&lt;D73,D73-(D34+D52-D44),0))</f>
        <v>0</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 ca="1">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f t="shared" ref="C71:M71" ca="1" si="65">IF(OR(C$28="",$A71=""),"",C$116)</f>
        <v>0</v>
      </c>
      <c r="D71" s="48">
        <f t="shared" ca="1" si="65"/>
        <v>0</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f>IF(OR(C$28="",$A72=""),"",C34+C52-C44+C69)</f>
        <v>8.8066576451362053</v>
      </c>
      <c r="D72" s="13">
        <f t="shared" ref="D72:L72" ca="1" si="66">IF(OR(D$28="",$A72=""),"",D34+D52-D44+D69)</f>
        <v>7.0621918805576165</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f>IF(C28&lt;&gt;"",7.5-VLOOKUP(C41,MandatoryConservation!$C$5:$P$13,14)-0.001,"")</f>
        <v>6.8860000000000001</v>
      </c>
      <c r="D73" s="104">
        <f ca="1">IF(D28&lt;&gt;"",7.5-VLOOKUP(D41,MandatoryConservation!$C$5:$P$13,14)-0.001,"")</f>
        <v>6.4859999999999998</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f>IF(OR(C$28="",$A74=""),"",C72-C73)</f>
        <v>1.9206576451362052</v>
      </c>
      <c r="D74" s="47">
        <f t="shared" ref="D74:L74" ca="1" si="67">IF(OR(D$28="",$A74=""),"",D72-D73)</f>
        <v>0.57619188055761672</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f t="shared" ref="C79:M79" ca="1" si="68">IF(OR(C$28="",$A79=""),"",C$116)</f>
        <v>0</v>
      </c>
      <c r="D79" s="48">
        <f t="shared" ca="1" si="68"/>
        <v>0</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f>IF(OR(C$28="",$A80=""),"",C35+C53-C45+C77)</f>
        <v>1.4688855860355055</v>
      </c>
      <c r="D80" s="13">
        <f t="shared" ref="D80:L80" ca="1" si="69">IF(OR(D$28="",$A80=""),"",D35+D53-D45+D77)</f>
        <v>1.3936121895019866</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f>IF(C28&lt;&gt;"",MIN(C49,C80-0.001),"")</f>
        <v>1.3048850574712643</v>
      </c>
      <c r="D81" s="104">
        <f t="shared" ref="D81:G81" ca="1" si="70">IF(D28&lt;&gt;"",MIN(D49,D80-0.001),"")</f>
        <v>1.2388850574712644</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f>IF(OR(C$28="",$A82=""),"",C80-C81)</f>
        <v>0.16400052856424119</v>
      </c>
      <c r="D82" s="47">
        <f t="shared" ref="D82:L82" ca="1" si="71">IF(OR(D$28="",$A82=""),"",D80-D81)</f>
        <v>0.15472713203072219</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f t="shared" ref="C87:M87" ca="1" si="72">IF(OR(C$28="",$A87=""),"",C$116)</f>
        <v>0</v>
      </c>
      <c r="D87" s="48">
        <f t="shared" ca="1" si="72"/>
        <v>0</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f>IF(OR(C$28="",$A88=""),"",C36+C54-C46+C85)</f>
        <v>1.5555555555555553E-2</v>
      </c>
      <c r="D88" s="130">
        <f t="shared" ref="D88:L88" ca="1" si="73">IF(OR(D$28="",$A88=""),"",D36+D54-D46+D85)</f>
        <v>3.0231523488871554E-2</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f>IF(OR(C$28="",$A90=""),"",C88-C89)</f>
        <v>1.5555555555555553E-2</v>
      </c>
      <c r="D90" s="47">
        <f t="shared" ref="D90:L90" ca="1" si="74">IF(OR(D$28="",$A90=""),"",D88-D89)</f>
        <v>3.0231523488871554E-2</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f>IF(OR(C$28="",$A101=""),"",-C61-C69)</f>
        <v>0</v>
      </c>
      <c r="D101" s="29">
        <f t="shared" ref="D101:L101" ca="1" si="79">IF(OR(D$28="",$A101=""),"",-D61-D69)</f>
        <v>-2.2708841261197117</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 ca="1">SUM(C101:L101)</f>
        <v>-2.2708841261197117</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f t="shared" ref="C103:M103" ca="1" si="80">IF(OR(C$28="",$A103=""),"",C$116)</f>
        <v>0</v>
      </c>
      <c r="D103" s="48">
        <f t="shared" ca="1" si="80"/>
        <v>0</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f>IF(OR(C$28="",$A104=""),"",C38+C56-C48+C101)</f>
        <v>11.59116925</v>
      </c>
      <c r="D104" s="13">
        <f t="shared" ref="D104:L104" ca="1" si="81">IF(OR(D$28="",$A104=""),"",D38+D56-D48+D101)</f>
        <v>9.3202851238802893</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f>IF(OR(C$28="",$A106=""),"",C104-C105)</f>
        <v>11.59116925</v>
      </c>
      <c r="D106" s="47">
        <f t="shared" ref="D106:L106" ca="1" si="82">IF(OR(D$28="",$A106=""),"",D104-D105)</f>
        <v>9.3202851238802893</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389</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f t="shared" ref="C110:L115" ca="1" si="84">IF(OR(C$28="",$A110=""),"",OFFSET(C$61,8*(ROW(B110)-ROW(B$110)),0))</f>
        <v>0</v>
      </c>
      <c r="D110" s="48">
        <f t="shared" ca="1" si="84"/>
        <v>2.2708841261197117</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2.2708841261197117</v>
      </c>
      <c r="N110" s="163"/>
    </row>
    <row r="111" spans="1:14" x14ac:dyDescent="0.35">
      <c r="A111" t="str">
        <f t="shared" si="83"/>
        <v xml:space="preserve">    Lower Basin</v>
      </c>
      <c r="B111" s="1"/>
      <c r="C111" s="48">
        <f t="shared" ca="1" si="84"/>
        <v>0</v>
      </c>
      <c r="D111" s="48">
        <f t="shared" ca="1" si="84"/>
        <v>0</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f t="shared" ca="1" si="84"/>
        <v>0</v>
      </c>
      <c r="D112" s="48">
        <f t="shared" ca="1" si="84"/>
        <v>0</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f t="shared" ca="1" si="84"/>
        <v>0</v>
      </c>
      <c r="D113" s="48">
        <f t="shared" ca="1" si="84"/>
        <v>0</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f t="shared" ca="1" si="84"/>
        <v>0</v>
      </c>
      <c r="D115" s="48">
        <f t="shared" ca="1" si="84"/>
        <v>-2.2708841261197117</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-2.2708841261197117</v>
      </c>
      <c r="N115" s="163"/>
    </row>
    <row r="116" spans="1:14" x14ac:dyDescent="0.35">
      <c r="A116" t="s">
        <v>93</v>
      </c>
      <c r="B116" s="1"/>
      <c r="C116" s="35">
        <f ca="1">IF(C$28&lt;&gt;"",SUM(C110:C115),"")</f>
        <v>0</v>
      </c>
      <c r="D116" s="35">
        <f t="shared" ref="D116:L116" ca="1" si="86">IF(D$28&lt;&gt;"",SUM(D110:D115),"")</f>
        <v>0</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f t="shared" ref="C118:L123" ca="1" si="87">IF(OR(C$28="",$A118=""),"",OFFSET(C$65,8*(ROW(B118)-ROW(B$118)),0))</f>
        <v>4.2</v>
      </c>
      <c r="D118" s="48">
        <f t="shared" ca="1" si="87"/>
        <v>4.1900000000000004</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f t="shared" ca="1" si="87"/>
        <v>6.8860000000000001</v>
      </c>
      <c r="D119" s="48">
        <f t="shared" ca="1" si="87"/>
        <v>6.4859999999999998</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f t="shared" ca="1" si="87"/>
        <v>1.3048850574712643</v>
      </c>
      <c r="D120" s="48">
        <f t="shared" ca="1" si="87"/>
        <v>1.2388850574712644</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f t="shared" ca="1" si="87"/>
        <v>0</v>
      </c>
      <c r="D121" s="48">
        <f t="shared" ca="1" si="87"/>
        <v>0</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f t="shared" ca="1" si="87"/>
        <v>0</v>
      </c>
      <c r="D123" s="48">
        <f t="shared" ca="1" si="87"/>
        <v>0</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f t="shared" ref="C125:L130" ca="1" si="89">IF(OR(C$28="",$A125=""),"",OFFSET(C$66,8*(ROW(B125)-ROW(B$125)),0))</f>
        <v>0.73041725827333348</v>
      </c>
      <c r="D125" s="48">
        <f t="shared" ca="1" si="89"/>
        <v>9.9999999999997868E-3</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f t="shared" ca="1" si="89"/>
        <v>1.9206576451362052</v>
      </c>
      <c r="D126" s="48">
        <f t="shared" ca="1" si="89"/>
        <v>0.57619188055761672</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f t="shared" ca="1" si="89"/>
        <v>0.16400052856424119</v>
      </c>
      <c r="D127" s="48">
        <f t="shared" ca="1" si="89"/>
        <v>0.15472713203072219</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f t="shared" ca="1" si="89"/>
        <v>1.5555555555555553E-2</v>
      </c>
      <c r="D128" s="48">
        <f t="shared" ca="1" si="89"/>
        <v>3.0231523488871554E-2</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f t="shared" ca="1" si="89"/>
        <v>11.59116925</v>
      </c>
      <c r="D130" s="48">
        <f t="shared" ca="1" si="89"/>
        <v>9.3202851238802893</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f ca="1">IF(C$28&lt;&gt;"",SUM(C125:C130),"")</f>
        <v>14.421800237529336</v>
      </c>
      <c r="D131" s="13">
        <f t="shared" ref="D131:L131" ca="1" si="90">IF(D$28&lt;&gt;"",SUM(D125:D130),"")</f>
        <v>10.091435659957499</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8" t="s">
        <v>258</v>
      </c>
      <c r="B132" s="259"/>
      <c r="C132" s="140">
        <v>0.5</v>
      </c>
      <c r="D132" s="140">
        <v>0.5</v>
      </c>
      <c r="E132" s="140">
        <v>0.5</v>
      </c>
      <c r="F132" s="140"/>
      <c r="G132" s="140"/>
      <c r="H132" s="140"/>
      <c r="I132" s="140"/>
      <c r="J132" s="140"/>
      <c r="K132" s="140"/>
      <c r="L132" s="140"/>
      <c r="N132" s="155" t="s">
        <v>286</v>
      </c>
    </row>
    <row r="133" spans="1:14" x14ac:dyDescent="0.35">
      <c r="A133" s="1" t="s">
        <v>228</v>
      </c>
      <c r="B133" s="1"/>
      <c r="C133" s="13">
        <f ca="1">IF(C28="","",C$132*C$131)</f>
        <v>7.210900118764668</v>
      </c>
      <c r="D133" s="13">
        <f t="shared" ref="D133:L133" ca="1" si="91">IF(D28="","",D$132*D$131)</f>
        <v>5.0457178299787495</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f ca="1">IF(C29="","",(1-C$132)*C$131)</f>
        <v>7.210900118764668</v>
      </c>
      <c r="D134" s="13">
        <f t="shared" ref="D134:L134" ca="1" si="92">IF(D29="","",(1-D$132)*D$131)</f>
        <v>5.0457178299787495</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f ca="1">IF(C$28&lt;&gt;"",VLOOKUP(C133*1000000,'Powell-Elevation-Area'!$B$5:$H$689,7),"")</f>
        <v>3544.5</v>
      </c>
      <c r="D135" s="63">
        <f ca="1">IF(D$28&lt;&gt;"",VLOOKUP(D133*1000000,'Powell-Elevation-Area'!$B$5:$H$689,7),"")</f>
        <v>3509.5</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f ca="1">IF(C$28&lt;&gt;"",VLOOKUP(C134*1000000,'Mead-Elevation-Area'!$B$5:$H$689,7),"")</f>
        <v>1043</v>
      </c>
      <c r="D136" s="63">
        <f ca="1">IF(D$28&lt;&gt;"",VLOOKUP(D134*1000000,'Mead-Elevation-Area'!$B$5:$H$689,7),"")</f>
        <v>1009.5</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f ca="1">IF(C$28&lt;&gt;"",-C133+C40+C28-C65-VLOOKUP(C40*1000000,'Powell-Elevation-Area'!$B$5:$D$689,3)*$B$18/1000000,"")</f>
        <v>7.6772291762353326</v>
      </c>
      <c r="D138" s="13">
        <f ca="1">IF(D$28&lt;&gt;"",-D133+D40+D28-D65-VLOOKUP(D40*1000000,'Powell-Elevation-Area'!$B$5:$D$689,3)*$B$18/1000000,"")</f>
        <v>5.5787787686853445</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 ca="1">IF(C$28&lt;&gt;"",VLOOKUP(C135,PowellReleaseTemperature!$A$5:$B$11,2),"")</f>
        <v>&lt; 18</v>
      </c>
      <c r="D139" s="63" t="str">
        <f ca="1">IF(D$28&lt;&gt;"",VLOOKUP(D135,PowellReleaseTemperature!$A$5:$B$11,2),"")</f>
        <v>&gt; 18</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 ca="1">IF(C$28&lt;&gt;"",VLOOKUP(C$135,PowellReleaseTemperature!$A$5:$E$11,5),"")</f>
        <v>May benefit or face invasion</v>
      </c>
      <c r="D140" s="93" t="str">
        <f ca="1">IF(D$28&lt;&gt;"",VLOOKUP(D$135,PowellReleaseTemperature!$A$5:$E$11,5),"")</f>
        <v>Highly uncertain</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 ca="1">IF(C$28&lt;&gt;"",VLOOKUP(C$135,PowellReleaseTemperature!$A$5:$F$11,6),"")</f>
        <v>Help grow + incubate</v>
      </c>
      <c r="D141" s="93" t="str">
        <f ca="1">IF(D$28&lt;&gt;"",VLOOKUP(D$135,PowellReleaseTemperature!$A$5:$F$11,6),"")</f>
        <v>Unsuitable</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9" priority="60" operator="greaterThan">
      <formula>$H$80</formula>
    </cfRule>
  </conditionalFormatting>
  <conditionalFormatting sqref="I81">
    <cfRule type="cellIs" dxfId="38" priority="59" operator="greaterThan">
      <formula>$I$80</formula>
    </cfRule>
  </conditionalFormatting>
  <conditionalFormatting sqref="J81">
    <cfRule type="cellIs" dxfId="37" priority="58" operator="greaterThan">
      <formula>$J$80</formula>
    </cfRule>
  </conditionalFormatting>
  <conditionalFormatting sqref="K81">
    <cfRule type="cellIs" dxfId="36" priority="57" operator="greaterThan">
      <formula>$K$80</formula>
    </cfRule>
  </conditionalFormatting>
  <conditionalFormatting sqref="L81">
    <cfRule type="cellIs" dxfId="35" priority="56" operator="greaterThan">
      <formula>$L$80</formula>
    </cfRule>
  </conditionalFormatting>
  <conditionalFormatting sqref="C89:L89">
    <cfRule type="cellIs" dxfId="34" priority="55" operator="greaterThan">
      <formula>$C$88</formula>
    </cfRule>
  </conditionalFormatting>
  <conditionalFormatting sqref="H97">
    <cfRule type="cellIs" dxfId="33" priority="49" operator="greaterThan">
      <formula>$H$96</formula>
    </cfRule>
  </conditionalFormatting>
  <conditionalFormatting sqref="I97">
    <cfRule type="cellIs" dxfId="32" priority="48" operator="greaterThan">
      <formula>$I$96</formula>
    </cfRule>
  </conditionalFormatting>
  <conditionalFormatting sqref="J97">
    <cfRule type="cellIs" dxfId="31" priority="47" operator="greaterThan">
      <formula>$J$96</formula>
    </cfRule>
  </conditionalFormatting>
  <conditionalFormatting sqref="K97">
    <cfRule type="cellIs" dxfId="30" priority="46" operator="greaterThan">
      <formula>$K$96</formula>
    </cfRule>
  </conditionalFormatting>
  <conditionalFormatting sqref="L97">
    <cfRule type="cellIs" dxfId="29" priority="45" operator="greaterThan">
      <formula>$L$96</formula>
    </cfRule>
  </conditionalFormatting>
  <conditionalFormatting sqref="C105:D105">
    <cfRule type="cellIs" dxfId="28" priority="44" operator="greaterThan">
      <formula>$C$104</formula>
    </cfRule>
  </conditionalFormatting>
  <conditionalFormatting sqref="E105">
    <cfRule type="cellIs" dxfId="26" priority="42" operator="greaterThan">
      <formula>$E$104</formula>
    </cfRule>
  </conditionalFormatting>
  <conditionalFormatting sqref="F105">
    <cfRule type="cellIs" dxfId="25" priority="41" operator="greaterThan">
      <formula>$F$104</formula>
    </cfRule>
  </conditionalFormatting>
  <conditionalFormatting sqref="G105">
    <cfRule type="cellIs" dxfId="24" priority="40" operator="greaterThan">
      <formula>$G$104</formula>
    </cfRule>
  </conditionalFormatting>
  <conditionalFormatting sqref="H105">
    <cfRule type="cellIs" dxfId="23" priority="39" operator="greaterThan">
      <formula>$H$104</formula>
    </cfRule>
  </conditionalFormatting>
  <conditionalFormatting sqref="I105">
    <cfRule type="cellIs" dxfId="22" priority="38" operator="greaterThan">
      <formula>$I$104</formula>
    </cfRule>
  </conditionalFormatting>
  <conditionalFormatting sqref="J105">
    <cfRule type="cellIs" dxfId="21" priority="37" operator="greaterThan">
      <formula>$J$104</formula>
    </cfRule>
  </conditionalFormatting>
  <conditionalFormatting sqref="K105">
    <cfRule type="cellIs" dxfId="20" priority="36" operator="greaterThan">
      <formula>$K$104</formula>
    </cfRule>
  </conditionalFormatting>
  <conditionalFormatting sqref="L105">
    <cfRule type="cellIs" dxfId="19"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4"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7"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1" t="str">
        <f>'[1]ReadMe-Directions'!A1</f>
        <v>Colorado River Basin Accounts: Provoke Thought and Discussion about New Operations</v>
      </c>
      <c r="B1" s="251"/>
      <c r="C1" s="251"/>
      <c r="D1" s="251"/>
      <c r="E1" s="251"/>
      <c r="F1" s="251"/>
      <c r="G1" s="251"/>
    </row>
    <row r="2" spans="1:14" x14ac:dyDescent="0.35">
      <c r="A2" s="1" t="s">
        <v>375</v>
      </c>
      <c r="B2" s="1"/>
    </row>
    <row r="3" spans="1:14" ht="32.15" customHeight="1" x14ac:dyDescent="0.35">
      <c r="A3" s="261" t="s">
        <v>368</v>
      </c>
      <c r="B3" s="261"/>
      <c r="C3" s="261"/>
      <c r="D3" s="261"/>
      <c r="E3" s="261"/>
      <c r="F3" s="261"/>
      <c r="G3" s="261"/>
      <c r="H3" s="180"/>
      <c r="I3" s="180"/>
      <c r="J3" s="180"/>
      <c r="K3" s="180"/>
      <c r="N3" s="153" t="s">
        <v>296</v>
      </c>
    </row>
    <row r="4" spans="1:14" x14ac:dyDescent="0.35">
      <c r="A4" s="141" t="s">
        <v>235</v>
      </c>
      <c r="B4" s="141" t="s">
        <v>31</v>
      </c>
      <c r="C4" s="262" t="s">
        <v>32</v>
      </c>
      <c r="D4" s="263"/>
      <c r="E4" s="263"/>
      <c r="F4" s="263"/>
      <c r="G4" s="264"/>
      <c r="N4" s="155" t="s">
        <v>260</v>
      </c>
    </row>
    <row r="5" spans="1:14" x14ac:dyDescent="0.35">
      <c r="A5" s="204" t="s">
        <v>28</v>
      </c>
      <c r="B5" s="181"/>
      <c r="C5" s="265"/>
      <c r="D5" s="260"/>
      <c r="E5" s="260"/>
      <c r="F5" s="260"/>
      <c r="G5" s="260"/>
      <c r="N5" s="159"/>
    </row>
    <row r="6" spans="1:14" x14ac:dyDescent="0.35">
      <c r="A6" s="204" t="s">
        <v>29</v>
      </c>
      <c r="B6" s="181"/>
      <c r="C6" s="265"/>
      <c r="D6" s="260"/>
      <c r="E6" s="260"/>
      <c r="F6" s="260"/>
      <c r="G6" s="260"/>
      <c r="N6" s="159"/>
    </row>
    <row r="7" spans="1:14" x14ac:dyDescent="0.35">
      <c r="A7" s="204" t="s">
        <v>30</v>
      </c>
      <c r="B7" s="181"/>
      <c r="C7" s="265"/>
      <c r="D7" s="260"/>
      <c r="E7" s="260"/>
      <c r="F7" s="260"/>
      <c r="G7" s="260"/>
      <c r="N7" s="159"/>
    </row>
    <row r="8" spans="1:14" x14ac:dyDescent="0.35">
      <c r="A8" s="181" t="s">
        <v>94</v>
      </c>
      <c r="B8" s="204"/>
      <c r="C8" s="260"/>
      <c r="D8" s="260"/>
      <c r="E8" s="260"/>
      <c r="F8" s="260"/>
      <c r="G8" s="260"/>
      <c r="N8" s="159"/>
    </row>
    <row r="9" spans="1:14" x14ac:dyDescent="0.35">
      <c r="A9" s="181" t="s">
        <v>334</v>
      </c>
      <c r="B9" s="204"/>
      <c r="C9" s="266"/>
      <c r="D9" s="266"/>
      <c r="E9" s="266"/>
      <c r="F9" s="266"/>
      <c r="G9" s="266"/>
      <c r="N9" s="159"/>
    </row>
    <row r="10" spans="1:14" x14ac:dyDescent="0.35">
      <c r="A10" s="182" t="s">
        <v>97</v>
      </c>
      <c r="B10" s="182"/>
      <c r="C10" s="267"/>
      <c r="D10" s="267"/>
      <c r="E10" s="267"/>
      <c r="F10" s="267"/>
      <c r="G10" s="267"/>
      <c r="N10" s="159"/>
    </row>
    <row r="11" spans="1:14" x14ac:dyDescent="0.35">
      <c r="A11" s="14"/>
      <c r="B11" s="2"/>
      <c r="C11"/>
      <c r="N11" s="159"/>
    </row>
    <row r="12" spans="1:14" x14ac:dyDescent="0.35">
      <c r="A12" s="16" t="s">
        <v>236</v>
      </c>
      <c r="B12" s="268" t="s">
        <v>238</v>
      </c>
      <c r="C12" s="269"/>
      <c r="D12" s="270"/>
      <c r="N12" s="158" t="s">
        <v>261</v>
      </c>
    </row>
    <row r="13" spans="1:14" x14ac:dyDescent="0.35">
      <c r="B13" s="271" t="s">
        <v>239</v>
      </c>
      <c r="C13" s="272"/>
      <c r="D13" s="273"/>
      <c r="N13" s="159"/>
    </row>
    <row r="14" spans="1:14" x14ac:dyDescent="0.35">
      <c r="B14" s="252" t="s">
        <v>240</v>
      </c>
      <c r="C14" s="253"/>
      <c r="D14" s="254"/>
      <c r="N14" s="159"/>
    </row>
    <row r="15" spans="1:14" x14ac:dyDescent="0.35">
      <c r="B15" s="255" t="s">
        <v>33</v>
      </c>
      <c r="C15" s="256"/>
      <c r="D15" s="257"/>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370</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371</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f>Master!C50</f>
        <v>14.5</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f>Master!C51</f>
        <v>3.8577649473807245</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f>Master!C52</f>
        <v>6.1111877394636007</v>
      </c>
      <c r="N41" s="160"/>
      <c r="P41" s="87"/>
    </row>
    <row r="42" spans="1:16" x14ac:dyDescent="0.35">
      <c r="A42" t="str">
        <f t="shared" si="6"/>
        <v xml:space="preserve">    To Mexico</v>
      </c>
      <c r="B42" s="106" t="s">
        <v>399</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f>Master!C53</f>
        <v>1.3048850574712643</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f>Master!C54</f>
        <v>1.5555555555555553E-2</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f>Master!C55</f>
        <v>1.9444827586206894</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f>Master!C56</f>
        <v>0.66612394150816545</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f>Master!C57</f>
        <v>0.6</v>
      </c>
      <c r="N46" s="160"/>
    </row>
    <row r="47" spans="1:16" x14ac:dyDescent="0.35">
      <c r="B47" s="20"/>
      <c r="C47" s="19"/>
      <c r="D47" s="19"/>
      <c r="E47" s="19"/>
      <c r="F47" s="129"/>
      <c r="G47" s="30"/>
      <c r="N47" s="159"/>
    </row>
    <row r="48" spans="1:16" x14ac:dyDescent="0.35">
      <c r="B48" t="s">
        <v>393</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394</v>
      </c>
      <c r="B53">
        <v>8.1999999999999993</v>
      </c>
    </row>
    <row r="54" spans="1:8" x14ac:dyDescent="0.35">
      <c r="A54" t="s">
        <v>395</v>
      </c>
      <c r="B54">
        <v>1.2</v>
      </c>
    </row>
    <row r="55" spans="1:8" x14ac:dyDescent="0.35">
      <c r="A55" t="s">
        <v>396</v>
      </c>
      <c r="B55">
        <v>0.95</v>
      </c>
    </row>
    <row r="56" spans="1:8" x14ac:dyDescent="0.35">
      <c r="A56" t="s">
        <v>397</v>
      </c>
      <c r="B56">
        <f>1.5/2</f>
        <v>0.75</v>
      </c>
    </row>
    <row r="57" spans="1:8" x14ac:dyDescent="0.35">
      <c r="A57" t="s">
        <v>398</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7" t="s">
        <v>138</v>
      </c>
      <c r="E3" s="277"/>
      <c r="F3" s="277" t="s">
        <v>139</v>
      </c>
      <c r="G3" s="277"/>
      <c r="H3" s="277"/>
      <c r="I3" s="277" t="s">
        <v>140</v>
      </c>
      <c r="J3" s="277"/>
      <c r="K3" s="277"/>
      <c r="L3" s="148"/>
      <c r="M3" s="277" t="s">
        <v>30</v>
      </c>
      <c r="N3" s="277"/>
      <c r="O3" s="277"/>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2022-05-19T04:03:59Z</dcterms:modified>
</cp:coreProperties>
</file>