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816B889D-F3C6-4DD1-84B0-2A6CE6D43FF2}" xr6:coauthVersionLast="36" xr6:coauthVersionMax="36" xr10:uidLastSave="{00000000-0000-0000-0000-000000000000}"/>
  <bookViews>
    <workbookView xWindow="0" yWindow="0" windowWidth="19200" windowHeight="6640" activeTab="1" xr2:uid="{5373AB19-D84C-490D-97DC-C516D358024A}"/>
  </bookViews>
  <sheets>
    <sheet name="ReadMe-Directions" sheetId="6" r:id="rId1"/>
    <sheet name="Versions" sheetId="31" r:id="rId2"/>
    <sheet name="Master" sheetId="44" r:id="rId3"/>
    <sheet name="Master-Today" sheetId="42" r:id="rId4"/>
    <sheet name="8.5-Trade" sheetId="33" r:id="rId5"/>
    <sheet name="8.5-LawOfRiver" sheetId="35" r:id="rId6"/>
    <sheet name="8.5-Plots" sheetId="19" r:id="rId7"/>
    <sheet name="MillenniumRecover-LawOfRiver" sheetId="37" r:id="rId8"/>
    <sheet name="MillenniumRecover-Trade" sheetId="39" r:id="rId9"/>
    <sheet name="Millennium-Plots" sheetId="28" r:id="rId10"/>
    <sheet name="MillenniumRecover-Delta" sheetId="40" r:id="rId11"/>
    <sheet name="LowerBasinCuts" sheetId="41" r:id="rId12"/>
    <sheet name="HydrologicScenarios" sheetId="7" r:id="rId13"/>
    <sheet name="PowellReleaseTemperature" sheetId="43" r:id="rId14"/>
    <sheet name="Powell-Elevation-Area" sheetId="2" r:id="rId15"/>
    <sheet name="Mead-Elevation-Area" sheetId="10" r:id="rId16"/>
    <sheet name="11.0-LawOfRiverShort" sheetId="16"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4" i="42" l="1"/>
  <c r="G134" i="42"/>
  <c r="H134" i="42"/>
  <c r="I134" i="42"/>
  <c r="J134" i="42"/>
  <c r="K134" i="42"/>
  <c r="L134" i="42"/>
  <c r="F135" i="42"/>
  <c r="G135" i="42"/>
  <c r="H135" i="42"/>
  <c r="I135" i="42"/>
  <c r="J135" i="42"/>
  <c r="K135" i="42"/>
  <c r="L135" i="42"/>
  <c r="F131" i="42"/>
  <c r="G131" i="42"/>
  <c r="H131" i="42"/>
  <c r="I131" i="42"/>
  <c r="J131" i="42"/>
  <c r="K131" i="42"/>
  <c r="L131" i="42"/>
  <c r="F132" i="42"/>
  <c r="G132" i="42"/>
  <c r="H132" i="42"/>
  <c r="I132" i="42"/>
  <c r="J132" i="42"/>
  <c r="K132" i="42"/>
  <c r="L132" i="42"/>
  <c r="L138" i="44"/>
  <c r="K138" i="44"/>
  <c r="J138" i="44"/>
  <c r="I138" i="44"/>
  <c r="H138" i="44"/>
  <c r="L137" i="44"/>
  <c r="K137" i="44"/>
  <c r="J137" i="44"/>
  <c r="I137" i="44"/>
  <c r="H137" i="44"/>
  <c r="G137" i="44"/>
  <c r="F137" i="44"/>
  <c r="E137" i="44"/>
  <c r="D137" i="44"/>
  <c r="C137" i="44"/>
  <c r="L135" i="44"/>
  <c r="K135" i="44"/>
  <c r="J135" i="44"/>
  <c r="I135" i="44"/>
  <c r="H135" i="44"/>
  <c r="L134" i="44"/>
  <c r="K134" i="44"/>
  <c r="J134" i="44"/>
  <c r="I134" i="44"/>
  <c r="H134" i="44"/>
  <c r="L132" i="44"/>
  <c r="K132" i="44"/>
  <c r="J132" i="44"/>
  <c r="I132" i="44"/>
  <c r="H132" i="44"/>
  <c r="L131" i="44"/>
  <c r="K131" i="44"/>
  <c r="J131" i="44"/>
  <c r="I131" i="44"/>
  <c r="H131" i="44"/>
  <c r="I130" i="44"/>
  <c r="L129" i="44"/>
  <c r="K129" i="44"/>
  <c r="J129" i="44"/>
  <c r="I129" i="44"/>
  <c r="H129" i="44"/>
  <c r="L127" i="44"/>
  <c r="K127" i="44"/>
  <c r="J127" i="44"/>
  <c r="I127" i="44"/>
  <c r="H127" i="44"/>
  <c r="L126" i="44"/>
  <c r="G126" i="44"/>
  <c r="E126" i="44"/>
  <c r="D126" i="44"/>
  <c r="A126" i="44"/>
  <c r="F126" i="44" s="1"/>
  <c r="A125" i="44"/>
  <c r="A124" i="44"/>
  <c r="L124" i="44" s="1"/>
  <c r="H123" i="44"/>
  <c r="A123" i="44"/>
  <c r="K122" i="44"/>
  <c r="I122" i="44"/>
  <c r="H122" i="44"/>
  <c r="A122" i="44"/>
  <c r="J122" i="44" s="1"/>
  <c r="L121" i="44"/>
  <c r="K121" i="44"/>
  <c r="H121" i="44"/>
  <c r="A121" i="44"/>
  <c r="J121" i="44" s="1"/>
  <c r="K119" i="44"/>
  <c r="I119" i="44"/>
  <c r="H119" i="44"/>
  <c r="G119" i="44"/>
  <c r="F119" i="44"/>
  <c r="E119" i="44"/>
  <c r="C119" i="44"/>
  <c r="A119" i="44"/>
  <c r="L119" i="44" s="1"/>
  <c r="L118" i="44"/>
  <c r="D118" i="44"/>
  <c r="A118" i="44"/>
  <c r="K118" i="44" s="1"/>
  <c r="L117" i="44"/>
  <c r="K117" i="44"/>
  <c r="I117" i="44"/>
  <c r="A117" i="44"/>
  <c r="J117" i="44" s="1"/>
  <c r="A116" i="44"/>
  <c r="K115" i="44"/>
  <c r="E115" i="44"/>
  <c r="E138" i="44" s="1"/>
  <c r="C115" i="44"/>
  <c r="C138" i="44" s="1"/>
  <c r="A115" i="44"/>
  <c r="L115" i="44" s="1"/>
  <c r="H114" i="44"/>
  <c r="F114" i="44"/>
  <c r="A114" i="44"/>
  <c r="G114" i="44" s="1"/>
  <c r="L112" i="44"/>
  <c r="K112" i="44"/>
  <c r="J112" i="44"/>
  <c r="I112" i="44"/>
  <c r="H112" i="44"/>
  <c r="N111" i="44"/>
  <c r="M111" i="44"/>
  <c r="L111" i="44"/>
  <c r="K111" i="44"/>
  <c r="I111" i="44"/>
  <c r="G111" i="44"/>
  <c r="F111" i="44"/>
  <c r="E111" i="44"/>
  <c r="D111" i="44"/>
  <c r="C111" i="44"/>
  <c r="A111" i="44"/>
  <c r="J111" i="44" s="1"/>
  <c r="L110" i="44"/>
  <c r="D110" i="44"/>
  <c r="A110" i="44"/>
  <c r="K110" i="44" s="1"/>
  <c r="K109" i="44"/>
  <c r="I109" i="44"/>
  <c r="H109" i="44"/>
  <c r="G109" i="44"/>
  <c r="F109" i="44"/>
  <c r="E109" i="44"/>
  <c r="C109" i="44"/>
  <c r="A109" i="44"/>
  <c r="L109" i="44" s="1"/>
  <c r="L108" i="44"/>
  <c r="K108" i="44"/>
  <c r="H108" i="44"/>
  <c r="F108" i="44"/>
  <c r="D108" i="44"/>
  <c r="C108" i="44"/>
  <c r="A108" i="44"/>
  <c r="K107" i="44"/>
  <c r="I107" i="44"/>
  <c r="H107" i="44"/>
  <c r="G107" i="44"/>
  <c r="E107" i="44"/>
  <c r="C107" i="44"/>
  <c r="A107" i="44"/>
  <c r="J107" i="44" s="1"/>
  <c r="H106" i="44"/>
  <c r="C106" i="44"/>
  <c r="A106" i="44"/>
  <c r="G106" i="44" s="1"/>
  <c r="A100" i="44"/>
  <c r="M98" i="44"/>
  <c r="A98" i="44"/>
  <c r="N98" i="44" s="1"/>
  <c r="M97" i="44"/>
  <c r="A97" i="44"/>
  <c r="N97" i="44" s="1"/>
  <c r="A96" i="44"/>
  <c r="M90" i="44"/>
  <c r="M89" i="44"/>
  <c r="A88" i="44"/>
  <c r="A89" i="44" s="1"/>
  <c r="M82" i="44"/>
  <c r="N109" i="44" s="1"/>
  <c r="M81" i="44"/>
  <c r="A80" i="44"/>
  <c r="A81" i="44" s="1"/>
  <c r="M74" i="44"/>
  <c r="N108" i="44" s="1"/>
  <c r="M73" i="44"/>
  <c r="A72" i="44"/>
  <c r="A73" i="44" s="1"/>
  <c r="M65" i="44"/>
  <c r="A64" i="44"/>
  <c r="A65" i="44" s="1"/>
  <c r="M57" i="44"/>
  <c r="F106" i="44"/>
  <c r="A56" i="44"/>
  <c r="A57" i="44" s="1"/>
  <c r="K53" i="44"/>
  <c r="H53" i="44"/>
  <c r="E53" i="44"/>
  <c r="C53" i="44"/>
  <c r="A53" i="44"/>
  <c r="G53" i="44" s="1"/>
  <c r="K52" i="44"/>
  <c r="H52" i="44"/>
  <c r="A52" i="44"/>
  <c r="J52" i="44" s="1"/>
  <c r="K51" i="44"/>
  <c r="I51" i="44"/>
  <c r="A51" i="44"/>
  <c r="L51" i="44" s="1"/>
  <c r="L50" i="44"/>
  <c r="I50" i="44"/>
  <c r="H50" i="44"/>
  <c r="A50" i="44"/>
  <c r="L49" i="44"/>
  <c r="B49" i="44"/>
  <c r="A49" i="44"/>
  <c r="K49" i="44" s="1"/>
  <c r="K48" i="44"/>
  <c r="H48" i="44"/>
  <c r="A48" i="44"/>
  <c r="L47" i="44"/>
  <c r="K47" i="44"/>
  <c r="J47" i="44"/>
  <c r="I47" i="44"/>
  <c r="H47" i="44"/>
  <c r="L46" i="44"/>
  <c r="K46" i="44"/>
  <c r="J46" i="44"/>
  <c r="I46" i="44"/>
  <c r="H46" i="44"/>
  <c r="J45" i="44"/>
  <c r="G45" i="44"/>
  <c r="D45" i="44"/>
  <c r="A45" i="44"/>
  <c r="J44" i="44"/>
  <c r="A44" i="44"/>
  <c r="J43" i="44"/>
  <c r="H43" i="44"/>
  <c r="A43" i="44"/>
  <c r="K42" i="44"/>
  <c r="H42" i="44"/>
  <c r="A42" i="44"/>
  <c r="K41" i="44"/>
  <c r="H41" i="44"/>
  <c r="A41" i="44"/>
  <c r="J41" i="44" s="1"/>
  <c r="K40" i="44"/>
  <c r="I40" i="44"/>
  <c r="A40" i="44"/>
  <c r="L40" i="44" s="1"/>
  <c r="L39" i="44"/>
  <c r="K39" i="44"/>
  <c r="J39" i="44"/>
  <c r="I39" i="44"/>
  <c r="H39" i="44"/>
  <c r="H38" i="44"/>
  <c r="C38" i="44"/>
  <c r="C46" i="44" s="1"/>
  <c r="L37" i="44"/>
  <c r="K37" i="44"/>
  <c r="J37" i="44"/>
  <c r="I37" i="44"/>
  <c r="H37" i="44"/>
  <c r="C37" i="44"/>
  <c r="C39" i="44" s="1"/>
  <c r="C42" i="44" s="1"/>
  <c r="C35" i="44"/>
  <c r="A35" i="44"/>
  <c r="L35" i="44" s="1"/>
  <c r="J34" i="44"/>
  <c r="A34" i="44"/>
  <c r="L34" i="44" s="1"/>
  <c r="I33" i="44"/>
  <c r="A33" i="44"/>
  <c r="H33" i="44" s="1"/>
  <c r="L32" i="44"/>
  <c r="K32" i="44"/>
  <c r="I32" i="44"/>
  <c r="H32" i="44"/>
  <c r="C32" i="44"/>
  <c r="A32" i="44"/>
  <c r="J32" i="44" s="1"/>
  <c r="L31" i="44"/>
  <c r="K31" i="44"/>
  <c r="H31" i="44"/>
  <c r="A31" i="44"/>
  <c r="L30" i="44"/>
  <c r="K30" i="44"/>
  <c r="J30" i="44"/>
  <c r="H30" i="44"/>
  <c r="A30" i="44"/>
  <c r="I30" i="44" s="1"/>
  <c r="L29" i="44"/>
  <c r="K29" i="44"/>
  <c r="J29" i="44"/>
  <c r="I29" i="44"/>
  <c r="H29" i="44"/>
  <c r="C29" i="44"/>
  <c r="L28" i="44"/>
  <c r="K28" i="44"/>
  <c r="K130" i="44" s="1"/>
  <c r="J28" i="44"/>
  <c r="J130" i="44" s="1"/>
  <c r="I28" i="44"/>
  <c r="I38" i="44" s="1"/>
  <c r="H28" i="44"/>
  <c r="H130" i="44" s="1"/>
  <c r="G28" i="44"/>
  <c r="F28" i="44"/>
  <c r="E28" i="44"/>
  <c r="D28" i="44"/>
  <c r="C28" i="44"/>
  <c r="C47" i="44" s="1"/>
  <c r="C24" i="44"/>
  <c r="B31" i="44" s="1"/>
  <c r="C31" i="44" s="1"/>
  <c r="B24" i="44"/>
  <c r="B30" i="44" s="1"/>
  <c r="A1" i="44"/>
  <c r="H134" i="33"/>
  <c r="I134" i="33"/>
  <c r="J134" i="33"/>
  <c r="K134" i="33"/>
  <c r="L134" i="33"/>
  <c r="H135" i="33"/>
  <c r="I135" i="33"/>
  <c r="J135" i="33"/>
  <c r="K135" i="33"/>
  <c r="L135" i="33"/>
  <c r="H131" i="33"/>
  <c r="I131" i="33"/>
  <c r="J131" i="33"/>
  <c r="K131" i="33"/>
  <c r="L131" i="33"/>
  <c r="H132" i="33"/>
  <c r="I132" i="33"/>
  <c r="J132" i="33"/>
  <c r="K132" i="33"/>
  <c r="L132" i="33"/>
  <c r="H135" i="35"/>
  <c r="I135" i="35"/>
  <c r="J135" i="35"/>
  <c r="K135" i="35"/>
  <c r="L135" i="35"/>
  <c r="H134" i="35"/>
  <c r="I134" i="35"/>
  <c r="J134" i="35"/>
  <c r="K134" i="35"/>
  <c r="L134" i="35"/>
  <c r="H131" i="35"/>
  <c r="I131" i="35"/>
  <c r="J131" i="35"/>
  <c r="K131" i="35"/>
  <c r="L131" i="35"/>
  <c r="H132" i="35"/>
  <c r="I132" i="35"/>
  <c r="J132" i="35"/>
  <c r="K132" i="35"/>
  <c r="L132" i="35"/>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30" i="44" l="1"/>
  <c r="J33" i="44"/>
  <c r="D35" i="44"/>
  <c r="C41" i="44"/>
  <c r="A66" i="44"/>
  <c r="I100" i="44"/>
  <c r="H100" i="44"/>
  <c r="G100" i="44"/>
  <c r="A101" i="44"/>
  <c r="F100" i="44"/>
  <c r="L100" i="44"/>
  <c r="D100" i="44"/>
  <c r="K100" i="44"/>
  <c r="C100" i="44"/>
  <c r="A58" i="44"/>
  <c r="N57" i="44"/>
  <c r="N65" i="44" s="1"/>
  <c r="N73" i="44" s="1"/>
  <c r="N81" i="44" s="1"/>
  <c r="N89" i="44" s="1"/>
  <c r="D47" i="44"/>
  <c r="L130" i="44"/>
  <c r="L38" i="44"/>
  <c r="I31" i="44"/>
  <c r="C33" i="44"/>
  <c r="K33" i="44"/>
  <c r="F35" i="44"/>
  <c r="J38" i="44"/>
  <c r="L43" i="44"/>
  <c r="K43" i="44"/>
  <c r="C43" i="44"/>
  <c r="I43" i="44"/>
  <c r="F45" i="44"/>
  <c r="E45" i="44"/>
  <c r="K45" i="44"/>
  <c r="C45" i="44"/>
  <c r="I45" i="44"/>
  <c r="H45" i="44"/>
  <c r="E100" i="44"/>
  <c r="E47" i="44"/>
  <c r="J31" i="44"/>
  <c r="L33" i="44"/>
  <c r="H34" i="44"/>
  <c r="G35" i="44"/>
  <c r="K38" i="44"/>
  <c r="M66" i="44"/>
  <c r="N107" i="44" s="1"/>
  <c r="M58" i="44"/>
  <c r="N106" i="44" s="1"/>
  <c r="J100" i="44"/>
  <c r="I34" i="44"/>
  <c r="J35" i="44"/>
  <c r="C40" i="44"/>
  <c r="A90" i="44"/>
  <c r="N100" i="44"/>
  <c r="A74" i="44"/>
  <c r="G47" i="44"/>
  <c r="B34" i="44"/>
  <c r="B29" i="44" s="1"/>
  <c r="K35" i="44"/>
  <c r="I116" i="44"/>
  <c r="H116" i="44"/>
  <c r="G116" i="44"/>
  <c r="F116" i="44"/>
  <c r="E116" i="44"/>
  <c r="L116" i="44"/>
  <c r="D116" i="44"/>
  <c r="K116" i="44"/>
  <c r="C116" i="44"/>
  <c r="I125" i="44"/>
  <c r="H125" i="44"/>
  <c r="L125" i="44"/>
  <c r="K125" i="44"/>
  <c r="C34" i="44"/>
  <c r="K34" i="44"/>
  <c r="I44" i="44"/>
  <c r="H44" i="44"/>
  <c r="L44" i="44"/>
  <c r="K44" i="44"/>
  <c r="C44" i="44"/>
  <c r="C52" i="44" s="1"/>
  <c r="L45" i="44"/>
  <c r="F47" i="44"/>
  <c r="A82" i="44"/>
  <c r="A99" i="44"/>
  <c r="J116" i="44"/>
  <c r="J125" i="44"/>
  <c r="E35" i="44"/>
  <c r="I35" i="44"/>
  <c r="H35" i="44"/>
  <c r="L41" i="44"/>
  <c r="I42" i="44"/>
  <c r="I48" i="44"/>
  <c r="J50" i="44"/>
  <c r="L52" i="44"/>
  <c r="I53" i="44"/>
  <c r="I106" i="44"/>
  <c r="D107" i="44"/>
  <c r="L107" i="44"/>
  <c r="G108" i="44"/>
  <c r="J109" i="44"/>
  <c r="E110" i="44"/>
  <c r="H111" i="44"/>
  <c r="I114" i="44"/>
  <c r="F115" i="44"/>
  <c r="F138" i="44" s="1"/>
  <c r="H117" i="44"/>
  <c r="E118" i="44"/>
  <c r="J119" i="44"/>
  <c r="L122" i="44"/>
  <c r="I123" i="44"/>
  <c r="H126" i="44"/>
  <c r="H40" i="44"/>
  <c r="J42" i="44"/>
  <c r="J48" i="44"/>
  <c r="K50" i="44"/>
  <c r="H51" i="44"/>
  <c r="J53" i="44"/>
  <c r="J106" i="44"/>
  <c r="F110" i="44"/>
  <c r="N110" i="44"/>
  <c r="J114" i="44"/>
  <c r="G115" i="44"/>
  <c r="G138" i="44" s="1"/>
  <c r="F118" i="44"/>
  <c r="J123" i="44"/>
  <c r="I126" i="44"/>
  <c r="K106" i="44"/>
  <c r="F107" i="44"/>
  <c r="F112" i="44" s="1"/>
  <c r="I108" i="44"/>
  <c r="D109" i="44"/>
  <c r="G110" i="44"/>
  <c r="G112" i="44" s="1"/>
  <c r="C114" i="44"/>
  <c r="K114" i="44"/>
  <c r="H115" i="44"/>
  <c r="G118" i="44"/>
  <c r="D119" i="44"/>
  <c r="I121" i="44"/>
  <c r="K123" i="44"/>
  <c r="H124" i="44"/>
  <c r="J126" i="44"/>
  <c r="J40" i="44"/>
  <c r="L42" i="44"/>
  <c r="L48" i="44"/>
  <c r="H49" i="44"/>
  <c r="J51" i="44"/>
  <c r="D53" i="44"/>
  <c r="L53" i="44"/>
  <c r="D106" i="44"/>
  <c r="L106" i="44"/>
  <c r="J108" i="44"/>
  <c r="H110" i="44"/>
  <c r="D114" i="44"/>
  <c r="L114" i="44"/>
  <c r="I115" i="44"/>
  <c r="H118" i="44"/>
  <c r="L123" i="44"/>
  <c r="I124" i="44"/>
  <c r="C126" i="44"/>
  <c r="K126" i="44"/>
  <c r="I49" i="44"/>
  <c r="E106" i="44"/>
  <c r="E112" i="44" s="1"/>
  <c r="I110" i="44"/>
  <c r="E114" i="44"/>
  <c r="J115" i="44"/>
  <c r="I118" i="44"/>
  <c r="J124" i="44"/>
  <c r="I41" i="44"/>
  <c r="J49" i="44"/>
  <c r="I52" i="44"/>
  <c r="F53" i="44"/>
  <c r="J110" i="44"/>
  <c r="J118" i="44"/>
  <c r="K124" i="44"/>
  <c r="E108" i="44"/>
  <c r="C110" i="44"/>
  <c r="C112" i="44" s="1"/>
  <c r="D115" i="44"/>
  <c r="D138" i="44" s="1"/>
  <c r="C118" i="44"/>
  <c r="E28" i="35"/>
  <c r="C58" i="33"/>
  <c r="F58" i="33"/>
  <c r="F57" i="33"/>
  <c r="F74" i="33"/>
  <c r="E74" i="33"/>
  <c r="E66" i="33"/>
  <c r="D58" i="33"/>
  <c r="E58" i="33"/>
  <c r="M109" i="44" l="1"/>
  <c r="M107" i="44"/>
  <c r="M108" i="44"/>
  <c r="M110" i="44"/>
  <c r="C51" i="44"/>
  <c r="C50" i="44" s="1"/>
  <c r="A60" i="44"/>
  <c r="A59" i="44"/>
  <c r="N58" i="44"/>
  <c r="A75" i="44"/>
  <c r="A76" i="44"/>
  <c r="A84" i="44"/>
  <c r="A83" i="44"/>
  <c r="M106" i="44"/>
  <c r="D112" i="44"/>
  <c r="A67" i="44"/>
  <c r="A68" i="44"/>
  <c r="N66" i="44"/>
  <c r="N74" i="44" s="1"/>
  <c r="N82" i="44" s="1"/>
  <c r="N90" i="44" s="1"/>
  <c r="A91" i="44"/>
  <c r="A92" i="44"/>
  <c r="N99" i="44"/>
  <c r="F99" i="44"/>
  <c r="M99" i="44"/>
  <c r="E99" i="44"/>
  <c r="L99" i="44"/>
  <c r="D99" i="44"/>
  <c r="K99" i="44"/>
  <c r="C99" i="44"/>
  <c r="I99" i="44"/>
  <c r="H99" i="44"/>
  <c r="G99" i="44"/>
  <c r="J99" i="44"/>
  <c r="A102" i="44"/>
  <c r="N101" i="44"/>
  <c r="L138" i="42"/>
  <c r="K138" i="42"/>
  <c r="J138" i="42"/>
  <c r="I138" i="42"/>
  <c r="H138" i="42"/>
  <c r="G138" i="42"/>
  <c r="F138" i="42"/>
  <c r="L137" i="42"/>
  <c r="K137" i="42"/>
  <c r="J137" i="42"/>
  <c r="I137" i="42"/>
  <c r="H137" i="42"/>
  <c r="G137" i="42"/>
  <c r="F137" i="42"/>
  <c r="E137" i="42"/>
  <c r="D137" i="42"/>
  <c r="C137" i="42"/>
  <c r="F130" i="42"/>
  <c r="L129" i="42"/>
  <c r="K129" i="42"/>
  <c r="J129" i="42"/>
  <c r="I129" i="42"/>
  <c r="H129" i="42"/>
  <c r="G129" i="42"/>
  <c r="F129" i="42"/>
  <c r="L127" i="42"/>
  <c r="K127" i="42"/>
  <c r="J127" i="42"/>
  <c r="I127" i="42"/>
  <c r="H127" i="42"/>
  <c r="G127" i="42"/>
  <c r="F127" i="42"/>
  <c r="L126" i="42"/>
  <c r="D126" i="42"/>
  <c r="A126" i="42"/>
  <c r="F126" i="42" s="1"/>
  <c r="A125" i="42"/>
  <c r="K125" i="42" s="1"/>
  <c r="A124" i="42"/>
  <c r="I124" i="42" s="1"/>
  <c r="H123" i="42"/>
  <c r="A123" i="42"/>
  <c r="G123" i="42" s="1"/>
  <c r="A122" i="42"/>
  <c r="J122" i="42" s="1"/>
  <c r="A121" i="42"/>
  <c r="K121" i="42" s="1"/>
  <c r="I119" i="42"/>
  <c r="F119" i="42"/>
  <c r="E119" i="42"/>
  <c r="A119" i="42"/>
  <c r="J119" i="42" s="1"/>
  <c r="L118" i="42"/>
  <c r="I118" i="42"/>
  <c r="H118" i="42"/>
  <c r="F118" i="42"/>
  <c r="E118" i="42"/>
  <c r="D118" i="42"/>
  <c r="C118" i="42"/>
  <c r="A118" i="42"/>
  <c r="K118" i="42" s="1"/>
  <c r="L117" i="42"/>
  <c r="K117" i="42"/>
  <c r="I117" i="42"/>
  <c r="H117" i="42"/>
  <c r="G117" i="42"/>
  <c r="F117" i="42"/>
  <c r="A117" i="42"/>
  <c r="G116" i="42"/>
  <c r="F116" i="42"/>
  <c r="A116" i="42"/>
  <c r="K116" i="42" s="1"/>
  <c r="A115" i="42"/>
  <c r="L114" i="42"/>
  <c r="I114" i="42"/>
  <c r="H114" i="42"/>
  <c r="G114" i="42"/>
  <c r="E114" i="42"/>
  <c r="D114" i="42"/>
  <c r="A114" i="42"/>
  <c r="F114" i="42" s="1"/>
  <c r="L112" i="42"/>
  <c r="K112" i="42"/>
  <c r="J112" i="42"/>
  <c r="I112" i="42"/>
  <c r="H112" i="42"/>
  <c r="G112" i="42"/>
  <c r="F112" i="42"/>
  <c r="A111" i="42"/>
  <c r="M111" i="42" s="1"/>
  <c r="A110" i="42"/>
  <c r="J110" i="42" s="1"/>
  <c r="A109" i="42"/>
  <c r="J109" i="42" s="1"/>
  <c r="C108" i="42"/>
  <c r="A108" i="42"/>
  <c r="J108" i="42" s="1"/>
  <c r="A107" i="42"/>
  <c r="J107" i="42" s="1"/>
  <c r="A106" i="42"/>
  <c r="H106" i="42" s="1"/>
  <c r="M98" i="42"/>
  <c r="M97" i="42"/>
  <c r="A97" i="42"/>
  <c r="A96" i="42"/>
  <c r="M90" i="42"/>
  <c r="N110" i="42" s="1"/>
  <c r="M89" i="42"/>
  <c r="A89" i="42"/>
  <c r="A90" i="42" s="1"/>
  <c r="A92" i="42" s="1"/>
  <c r="A88" i="42"/>
  <c r="L85" i="42"/>
  <c r="K85" i="42"/>
  <c r="J85" i="42"/>
  <c r="I85" i="42"/>
  <c r="H85" i="42"/>
  <c r="G85" i="42"/>
  <c r="F85" i="42"/>
  <c r="L84" i="42"/>
  <c r="M82" i="42"/>
  <c r="M81" i="42"/>
  <c r="A81" i="42"/>
  <c r="A82" i="42" s="1"/>
  <c r="A84" i="42" s="1"/>
  <c r="A80" i="42"/>
  <c r="M74" i="42"/>
  <c r="M73" i="42"/>
  <c r="A73" i="42"/>
  <c r="A74" i="42" s="1"/>
  <c r="A72" i="42"/>
  <c r="M66" i="42"/>
  <c r="M65" i="42"/>
  <c r="A64" i="42"/>
  <c r="A65" i="42" s="1"/>
  <c r="A66" i="42" s="1"/>
  <c r="A68" i="42" s="1"/>
  <c r="I68" i="42" s="1"/>
  <c r="M58" i="42"/>
  <c r="M57" i="42"/>
  <c r="A56" i="42"/>
  <c r="A57" i="42" s="1"/>
  <c r="A53" i="42"/>
  <c r="E53" i="42" s="1"/>
  <c r="H52" i="42"/>
  <c r="A52" i="42"/>
  <c r="J52" i="42" s="1"/>
  <c r="I51" i="42"/>
  <c r="H51" i="42"/>
  <c r="A51" i="42"/>
  <c r="A50" i="42"/>
  <c r="F50" i="42" s="1"/>
  <c r="B49" i="42"/>
  <c r="A49" i="42"/>
  <c r="A48" i="42"/>
  <c r="L47" i="42"/>
  <c r="K47" i="42"/>
  <c r="J47" i="42"/>
  <c r="I47" i="42"/>
  <c r="H47" i="42"/>
  <c r="G47" i="42"/>
  <c r="F47" i="42"/>
  <c r="L46" i="42"/>
  <c r="K46" i="42"/>
  <c r="J46" i="42"/>
  <c r="I46" i="42"/>
  <c r="H46" i="42"/>
  <c r="G46" i="42"/>
  <c r="F46" i="42"/>
  <c r="A45" i="42"/>
  <c r="F45" i="42" s="1"/>
  <c r="H44" i="42"/>
  <c r="A44" i="42"/>
  <c r="K44" i="42" s="1"/>
  <c r="A43" i="42"/>
  <c r="K43" i="42" s="1"/>
  <c r="A42" i="42"/>
  <c r="K41" i="42"/>
  <c r="H41" i="42"/>
  <c r="A41" i="42"/>
  <c r="J41" i="42" s="1"/>
  <c r="G40" i="42"/>
  <c r="A40" i="42"/>
  <c r="L39" i="42"/>
  <c r="K39" i="42"/>
  <c r="J39" i="42"/>
  <c r="I39" i="42"/>
  <c r="H39" i="42"/>
  <c r="G39" i="42"/>
  <c r="F39" i="42"/>
  <c r="L38" i="42"/>
  <c r="K38" i="42"/>
  <c r="J38" i="42"/>
  <c r="I38" i="42"/>
  <c r="H38" i="42"/>
  <c r="G38" i="42"/>
  <c r="F38" i="42"/>
  <c r="C38" i="42"/>
  <c r="C46" i="42" s="1"/>
  <c r="L37" i="42"/>
  <c r="K37" i="42"/>
  <c r="J37" i="42"/>
  <c r="I37" i="42"/>
  <c r="H37" i="42"/>
  <c r="G37" i="42"/>
  <c r="F37" i="42"/>
  <c r="C37" i="42"/>
  <c r="C39" i="42" s="1"/>
  <c r="L35" i="42"/>
  <c r="H35" i="42"/>
  <c r="A35" i="42"/>
  <c r="F35" i="42" s="1"/>
  <c r="K34" i="42"/>
  <c r="J34" i="42"/>
  <c r="A34" i="42"/>
  <c r="I34" i="42" s="1"/>
  <c r="A33" i="42"/>
  <c r="F32" i="42"/>
  <c r="C32" i="42"/>
  <c r="A32" i="42"/>
  <c r="K32" i="42" s="1"/>
  <c r="A31" i="42"/>
  <c r="L31" i="42" s="1"/>
  <c r="A30" i="42"/>
  <c r="J30" i="42" s="1"/>
  <c r="L29" i="42"/>
  <c r="K29" i="42"/>
  <c r="J29" i="42"/>
  <c r="I29" i="42"/>
  <c r="H29" i="42"/>
  <c r="G29" i="42"/>
  <c r="F29" i="42"/>
  <c r="C29" i="42"/>
  <c r="L28" i="42"/>
  <c r="L130" i="42" s="1"/>
  <c r="K28" i="42"/>
  <c r="K130" i="42" s="1"/>
  <c r="J28" i="42"/>
  <c r="J130" i="42" s="1"/>
  <c r="I28" i="42"/>
  <c r="I130" i="42" s="1"/>
  <c r="H28" i="42"/>
  <c r="H130" i="42" s="1"/>
  <c r="G28" i="42"/>
  <c r="G130" i="42" s="1"/>
  <c r="F28" i="42"/>
  <c r="E28" i="42"/>
  <c r="E47" i="42" s="1"/>
  <c r="D28" i="42"/>
  <c r="C28" i="42"/>
  <c r="C24" i="42"/>
  <c r="B31" i="42" s="1"/>
  <c r="B24" i="42"/>
  <c r="B30" i="42" s="1"/>
  <c r="A1" i="42"/>
  <c r="D47" i="42" l="1"/>
  <c r="C40" i="42"/>
  <c r="C47" i="42"/>
  <c r="C33" i="42"/>
  <c r="G34" i="42"/>
  <c r="I35" i="42"/>
  <c r="I41" i="42"/>
  <c r="L44" i="42"/>
  <c r="I52" i="42"/>
  <c r="K126" i="42"/>
  <c r="H33" i="42"/>
  <c r="H40" i="42"/>
  <c r="H45" i="42"/>
  <c r="K51" i="42"/>
  <c r="N109" i="42"/>
  <c r="K33" i="42"/>
  <c r="D35" i="42"/>
  <c r="K40" i="42"/>
  <c r="I45" i="42"/>
  <c r="F125" i="42"/>
  <c r="E35" i="42"/>
  <c r="L45" i="42"/>
  <c r="C52" i="42"/>
  <c r="C110" i="42"/>
  <c r="G125" i="42"/>
  <c r="F33" i="42"/>
  <c r="D45" i="42"/>
  <c r="F109" i="42"/>
  <c r="C34" i="42"/>
  <c r="G35" i="42"/>
  <c r="G44" i="42"/>
  <c r="F52" i="42"/>
  <c r="D110" i="42"/>
  <c r="N111" i="42"/>
  <c r="J31" i="42"/>
  <c r="F40" i="42"/>
  <c r="C44" i="42"/>
  <c r="G45" i="42"/>
  <c r="G51" i="42"/>
  <c r="F53" i="42"/>
  <c r="I106" i="42"/>
  <c r="L107" i="42"/>
  <c r="K110" i="42"/>
  <c r="I111" i="42"/>
  <c r="J124" i="42"/>
  <c r="H126" i="42"/>
  <c r="L106" i="42"/>
  <c r="L110" i="42"/>
  <c r="K111" i="42"/>
  <c r="C107" i="42"/>
  <c r="G32" i="42"/>
  <c r="G33" i="42"/>
  <c r="H34" i="42"/>
  <c r="L40" i="42"/>
  <c r="L41" i="42"/>
  <c r="L51" i="42"/>
  <c r="K52" i="42"/>
  <c r="D106" i="42"/>
  <c r="D107" i="42"/>
  <c r="E110" i="42"/>
  <c r="D111" i="42"/>
  <c r="G122" i="42"/>
  <c r="I123" i="42"/>
  <c r="L111" i="42"/>
  <c r="C111" i="42"/>
  <c r="I32" i="42"/>
  <c r="L52" i="42"/>
  <c r="E106" i="42"/>
  <c r="G107" i="42"/>
  <c r="E109" i="42"/>
  <c r="F110" i="42"/>
  <c r="F111" i="42"/>
  <c r="H122" i="42"/>
  <c r="L123" i="42"/>
  <c r="C126" i="42"/>
  <c r="G106" i="42"/>
  <c r="H107" i="42"/>
  <c r="H110" i="42"/>
  <c r="G111" i="42"/>
  <c r="K122" i="42"/>
  <c r="F31" i="42"/>
  <c r="J32" i="42"/>
  <c r="I31" i="42"/>
  <c r="L33" i="42"/>
  <c r="L34" i="42"/>
  <c r="E45" i="42"/>
  <c r="F51" i="42"/>
  <c r="K107" i="42"/>
  <c r="I109" i="42"/>
  <c r="I110" i="42"/>
  <c r="H111" i="42"/>
  <c r="L122" i="42"/>
  <c r="G126" i="42"/>
  <c r="H68" i="44"/>
  <c r="A69" i="44"/>
  <c r="K68" i="44"/>
  <c r="C68" i="44"/>
  <c r="J68" i="44"/>
  <c r="L68" i="44"/>
  <c r="I68" i="44"/>
  <c r="M67" i="44"/>
  <c r="E67" i="44"/>
  <c r="L67" i="44"/>
  <c r="D67" i="44"/>
  <c r="K67" i="44"/>
  <c r="C67" i="44"/>
  <c r="J67" i="44"/>
  <c r="H67" i="44"/>
  <c r="G67" i="44"/>
  <c r="F67" i="44"/>
  <c r="I67" i="44"/>
  <c r="N67" i="44"/>
  <c r="N75" i="44" s="1"/>
  <c r="N83" i="44" s="1"/>
  <c r="N91" i="44" s="1"/>
  <c r="H59" i="44"/>
  <c r="G59" i="44"/>
  <c r="N59" i="44"/>
  <c r="F59" i="44"/>
  <c r="M59" i="44"/>
  <c r="E59" i="44"/>
  <c r="K59" i="44"/>
  <c r="C59" i="44"/>
  <c r="J59" i="44"/>
  <c r="D59" i="44"/>
  <c r="L59" i="44"/>
  <c r="I59" i="44"/>
  <c r="H76" i="44"/>
  <c r="A77" i="44"/>
  <c r="K76" i="44"/>
  <c r="C76" i="44"/>
  <c r="J76" i="44"/>
  <c r="L76" i="44"/>
  <c r="I76" i="44"/>
  <c r="K60" i="44"/>
  <c r="C60" i="44"/>
  <c r="J60" i="44"/>
  <c r="I60" i="44"/>
  <c r="H60" i="44"/>
  <c r="A61" i="44"/>
  <c r="N60" i="44"/>
  <c r="N68" i="44" s="1"/>
  <c r="N76" i="44" s="1"/>
  <c r="N84" i="44" s="1"/>
  <c r="N92" i="44" s="1"/>
  <c r="L60" i="44"/>
  <c r="M75" i="44"/>
  <c r="E75" i="44"/>
  <c r="L75" i="44"/>
  <c r="D75" i="44"/>
  <c r="K75" i="44"/>
  <c r="C75" i="44"/>
  <c r="J75" i="44"/>
  <c r="H75" i="44"/>
  <c r="G75" i="44"/>
  <c r="I75" i="44"/>
  <c r="F75" i="44"/>
  <c r="C49" i="44"/>
  <c r="C48" i="44" s="1"/>
  <c r="A93" i="44"/>
  <c r="L92" i="44"/>
  <c r="J92" i="44"/>
  <c r="I92" i="44"/>
  <c r="K92" i="44"/>
  <c r="H92" i="44"/>
  <c r="C92" i="44"/>
  <c r="K102" i="44"/>
  <c r="C102" i="44"/>
  <c r="J102" i="44"/>
  <c r="I102" i="44"/>
  <c r="H102" i="44"/>
  <c r="F102" i="44"/>
  <c r="N102" i="44"/>
  <c r="E102" i="44"/>
  <c r="L102" i="44"/>
  <c r="G102" i="44"/>
  <c r="D102" i="44"/>
  <c r="G83" i="44"/>
  <c r="F83" i="44"/>
  <c r="M83" i="44"/>
  <c r="E83" i="44"/>
  <c r="L83" i="44"/>
  <c r="D83" i="44"/>
  <c r="J83" i="44"/>
  <c r="I83" i="44"/>
  <c r="K83" i="44"/>
  <c r="H83" i="44"/>
  <c r="C83" i="44"/>
  <c r="L91" i="44"/>
  <c r="D91" i="44"/>
  <c r="K91" i="44"/>
  <c r="C91" i="44"/>
  <c r="J91" i="44"/>
  <c r="I91" i="44"/>
  <c r="G91" i="44"/>
  <c r="F91" i="44"/>
  <c r="E91" i="44"/>
  <c r="H91" i="44"/>
  <c r="M91" i="44"/>
  <c r="J84" i="44"/>
  <c r="I84" i="44"/>
  <c r="H84" i="44"/>
  <c r="L84" i="44"/>
  <c r="A85" i="44"/>
  <c r="K84" i="44"/>
  <c r="C84" i="44"/>
  <c r="C85" i="44" s="1"/>
  <c r="C117" i="44" s="1"/>
  <c r="N57" i="42"/>
  <c r="N65" i="42" s="1"/>
  <c r="A58" i="42"/>
  <c r="A75" i="42"/>
  <c r="A76" i="42"/>
  <c r="K49" i="42"/>
  <c r="H49" i="42"/>
  <c r="G49" i="42"/>
  <c r="F30" i="42"/>
  <c r="C43" i="42"/>
  <c r="H53" i="42"/>
  <c r="G53" i="42"/>
  <c r="L53" i="42"/>
  <c r="D53" i="42"/>
  <c r="K53" i="42"/>
  <c r="C53" i="42"/>
  <c r="G84" i="42"/>
  <c r="A85" i="42"/>
  <c r="F84" i="42"/>
  <c r="K84" i="42"/>
  <c r="I84" i="42"/>
  <c r="J84" i="42"/>
  <c r="G42" i="42"/>
  <c r="L42" i="42"/>
  <c r="K42" i="42"/>
  <c r="C42" i="42"/>
  <c r="G48" i="42"/>
  <c r="L48" i="42"/>
  <c r="K48" i="42"/>
  <c r="I92" i="42"/>
  <c r="H92" i="42"/>
  <c r="G92" i="42"/>
  <c r="A93" i="42"/>
  <c r="F92" i="42"/>
  <c r="K92" i="42"/>
  <c r="C92" i="42"/>
  <c r="J92" i="42"/>
  <c r="F115" i="42"/>
  <c r="E115" i="42"/>
  <c r="E138" i="42" s="1"/>
  <c r="L115" i="42"/>
  <c r="D115" i="42"/>
  <c r="D138" i="42" s="1"/>
  <c r="K115" i="42"/>
  <c r="C115" i="42"/>
  <c r="C138" i="42" s="1"/>
  <c r="H115" i="42"/>
  <c r="G115" i="42"/>
  <c r="H50" i="42"/>
  <c r="L50" i="42"/>
  <c r="A98" i="42"/>
  <c r="N97" i="42"/>
  <c r="F43" i="42"/>
  <c r="G50" i="42"/>
  <c r="L92" i="42"/>
  <c r="I115" i="42"/>
  <c r="N73" i="42"/>
  <c r="N81" i="42" s="1"/>
  <c r="N89" i="42" s="1"/>
  <c r="H30" i="42"/>
  <c r="I30" i="42"/>
  <c r="F42" i="42"/>
  <c r="G43" i="42"/>
  <c r="J44" i="42"/>
  <c r="F48" i="42"/>
  <c r="F49" i="42"/>
  <c r="I50" i="42"/>
  <c r="I53" i="42"/>
  <c r="A67" i="42"/>
  <c r="G108" i="42"/>
  <c r="N108" i="42"/>
  <c r="F108" i="42"/>
  <c r="E108" i="42"/>
  <c r="L108" i="42"/>
  <c r="D108" i="42"/>
  <c r="I108" i="42"/>
  <c r="H108" i="42"/>
  <c r="J115" i="42"/>
  <c r="K31" i="42"/>
  <c r="C31" i="42"/>
  <c r="C41" i="42" s="1"/>
  <c r="H31" i="42"/>
  <c r="G31" i="42"/>
  <c r="H32" i="42"/>
  <c r="L32" i="42"/>
  <c r="B34" i="42"/>
  <c r="B29" i="42" s="1"/>
  <c r="H42" i="42"/>
  <c r="J43" i="42"/>
  <c r="H48" i="42"/>
  <c r="I49" i="42"/>
  <c r="J50" i="42"/>
  <c r="J53" i="42"/>
  <c r="H68" i="42"/>
  <c r="N106" i="42"/>
  <c r="G121" i="42"/>
  <c r="F121" i="42"/>
  <c r="L121" i="42"/>
  <c r="I121" i="42"/>
  <c r="H121" i="42"/>
  <c r="G30" i="42"/>
  <c r="L30" i="42"/>
  <c r="K30" i="42"/>
  <c r="C30" i="42"/>
  <c r="I42" i="42"/>
  <c r="I48" i="42"/>
  <c r="J49" i="42"/>
  <c r="K50" i="42"/>
  <c r="A83" i="42"/>
  <c r="A91" i="42"/>
  <c r="L43" i="42"/>
  <c r="I43" i="42"/>
  <c r="H43" i="42"/>
  <c r="J42" i="42"/>
  <c r="I44" i="42"/>
  <c r="F44" i="42"/>
  <c r="J48" i="42"/>
  <c r="L49" i="42"/>
  <c r="K68" i="42"/>
  <c r="J68" i="42"/>
  <c r="G68" i="42"/>
  <c r="A69" i="42"/>
  <c r="F68" i="42"/>
  <c r="L68" i="42"/>
  <c r="H84" i="42"/>
  <c r="K108" i="42"/>
  <c r="J121" i="42"/>
  <c r="F124" i="42"/>
  <c r="L124" i="42"/>
  <c r="K124" i="42"/>
  <c r="H124" i="42"/>
  <c r="G124" i="42"/>
  <c r="I33" i="42"/>
  <c r="J35" i="42"/>
  <c r="I40" i="42"/>
  <c r="F41" i="42"/>
  <c r="J45" i="42"/>
  <c r="J106" i="42"/>
  <c r="E107" i="42"/>
  <c r="C109" i="42"/>
  <c r="K109" i="42"/>
  <c r="J114" i="42"/>
  <c r="D116" i="42"/>
  <c r="L116" i="42"/>
  <c r="C119" i="42"/>
  <c r="K119" i="42"/>
  <c r="J123" i="42"/>
  <c r="L125" i="42"/>
  <c r="I126" i="42"/>
  <c r="J33" i="42"/>
  <c r="F34" i="42"/>
  <c r="C35" i="42"/>
  <c r="K35" i="42"/>
  <c r="J40" i="42"/>
  <c r="G41" i="42"/>
  <c r="C45" i="42"/>
  <c r="K45" i="42"/>
  <c r="J51" i="42"/>
  <c r="G52" i="42"/>
  <c r="C106" i="42"/>
  <c r="K106" i="42"/>
  <c r="F107" i="42"/>
  <c r="N107" i="42"/>
  <c r="D109" i="42"/>
  <c r="L109" i="42"/>
  <c r="G110" i="42"/>
  <c r="J111" i="42"/>
  <c r="C114" i="42"/>
  <c r="K114" i="42"/>
  <c r="E116" i="42"/>
  <c r="J117" i="42"/>
  <c r="G118" i="42"/>
  <c r="D119" i="42"/>
  <c r="L119" i="42"/>
  <c r="F122" i="42"/>
  <c r="K123" i="42"/>
  <c r="J126" i="42"/>
  <c r="F106" i="42"/>
  <c r="I107" i="42"/>
  <c r="G109" i="42"/>
  <c r="E111" i="42"/>
  <c r="H116" i="42"/>
  <c r="J118" i="42"/>
  <c r="G119" i="42"/>
  <c r="I122" i="42"/>
  <c r="F123" i="42"/>
  <c r="H125" i="42"/>
  <c r="E126" i="42"/>
  <c r="H109" i="42"/>
  <c r="I116" i="42"/>
  <c r="H119" i="42"/>
  <c r="I125" i="42"/>
  <c r="J116" i="42"/>
  <c r="J125" i="42"/>
  <c r="C116" i="42"/>
  <c r="C69" i="40"/>
  <c r="C46" i="40"/>
  <c r="C46" i="37"/>
  <c r="C69" i="37"/>
  <c r="C69" i="39"/>
  <c r="C46" i="39"/>
  <c r="C69" i="35"/>
  <c r="H46" i="35"/>
  <c r="I46" i="35"/>
  <c r="J46" i="35"/>
  <c r="K46" i="35"/>
  <c r="L46" i="35"/>
  <c r="C46" i="35"/>
  <c r="H46" i="33"/>
  <c r="I46" i="33"/>
  <c r="J46" i="33"/>
  <c r="K46" i="33"/>
  <c r="L46" i="33"/>
  <c r="C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E112" i="42" l="1"/>
  <c r="E75" i="42" s="1"/>
  <c r="C112" i="42"/>
  <c r="C75" i="42" s="1"/>
  <c r="D112" i="42"/>
  <c r="D83" i="42" s="1"/>
  <c r="C51" i="42"/>
  <c r="M110" i="42"/>
  <c r="A78" i="44"/>
  <c r="N77" i="44"/>
  <c r="N85" i="44" s="1"/>
  <c r="N93" i="44" s="1"/>
  <c r="A62" i="44"/>
  <c r="N61" i="44"/>
  <c r="A94" i="44"/>
  <c r="A70" i="44"/>
  <c r="N69" i="44"/>
  <c r="A86" i="44"/>
  <c r="M107" i="42"/>
  <c r="M106" i="42"/>
  <c r="M108" i="42"/>
  <c r="A100" i="42"/>
  <c r="A99" i="42"/>
  <c r="N98" i="42"/>
  <c r="A86" i="42"/>
  <c r="L76" i="42"/>
  <c r="I76" i="42"/>
  <c r="H76" i="42"/>
  <c r="K76" i="42"/>
  <c r="A77" i="42"/>
  <c r="J76" i="42"/>
  <c r="G76" i="42"/>
  <c r="F76" i="42"/>
  <c r="A70" i="42"/>
  <c r="F91" i="42"/>
  <c r="M91" i="42"/>
  <c r="L91" i="42"/>
  <c r="K91" i="42"/>
  <c r="H91" i="42"/>
  <c r="G91" i="42"/>
  <c r="I91" i="42"/>
  <c r="J91" i="42"/>
  <c r="M109" i="42"/>
  <c r="A94" i="42"/>
  <c r="J75" i="42"/>
  <c r="I75" i="42"/>
  <c r="F75" i="42"/>
  <c r="M75" i="42"/>
  <c r="H75" i="42"/>
  <c r="G75" i="42"/>
  <c r="L75" i="42"/>
  <c r="K75" i="42"/>
  <c r="L83" i="42"/>
  <c r="K83" i="42"/>
  <c r="H83" i="42"/>
  <c r="G83" i="42"/>
  <c r="M83" i="42"/>
  <c r="J83" i="42"/>
  <c r="F83" i="42"/>
  <c r="I83" i="42"/>
  <c r="A59" i="42"/>
  <c r="N58" i="42"/>
  <c r="N66" i="42" s="1"/>
  <c r="N74" i="42" s="1"/>
  <c r="N82" i="42" s="1"/>
  <c r="N90" i="42" s="1"/>
  <c r="A60" i="42"/>
  <c r="H67" i="42"/>
  <c r="G67" i="42"/>
  <c r="L67" i="42"/>
  <c r="K67" i="42"/>
  <c r="I67" i="42"/>
  <c r="J67" i="42"/>
  <c r="F67" i="42"/>
  <c r="M67" i="42"/>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D91" i="42" l="1"/>
  <c r="E83" i="42"/>
  <c r="E67" i="42"/>
  <c r="E91" i="42"/>
  <c r="C83" i="42"/>
  <c r="D75" i="42"/>
  <c r="C67" i="42"/>
  <c r="D67" i="42"/>
  <c r="C91" i="42"/>
  <c r="C84" i="42"/>
  <c r="C85" i="42" s="1"/>
  <c r="C117" i="42" s="1"/>
  <c r="C50" i="42"/>
  <c r="C76" i="42" s="1"/>
  <c r="L86" i="44"/>
  <c r="J86" i="44"/>
  <c r="I86" i="44"/>
  <c r="K86" i="44"/>
  <c r="H86" i="44"/>
  <c r="C86" i="44"/>
  <c r="C124" i="44" s="1"/>
  <c r="D33" i="44" s="1"/>
  <c r="J70" i="44"/>
  <c r="I70" i="44"/>
  <c r="H70" i="44"/>
  <c r="N70" i="44"/>
  <c r="N78" i="44" s="1"/>
  <c r="N86" i="44" s="1"/>
  <c r="N94" i="44" s="1"/>
  <c r="L70" i="44"/>
  <c r="K70" i="44"/>
  <c r="C70" i="44"/>
  <c r="C122" i="44" s="1"/>
  <c r="D31" i="44" s="1"/>
  <c r="N62" i="44"/>
  <c r="L62" i="44"/>
  <c r="K62" i="44"/>
  <c r="C62" i="44"/>
  <c r="C121" i="44" s="1"/>
  <c r="J62" i="44"/>
  <c r="H62" i="44"/>
  <c r="I62" i="44"/>
  <c r="I94" i="44"/>
  <c r="H94" i="44"/>
  <c r="L94" i="44"/>
  <c r="K94" i="44"/>
  <c r="C94" i="44"/>
  <c r="C125" i="44" s="1"/>
  <c r="D34" i="44" s="1"/>
  <c r="J94" i="44"/>
  <c r="J78" i="44"/>
  <c r="I78" i="44"/>
  <c r="H78" i="44"/>
  <c r="L78" i="44"/>
  <c r="K78" i="44"/>
  <c r="C78" i="44"/>
  <c r="C123" i="44" s="1"/>
  <c r="D32" i="44" s="1"/>
  <c r="I60" i="42"/>
  <c r="H60" i="42"/>
  <c r="N60" i="42"/>
  <c r="N68" i="42" s="1"/>
  <c r="N76" i="42" s="1"/>
  <c r="N84" i="42" s="1"/>
  <c r="N92" i="42" s="1"/>
  <c r="L60" i="42"/>
  <c r="A61" i="42"/>
  <c r="K60" i="42"/>
  <c r="J60" i="42"/>
  <c r="G60" i="42"/>
  <c r="F60" i="42"/>
  <c r="A78" i="42"/>
  <c r="I86" i="42"/>
  <c r="G86" i="42"/>
  <c r="F86" i="42"/>
  <c r="K86" i="42"/>
  <c r="J86" i="42"/>
  <c r="L86" i="42"/>
  <c r="H86" i="42"/>
  <c r="N59" i="42"/>
  <c r="N67" i="42" s="1"/>
  <c r="N75" i="42" s="1"/>
  <c r="N83" i="42" s="1"/>
  <c r="N91" i="42" s="1"/>
  <c r="F59" i="42"/>
  <c r="M59" i="42"/>
  <c r="E59" i="42"/>
  <c r="J59" i="42"/>
  <c r="I59" i="42"/>
  <c r="K59" i="42"/>
  <c r="H59" i="42"/>
  <c r="G59" i="42"/>
  <c r="D59" i="42"/>
  <c r="C59" i="42"/>
  <c r="L59" i="42"/>
  <c r="L70" i="42"/>
  <c r="I70" i="42"/>
  <c r="H70" i="42"/>
  <c r="K70" i="42"/>
  <c r="J70" i="42"/>
  <c r="G70" i="42"/>
  <c r="F70" i="42"/>
  <c r="H99" i="42"/>
  <c r="G99" i="42"/>
  <c r="N99" i="42"/>
  <c r="F99" i="42"/>
  <c r="M99" i="42"/>
  <c r="E99" i="42"/>
  <c r="J99" i="42"/>
  <c r="I99" i="42"/>
  <c r="L99" i="42"/>
  <c r="K99" i="42"/>
  <c r="D99" i="42"/>
  <c r="C99" i="42"/>
  <c r="C94" i="42"/>
  <c r="C125" i="42" s="1"/>
  <c r="D34" i="42" s="1"/>
  <c r="J94" i="42"/>
  <c r="I94" i="42"/>
  <c r="H94" i="42"/>
  <c r="K94" i="42"/>
  <c r="L94" i="42"/>
  <c r="G94" i="42"/>
  <c r="F94" i="42"/>
  <c r="K100" i="42"/>
  <c r="C100" i="42"/>
  <c r="J100" i="42"/>
  <c r="I100" i="42"/>
  <c r="H100" i="42"/>
  <c r="N100" i="42"/>
  <c r="E100" i="42"/>
  <c r="L100" i="42"/>
  <c r="D100" i="42"/>
  <c r="F100" i="42"/>
  <c r="G100" i="42"/>
  <c r="A101" i="42"/>
  <c r="P5" i="41"/>
  <c r="C49" i="42" l="1"/>
  <c r="C86" i="42"/>
  <c r="C124" i="42" s="1"/>
  <c r="D33" i="42" s="1"/>
  <c r="C127" i="44"/>
  <c r="D30" i="44"/>
  <c r="A62" i="42"/>
  <c r="N61" i="42"/>
  <c r="N69" i="42" s="1"/>
  <c r="N77" i="42" s="1"/>
  <c r="N85" i="42" s="1"/>
  <c r="N93" i="42" s="1"/>
  <c r="A102" i="42"/>
  <c r="N101" i="42"/>
  <c r="G78" i="42"/>
  <c r="F78" i="42"/>
  <c r="K78" i="42"/>
  <c r="C78" i="42"/>
  <c r="C123" i="42" s="1"/>
  <c r="D32" i="42" s="1"/>
  <c r="J78" i="42"/>
  <c r="L78" i="42"/>
  <c r="I78" i="42"/>
  <c r="H78" i="42"/>
  <c r="F8" i="31"/>
  <c r="C48" i="42" l="1"/>
  <c r="C60" i="42" s="1"/>
  <c r="C68" i="42"/>
  <c r="C70" i="42" s="1"/>
  <c r="C122" i="42" s="1"/>
  <c r="D31" i="42" s="1"/>
  <c r="D29" i="44"/>
  <c r="C129" i="44"/>
  <c r="C130" i="44"/>
  <c r="N102" i="42"/>
  <c r="E102" i="42"/>
  <c r="L102" i="42"/>
  <c r="D102" i="42"/>
  <c r="K102" i="42"/>
  <c r="C102" i="42"/>
  <c r="J102" i="42"/>
  <c r="G102" i="42"/>
  <c r="F102" i="42"/>
  <c r="I102" i="42"/>
  <c r="H102" i="42"/>
  <c r="K62" i="42"/>
  <c r="C62" i="42"/>
  <c r="C121" i="42" s="1"/>
  <c r="J62" i="42"/>
  <c r="G62" i="42"/>
  <c r="F62" i="42"/>
  <c r="N62" i="42"/>
  <c r="N70" i="42" s="1"/>
  <c r="N78" i="42" s="1"/>
  <c r="N86" i="42" s="1"/>
  <c r="N94" i="42" s="1"/>
  <c r="L62" i="42"/>
  <c r="I62" i="42"/>
  <c r="H62" i="42"/>
  <c r="K97" i="40"/>
  <c r="M97" i="40"/>
  <c r="K74" i="40"/>
  <c r="M74" i="40" s="1"/>
  <c r="K66" i="40"/>
  <c r="H74" i="40"/>
  <c r="H73" i="40"/>
  <c r="M73" i="40" s="1"/>
  <c r="H98" i="40"/>
  <c r="H97" i="40"/>
  <c r="E98" i="40"/>
  <c r="E97" i="40"/>
  <c r="E74" i="40"/>
  <c r="B53" i="40"/>
  <c r="I137" i="40"/>
  <c r="C137" i="40"/>
  <c r="A126" i="40"/>
  <c r="A125" i="40"/>
  <c r="A124" i="40"/>
  <c r="A123" i="40"/>
  <c r="A122" i="40"/>
  <c r="A121" i="40"/>
  <c r="A119" i="40"/>
  <c r="I119" i="40" s="1"/>
  <c r="A118" i="40"/>
  <c r="I118" i="40" s="1"/>
  <c r="A117" i="40"/>
  <c r="A116" i="40"/>
  <c r="A115" i="40"/>
  <c r="A114" i="40"/>
  <c r="A111" i="40"/>
  <c r="I111" i="40" s="1"/>
  <c r="A110" i="40"/>
  <c r="N110" i="40" s="1"/>
  <c r="A109" i="40"/>
  <c r="C109" i="40" s="1"/>
  <c r="A108" i="40"/>
  <c r="C108" i="40" s="1"/>
  <c r="A107" i="40"/>
  <c r="I107" i="40" s="1"/>
  <c r="A106" i="40"/>
  <c r="A96" i="40"/>
  <c r="A97" i="40" s="1"/>
  <c r="M90" i="40"/>
  <c r="M89" i="40"/>
  <c r="A88" i="40"/>
  <c r="A89" i="40" s="1"/>
  <c r="A90" i="40" s="1"/>
  <c r="A92" i="40" s="1"/>
  <c r="M82" i="40"/>
  <c r="N109" i="40" s="1"/>
  <c r="M81" i="40"/>
  <c r="A80" i="40"/>
  <c r="A81" i="40" s="1"/>
  <c r="A72" i="40"/>
  <c r="A73" i="40" s="1"/>
  <c r="A74" i="40" s="1"/>
  <c r="M66" i="40"/>
  <c r="M65" i="40"/>
  <c r="A64" i="40"/>
  <c r="A65" i="40" s="1"/>
  <c r="M58" i="40"/>
  <c r="M57" i="40"/>
  <c r="A56" i="40"/>
  <c r="A57" i="40" s="1"/>
  <c r="A53" i="40"/>
  <c r="C53" i="40" s="1"/>
  <c r="A52" i="40"/>
  <c r="A51" i="40"/>
  <c r="A50" i="40"/>
  <c r="B49" i="40"/>
  <c r="A49" i="40"/>
  <c r="A48" i="40"/>
  <c r="A45" i="40"/>
  <c r="A44" i="40"/>
  <c r="A43" i="40"/>
  <c r="A42" i="40"/>
  <c r="A41" i="40"/>
  <c r="A40" i="40"/>
  <c r="C39" i="40"/>
  <c r="C42" i="40" s="1"/>
  <c r="C38" i="40"/>
  <c r="C37" i="40"/>
  <c r="A35" i="40"/>
  <c r="A34" i="40"/>
  <c r="A33" i="40"/>
  <c r="A32" i="40"/>
  <c r="C32" i="40" s="1"/>
  <c r="A31" i="40"/>
  <c r="A30" i="40"/>
  <c r="C29" i="40"/>
  <c r="K28" i="40"/>
  <c r="J28" i="40"/>
  <c r="I28" i="40"/>
  <c r="C28" i="40"/>
  <c r="C47" i="40" s="1"/>
  <c r="L27" i="40"/>
  <c r="K27" i="40"/>
  <c r="J27" i="40"/>
  <c r="D27" i="40"/>
  <c r="C24" i="40"/>
  <c r="B31" i="40" s="1"/>
  <c r="C31" i="40" s="1"/>
  <c r="B24" i="40"/>
  <c r="B30" i="40" s="1"/>
  <c r="A1" i="40"/>
  <c r="J65" i="39"/>
  <c r="K65" i="39"/>
  <c r="L65" i="39"/>
  <c r="J66" i="39"/>
  <c r="K66" i="39"/>
  <c r="L66" i="39"/>
  <c r="M66" i="39" s="1"/>
  <c r="I66" i="39"/>
  <c r="I65" i="39"/>
  <c r="J58" i="39"/>
  <c r="K58" i="39"/>
  <c r="L58" i="39"/>
  <c r="I58" i="39"/>
  <c r="K57" i="39"/>
  <c r="L57" i="39" s="1"/>
  <c r="J57" i="39"/>
  <c r="I137" i="39"/>
  <c r="C137" i="39"/>
  <c r="I126" i="39"/>
  <c r="A126" i="39"/>
  <c r="C126" i="39" s="1"/>
  <c r="A125" i="39"/>
  <c r="A124" i="39"/>
  <c r="A123" i="39"/>
  <c r="A122" i="39"/>
  <c r="A121" i="39"/>
  <c r="I119" i="39"/>
  <c r="C119" i="39"/>
  <c r="A119" i="39"/>
  <c r="A118" i="39"/>
  <c r="C118" i="39" s="1"/>
  <c r="A117" i="39"/>
  <c r="A116" i="39"/>
  <c r="A115" i="39"/>
  <c r="A114" i="39"/>
  <c r="C111" i="39"/>
  <c r="A111" i="39"/>
  <c r="N111" i="39" s="1"/>
  <c r="A110" i="39"/>
  <c r="C110" i="39" s="1"/>
  <c r="A109" i="39"/>
  <c r="N109" i="39" s="1"/>
  <c r="A108" i="39"/>
  <c r="I107" i="39"/>
  <c r="A107" i="39"/>
  <c r="C107" i="39" s="1"/>
  <c r="A106" i="39"/>
  <c r="M98" i="39"/>
  <c r="A98" i="39"/>
  <c r="A99" i="39" s="1"/>
  <c r="I99" i="39" s="1"/>
  <c r="M97" i="39"/>
  <c r="A96" i="39"/>
  <c r="A97" i="39" s="1"/>
  <c r="N97" i="39" s="1"/>
  <c r="M90" i="39"/>
  <c r="M89" i="39"/>
  <c r="A88" i="39"/>
  <c r="A89" i="39" s="1"/>
  <c r="A90" i="39" s="1"/>
  <c r="M82" i="39"/>
  <c r="M81" i="39"/>
  <c r="A80" i="39"/>
  <c r="A81" i="39" s="1"/>
  <c r="M74" i="39"/>
  <c r="M73" i="39"/>
  <c r="A72" i="39"/>
  <c r="A73" i="39" s="1"/>
  <c r="A65" i="39"/>
  <c r="A66" i="39" s="1"/>
  <c r="A64" i="39"/>
  <c r="A57" i="39"/>
  <c r="N57" i="39" s="1"/>
  <c r="A56" i="39"/>
  <c r="A53" i="39"/>
  <c r="I53" i="39" s="1"/>
  <c r="A52" i="39"/>
  <c r="A51" i="39"/>
  <c r="A50" i="39"/>
  <c r="B49" i="39"/>
  <c r="A49" i="39"/>
  <c r="A48" i="39"/>
  <c r="I47" i="39"/>
  <c r="A45" i="39"/>
  <c r="I45" i="39" s="1"/>
  <c r="A44" i="39"/>
  <c r="A43" i="39"/>
  <c r="A42" i="39"/>
  <c r="A41" i="39"/>
  <c r="A40" i="39"/>
  <c r="C38" i="39"/>
  <c r="C37" i="39"/>
  <c r="C39" i="39" s="1"/>
  <c r="A35" i="39"/>
  <c r="I35" i="39" s="1"/>
  <c r="A34" i="39"/>
  <c r="A33" i="39"/>
  <c r="C33" i="39" s="1"/>
  <c r="A32" i="39"/>
  <c r="A31" i="39"/>
  <c r="A30" i="39"/>
  <c r="C29" i="39"/>
  <c r="J28" i="39"/>
  <c r="I28" i="39"/>
  <c r="C28" i="39"/>
  <c r="J27" i="39"/>
  <c r="D27" i="39"/>
  <c r="C24" i="39"/>
  <c r="B31" i="39" s="1"/>
  <c r="C31" i="39" s="1"/>
  <c r="B24" i="39"/>
  <c r="A1" i="39"/>
  <c r="K27" i="37"/>
  <c r="L27" i="37" s="1"/>
  <c r="J27" i="37"/>
  <c r="H27" i="37"/>
  <c r="K137" i="37"/>
  <c r="I137" i="37"/>
  <c r="H137" i="37"/>
  <c r="C137" i="37"/>
  <c r="A126" i="37"/>
  <c r="J126" i="37" s="1"/>
  <c r="A125" i="37"/>
  <c r="A124" i="37"/>
  <c r="A123" i="37"/>
  <c r="A122" i="37"/>
  <c r="A121" i="37"/>
  <c r="K119" i="37"/>
  <c r="I119" i="37"/>
  <c r="C119" i="37"/>
  <c r="A119" i="37"/>
  <c r="I118" i="37"/>
  <c r="H118" i="37"/>
  <c r="A118" i="37"/>
  <c r="A117" i="37"/>
  <c r="A116" i="37"/>
  <c r="A115" i="37"/>
  <c r="A114" i="37"/>
  <c r="A111" i="37"/>
  <c r="N111" i="37" s="1"/>
  <c r="A110" i="37"/>
  <c r="I110" i="37" s="1"/>
  <c r="A109" i="37"/>
  <c r="A108" i="37"/>
  <c r="C108" i="37" s="1"/>
  <c r="A107" i="37"/>
  <c r="J107" i="37" s="1"/>
  <c r="A106" i="37"/>
  <c r="M98" i="37"/>
  <c r="M97" i="37"/>
  <c r="A96" i="37"/>
  <c r="A97" i="37" s="1"/>
  <c r="M90" i="37"/>
  <c r="M89" i="37"/>
  <c r="A88" i="37"/>
  <c r="A89" i="37" s="1"/>
  <c r="A90" i="37" s="1"/>
  <c r="M82" i="37"/>
  <c r="M81" i="37"/>
  <c r="A81" i="37"/>
  <c r="A80" i="37"/>
  <c r="M74" i="37"/>
  <c r="M73" i="37"/>
  <c r="A72" i="37"/>
  <c r="A73" i="37" s="1"/>
  <c r="A74" i="37" s="1"/>
  <c r="M66" i="37"/>
  <c r="M65" i="37"/>
  <c r="A65" i="37"/>
  <c r="A64" i="37"/>
  <c r="M58" i="37"/>
  <c r="M57" i="37"/>
  <c r="A56" i="37"/>
  <c r="A57" i="37" s="1"/>
  <c r="A53" i="37"/>
  <c r="C53" i="37" s="1"/>
  <c r="A52" i="37"/>
  <c r="A51" i="37"/>
  <c r="A50" i="37"/>
  <c r="B49" i="37"/>
  <c r="A49" i="37"/>
  <c r="A48" i="37"/>
  <c r="H47" i="37"/>
  <c r="A45" i="37"/>
  <c r="A44" i="37"/>
  <c r="A43" i="37"/>
  <c r="A42" i="37"/>
  <c r="A41" i="37"/>
  <c r="A40" i="37"/>
  <c r="C38" i="37"/>
  <c r="C37" i="37"/>
  <c r="A35" i="37"/>
  <c r="K35" i="37" s="1"/>
  <c r="A34" i="37"/>
  <c r="A33" i="37"/>
  <c r="C33" i="37" s="1"/>
  <c r="A32" i="37"/>
  <c r="C32" i="37" s="1"/>
  <c r="A31" i="37"/>
  <c r="A30" i="37"/>
  <c r="C29" i="37"/>
  <c r="K28" i="37"/>
  <c r="I28" i="37"/>
  <c r="I47" i="37" s="1"/>
  <c r="H28" i="37"/>
  <c r="D28" i="37"/>
  <c r="C28" i="37"/>
  <c r="C47" i="37" s="1"/>
  <c r="D27" i="37"/>
  <c r="C24" i="37"/>
  <c r="B31" i="37" s="1"/>
  <c r="B24" i="37"/>
  <c r="A1" i="37"/>
  <c r="C127" i="42" l="1"/>
  <c r="D29" i="42" s="1"/>
  <c r="D30" i="42"/>
  <c r="C131" i="44"/>
  <c r="C135" i="44" s="1"/>
  <c r="D37" i="44"/>
  <c r="D39" i="44" s="1"/>
  <c r="C134" i="44"/>
  <c r="C132" i="44"/>
  <c r="D38" i="44"/>
  <c r="D46" i="44" s="1"/>
  <c r="I110" i="40"/>
  <c r="I109" i="40"/>
  <c r="C110" i="40"/>
  <c r="C53" i="39"/>
  <c r="B34" i="39"/>
  <c r="C34" i="39" s="1"/>
  <c r="M111" i="39"/>
  <c r="I111" i="39"/>
  <c r="C45" i="39"/>
  <c r="N110" i="39"/>
  <c r="D111" i="37"/>
  <c r="M111" i="37"/>
  <c r="H110" i="37"/>
  <c r="H126" i="37"/>
  <c r="N110" i="37"/>
  <c r="C34" i="37"/>
  <c r="I126" i="37"/>
  <c r="H35" i="37"/>
  <c r="H107" i="37"/>
  <c r="C126" i="37"/>
  <c r="B34" i="37"/>
  <c r="I35" i="37"/>
  <c r="K107" i="37"/>
  <c r="C111" i="37"/>
  <c r="J53" i="37"/>
  <c r="I107" i="37"/>
  <c r="C31" i="37"/>
  <c r="H111" i="37"/>
  <c r="B30" i="37"/>
  <c r="I111" i="37"/>
  <c r="I53" i="37"/>
  <c r="K111" i="37"/>
  <c r="C107" i="37"/>
  <c r="K98" i="40"/>
  <c r="M98" i="40" s="1"/>
  <c r="N111" i="40" s="1"/>
  <c r="K119" i="40"/>
  <c r="C119" i="40"/>
  <c r="C111" i="40"/>
  <c r="C118" i="40"/>
  <c r="N108" i="40"/>
  <c r="C107" i="40"/>
  <c r="C41" i="40"/>
  <c r="A75" i="40"/>
  <c r="A76" i="40"/>
  <c r="C30" i="40"/>
  <c r="E27" i="40"/>
  <c r="D28" i="40"/>
  <c r="L28" i="40"/>
  <c r="L47" i="40" s="1"/>
  <c r="C33" i="40"/>
  <c r="C40" i="40"/>
  <c r="A58" i="40"/>
  <c r="N57" i="40"/>
  <c r="N65" i="40"/>
  <c r="N73" i="40" s="1"/>
  <c r="N81" i="40" s="1"/>
  <c r="N89" i="40" s="1"/>
  <c r="A66" i="40"/>
  <c r="A82" i="40"/>
  <c r="A98" i="40"/>
  <c r="N97" i="40"/>
  <c r="I106" i="40"/>
  <c r="N106" i="40"/>
  <c r="C106" i="40"/>
  <c r="J47" i="40"/>
  <c r="A91" i="40"/>
  <c r="J106" i="40"/>
  <c r="C115" i="40"/>
  <c r="C138" i="40" s="1"/>
  <c r="L107" i="40"/>
  <c r="L118" i="40"/>
  <c r="L110" i="40"/>
  <c r="L137" i="40"/>
  <c r="L108" i="40"/>
  <c r="L111" i="40"/>
  <c r="L106" i="40"/>
  <c r="L119" i="40"/>
  <c r="L109" i="40"/>
  <c r="C43" i="40"/>
  <c r="D107" i="40"/>
  <c r="D118" i="40"/>
  <c r="D110" i="40"/>
  <c r="D137" i="40"/>
  <c r="D108" i="40"/>
  <c r="D111" i="40"/>
  <c r="D106" i="40"/>
  <c r="D119" i="40"/>
  <c r="D109" i="40"/>
  <c r="L53" i="40"/>
  <c r="B34" i="40"/>
  <c r="C34" i="40" s="1"/>
  <c r="C77" i="40" s="1"/>
  <c r="C116" i="40" s="1"/>
  <c r="C35" i="40"/>
  <c r="C45" i="40" s="1"/>
  <c r="J119" i="40"/>
  <c r="J109" i="40"/>
  <c r="J107" i="40"/>
  <c r="J118" i="40"/>
  <c r="J110" i="40"/>
  <c r="J137" i="40"/>
  <c r="J53" i="40"/>
  <c r="J108" i="40"/>
  <c r="J111" i="40"/>
  <c r="D53" i="40"/>
  <c r="K107" i="40"/>
  <c r="K118" i="40"/>
  <c r="K110" i="40"/>
  <c r="K137" i="40"/>
  <c r="K53" i="40"/>
  <c r="K108" i="40"/>
  <c r="K111" i="40"/>
  <c r="K106" i="40"/>
  <c r="K47" i="40"/>
  <c r="I47" i="40"/>
  <c r="C44" i="40"/>
  <c r="C52" i="40" s="1"/>
  <c r="A93" i="40"/>
  <c r="K109" i="40"/>
  <c r="N107" i="40"/>
  <c r="I108" i="40"/>
  <c r="I53" i="40"/>
  <c r="M65" i="39"/>
  <c r="N107" i="39"/>
  <c r="M58" i="39"/>
  <c r="N106" i="39" s="1"/>
  <c r="M57" i="39"/>
  <c r="C32" i="39"/>
  <c r="C77" i="39" s="1"/>
  <c r="C116" i="39" s="1"/>
  <c r="J35" i="39"/>
  <c r="D137" i="39"/>
  <c r="D53" i="39"/>
  <c r="D108" i="39"/>
  <c r="D126" i="39"/>
  <c r="D111" i="39"/>
  <c r="D99" i="39"/>
  <c r="D119" i="39"/>
  <c r="D109" i="39"/>
  <c r="D110" i="39"/>
  <c r="D47" i="39"/>
  <c r="D35" i="39"/>
  <c r="D28" i="39"/>
  <c r="E27" i="39"/>
  <c r="D107" i="39"/>
  <c r="C44" i="39"/>
  <c r="C52" i="39" s="1"/>
  <c r="A91" i="39"/>
  <c r="A92" i="39"/>
  <c r="J119" i="39"/>
  <c r="J107" i="39"/>
  <c r="J118" i="39"/>
  <c r="J110" i="39"/>
  <c r="J137" i="39"/>
  <c r="J53" i="39"/>
  <c r="J126" i="39"/>
  <c r="J111" i="39"/>
  <c r="J99" i="39"/>
  <c r="J106" i="39"/>
  <c r="J108" i="39"/>
  <c r="J45" i="39"/>
  <c r="J47" i="39"/>
  <c r="K27" i="39"/>
  <c r="C115" i="39"/>
  <c r="C138" i="39" s="1"/>
  <c r="A82" i="39"/>
  <c r="C47" i="39"/>
  <c r="C43" i="39"/>
  <c r="D45" i="39"/>
  <c r="A58" i="39"/>
  <c r="A67" i="39"/>
  <c r="A68" i="39"/>
  <c r="A74" i="39"/>
  <c r="C35" i="39"/>
  <c r="C41" i="39"/>
  <c r="D106" i="39"/>
  <c r="J109" i="39"/>
  <c r="D118" i="39"/>
  <c r="C108" i="39"/>
  <c r="I108" i="39"/>
  <c r="B30" i="39"/>
  <c r="B29" i="39" s="1"/>
  <c r="C106" i="39"/>
  <c r="I109" i="39"/>
  <c r="N99" i="39"/>
  <c r="M99" i="39"/>
  <c r="A100" i="39"/>
  <c r="D100" i="39" s="1"/>
  <c r="I106" i="39"/>
  <c r="N65" i="39"/>
  <c r="N73" i="39" s="1"/>
  <c r="N81" i="39" s="1"/>
  <c r="N89" i="39" s="1"/>
  <c r="N98" i="39"/>
  <c r="N108" i="39"/>
  <c r="C99" i="39"/>
  <c r="C109" i="39"/>
  <c r="I110" i="39"/>
  <c r="I118" i="39"/>
  <c r="L126" i="37"/>
  <c r="L47" i="37"/>
  <c r="L118" i="37"/>
  <c r="L110" i="37"/>
  <c r="L111" i="37"/>
  <c r="L137" i="37"/>
  <c r="L107" i="37"/>
  <c r="L28" i="37"/>
  <c r="K118" i="37"/>
  <c r="K108" i="37"/>
  <c r="K53" i="37"/>
  <c r="K47" i="37"/>
  <c r="K109" i="37"/>
  <c r="K126" i="37"/>
  <c r="K110" i="37"/>
  <c r="J137" i="37"/>
  <c r="J119" i="37"/>
  <c r="J28" i="37"/>
  <c r="C39" i="37"/>
  <c r="C42" i="37" s="1"/>
  <c r="C115" i="37"/>
  <c r="C138" i="37" s="1"/>
  <c r="D47" i="37"/>
  <c r="E27" i="37"/>
  <c r="E108" i="37" s="1"/>
  <c r="D107" i="37"/>
  <c r="N57" i="37"/>
  <c r="A58" i="37"/>
  <c r="A92" i="37"/>
  <c r="A91" i="37"/>
  <c r="E118" i="37"/>
  <c r="E126" i="37"/>
  <c r="E35" i="37"/>
  <c r="E28" i="37"/>
  <c r="E109" i="37"/>
  <c r="E106" i="37"/>
  <c r="E107" i="37"/>
  <c r="E53" i="37"/>
  <c r="C30" i="37"/>
  <c r="B29" i="37"/>
  <c r="K45" i="37"/>
  <c r="C45" i="37"/>
  <c r="J45" i="37"/>
  <c r="I45" i="37"/>
  <c r="H45" i="37"/>
  <c r="D45" i="37"/>
  <c r="C77" i="37"/>
  <c r="C116" i="37" s="1"/>
  <c r="A66" i="37"/>
  <c r="N65" i="37"/>
  <c r="N73" i="37" s="1"/>
  <c r="N81" i="37" s="1"/>
  <c r="N89" i="37" s="1"/>
  <c r="F27" i="37"/>
  <c r="N106" i="37"/>
  <c r="K106" i="37"/>
  <c r="C106" i="37"/>
  <c r="L106" i="37"/>
  <c r="J106" i="37"/>
  <c r="I106" i="37"/>
  <c r="H106" i="37"/>
  <c r="D106" i="37"/>
  <c r="A75" i="37"/>
  <c r="A76" i="37"/>
  <c r="L45" i="37"/>
  <c r="N97" i="37"/>
  <c r="A98" i="37"/>
  <c r="N108" i="37"/>
  <c r="H109" i="37"/>
  <c r="L109" i="37"/>
  <c r="N109" i="37"/>
  <c r="C35" i="37"/>
  <c r="L35" i="37"/>
  <c r="C109" i="37"/>
  <c r="D35" i="37"/>
  <c r="A82" i="37"/>
  <c r="D110" i="37"/>
  <c r="D118" i="37"/>
  <c r="J35" i="37"/>
  <c r="L108" i="37"/>
  <c r="I108" i="37"/>
  <c r="H108" i="37"/>
  <c r="I109" i="37"/>
  <c r="D137" i="37"/>
  <c r="D108" i="37"/>
  <c r="D126" i="37"/>
  <c r="D119" i="37"/>
  <c r="D109" i="37"/>
  <c r="D53" i="37"/>
  <c r="H53" i="37"/>
  <c r="L53" i="37"/>
  <c r="J108" i="37"/>
  <c r="J109" i="37"/>
  <c r="N107" i="37"/>
  <c r="J111" i="37"/>
  <c r="L119" i="37"/>
  <c r="J110" i="37"/>
  <c r="J118" i="37"/>
  <c r="C110" i="37"/>
  <c r="C118" i="37"/>
  <c r="H119" i="37"/>
  <c r="A1" i="35"/>
  <c r="A1" i="33"/>
  <c r="C130" i="42" l="1"/>
  <c r="C132" i="42" s="1"/>
  <c r="C129" i="42"/>
  <c r="D37" i="42" s="1"/>
  <c r="D44" i="44"/>
  <c r="D52" i="44" s="1"/>
  <c r="D42" i="44"/>
  <c r="D40" i="44"/>
  <c r="D43" i="44"/>
  <c r="D41" i="44"/>
  <c r="C42" i="39"/>
  <c r="C112" i="40"/>
  <c r="C91" i="40" s="1"/>
  <c r="L112" i="40"/>
  <c r="L75" i="40" s="1"/>
  <c r="D112" i="40"/>
  <c r="D91" i="40" s="1"/>
  <c r="J112" i="40"/>
  <c r="J91" i="40" s="1"/>
  <c r="K112" i="40"/>
  <c r="K91" i="40" s="1"/>
  <c r="C51" i="40"/>
  <c r="C50" i="40" s="1"/>
  <c r="C76" i="40" s="1"/>
  <c r="C92" i="40"/>
  <c r="A77" i="40"/>
  <c r="E118" i="40"/>
  <c r="E110" i="40"/>
  <c r="E137" i="40"/>
  <c r="E108" i="40"/>
  <c r="E111" i="40"/>
  <c r="E106" i="40"/>
  <c r="E109" i="40"/>
  <c r="E107" i="40"/>
  <c r="E53" i="40"/>
  <c r="E28" i="40"/>
  <c r="F27" i="40"/>
  <c r="E47" i="40"/>
  <c r="M75" i="40"/>
  <c r="D47" i="40"/>
  <c r="A68" i="40"/>
  <c r="A67" i="40"/>
  <c r="I112" i="40"/>
  <c r="I75" i="40" s="1"/>
  <c r="B29" i="40"/>
  <c r="A94" i="40"/>
  <c r="A100" i="40"/>
  <c r="A99" i="40"/>
  <c r="N58" i="40"/>
  <c r="N66" i="40" s="1"/>
  <c r="N74" i="40" s="1"/>
  <c r="N82" i="40" s="1"/>
  <c r="N90" i="40" s="1"/>
  <c r="N98" i="40" s="1"/>
  <c r="A60" i="40"/>
  <c r="A59" i="40"/>
  <c r="M91" i="40"/>
  <c r="A83" i="40"/>
  <c r="A84" i="40"/>
  <c r="J112" i="39"/>
  <c r="J91" i="39" s="1"/>
  <c r="C112" i="39"/>
  <c r="C91" i="39" s="1"/>
  <c r="D112" i="39"/>
  <c r="D91" i="39" s="1"/>
  <c r="M67" i="39"/>
  <c r="A93" i="39"/>
  <c r="C92" i="39"/>
  <c r="E118" i="39"/>
  <c r="E137" i="39"/>
  <c r="E108" i="39"/>
  <c r="E126" i="39"/>
  <c r="E111" i="39"/>
  <c r="E99" i="39"/>
  <c r="E106" i="39"/>
  <c r="E47" i="39"/>
  <c r="E100" i="39"/>
  <c r="E110" i="39"/>
  <c r="E35" i="39"/>
  <c r="E28" i="39"/>
  <c r="F27" i="39"/>
  <c r="E53" i="39"/>
  <c r="E45" i="39"/>
  <c r="E119" i="39"/>
  <c r="E109" i="39"/>
  <c r="E107" i="39"/>
  <c r="A59" i="39"/>
  <c r="N58" i="39"/>
  <c r="N66" i="39" s="1"/>
  <c r="N74" i="39" s="1"/>
  <c r="N82" i="39" s="1"/>
  <c r="N90" i="39" s="1"/>
  <c r="A60" i="39"/>
  <c r="K118" i="39"/>
  <c r="K110" i="39"/>
  <c r="K45" i="39"/>
  <c r="K137" i="39"/>
  <c r="K53" i="39"/>
  <c r="K108" i="39"/>
  <c r="K106" i="39"/>
  <c r="K107" i="39"/>
  <c r="K109" i="39"/>
  <c r="K35" i="39"/>
  <c r="K126" i="39"/>
  <c r="K111" i="39"/>
  <c r="K100" i="39"/>
  <c r="K28" i="39"/>
  <c r="K99" i="39"/>
  <c r="L27" i="39"/>
  <c r="K119" i="39"/>
  <c r="A75" i="39"/>
  <c r="A76" i="39"/>
  <c r="M91" i="39"/>
  <c r="I112" i="39"/>
  <c r="I91" i="39" s="1"/>
  <c r="A83" i="39"/>
  <c r="A84" i="39"/>
  <c r="I100" i="39"/>
  <c r="N100" i="39"/>
  <c r="C100" i="39"/>
  <c r="A101" i="39"/>
  <c r="C51" i="39"/>
  <c r="C50" i="39" s="1"/>
  <c r="J100" i="39"/>
  <c r="A69" i="39"/>
  <c r="C30" i="39"/>
  <c r="C40" i="39" s="1"/>
  <c r="L112" i="37"/>
  <c r="L91" i="37" s="1"/>
  <c r="K112" i="37"/>
  <c r="K75" i="37" s="1"/>
  <c r="J112" i="37"/>
  <c r="J91" i="37" s="1"/>
  <c r="I112" i="37"/>
  <c r="I75" i="37" s="1"/>
  <c r="J47" i="37"/>
  <c r="H112" i="37"/>
  <c r="H91" i="37" s="1"/>
  <c r="E137" i="37"/>
  <c r="E45" i="37"/>
  <c r="E110" i="37"/>
  <c r="C41" i="37"/>
  <c r="E47" i="37"/>
  <c r="E111" i="37"/>
  <c r="C40" i="37"/>
  <c r="C43" i="37"/>
  <c r="E119" i="37"/>
  <c r="C44" i="37"/>
  <c r="C52" i="37" s="1"/>
  <c r="C92" i="37" s="1"/>
  <c r="D112" i="37"/>
  <c r="D91" i="37" s="1"/>
  <c r="A67" i="37"/>
  <c r="A68" i="37"/>
  <c r="A84" i="37"/>
  <c r="A83" i="37"/>
  <c r="A99" i="37"/>
  <c r="F99" i="37" s="1"/>
  <c r="A100" i="37"/>
  <c r="N98" i="37"/>
  <c r="A77" i="37"/>
  <c r="C112" i="37"/>
  <c r="C91" i="37" s="1"/>
  <c r="M91" i="37"/>
  <c r="A93" i="37"/>
  <c r="A59" i="37"/>
  <c r="A60" i="37"/>
  <c r="N58" i="37"/>
  <c r="N66" i="37" s="1"/>
  <c r="N74" i="37" s="1"/>
  <c r="N82" i="37" s="1"/>
  <c r="N90" i="37" s="1"/>
  <c r="M75" i="37"/>
  <c r="F137" i="37"/>
  <c r="F126" i="37"/>
  <c r="F111" i="37"/>
  <c r="F106" i="37"/>
  <c r="F119" i="37"/>
  <c r="F107" i="37"/>
  <c r="F110" i="37"/>
  <c r="F28" i="37"/>
  <c r="F47" i="37" s="1"/>
  <c r="G27" i="37"/>
  <c r="F35" i="37"/>
  <c r="F118" i="37"/>
  <c r="F109" i="37"/>
  <c r="F108" i="37"/>
  <c r="F45" i="37"/>
  <c r="F100" i="37"/>
  <c r="F53" i="37"/>
  <c r="C77" i="35"/>
  <c r="L138" i="35"/>
  <c r="K138" i="35"/>
  <c r="J138" i="35"/>
  <c r="I138" i="35"/>
  <c r="H138" i="35"/>
  <c r="L137" i="35"/>
  <c r="K137" i="35"/>
  <c r="J137" i="35"/>
  <c r="I137" i="35"/>
  <c r="H137" i="35"/>
  <c r="C137" i="35"/>
  <c r="L133" i="35"/>
  <c r="K133" i="35"/>
  <c r="J133" i="35"/>
  <c r="I133" i="35"/>
  <c r="H133" i="35"/>
  <c r="L129" i="35"/>
  <c r="K129" i="35"/>
  <c r="J129" i="35"/>
  <c r="I129" i="35"/>
  <c r="H129" i="35"/>
  <c r="L127" i="35"/>
  <c r="K127" i="35"/>
  <c r="J127" i="35"/>
  <c r="I127" i="35"/>
  <c r="H127" i="35"/>
  <c r="A126" i="35"/>
  <c r="K126" i="35" s="1"/>
  <c r="A125" i="35"/>
  <c r="A124" i="35"/>
  <c r="L124" i="35" s="1"/>
  <c r="A123" i="35"/>
  <c r="H122" i="35"/>
  <c r="A122" i="35"/>
  <c r="J122" i="35" s="1"/>
  <c r="K121" i="35"/>
  <c r="A121" i="35"/>
  <c r="L121" i="35" s="1"/>
  <c r="K119" i="35"/>
  <c r="I119" i="35"/>
  <c r="C119" i="35"/>
  <c r="A119" i="35"/>
  <c r="J119" i="35" s="1"/>
  <c r="L118" i="35"/>
  <c r="I118" i="35"/>
  <c r="C118" i="35"/>
  <c r="A118" i="35"/>
  <c r="K118" i="35" s="1"/>
  <c r="L117" i="35"/>
  <c r="K117" i="35"/>
  <c r="I117" i="35"/>
  <c r="H117" i="35"/>
  <c r="A117" i="35"/>
  <c r="J117" i="35" s="1"/>
  <c r="L116" i="35"/>
  <c r="J116" i="35"/>
  <c r="A116" i="35"/>
  <c r="A115" i="35"/>
  <c r="L115" i="35" s="1"/>
  <c r="H114" i="35"/>
  <c r="A114" i="35"/>
  <c r="J114" i="35" s="1"/>
  <c r="L112" i="35"/>
  <c r="K112" i="35"/>
  <c r="J112" i="35"/>
  <c r="I112" i="35"/>
  <c r="H112" i="35"/>
  <c r="A111" i="35"/>
  <c r="M111" i="35" s="1"/>
  <c r="A110" i="35"/>
  <c r="J110" i="35" s="1"/>
  <c r="A109" i="35"/>
  <c r="J109" i="35" s="1"/>
  <c r="A108" i="35"/>
  <c r="K108" i="35" s="1"/>
  <c r="C107" i="35"/>
  <c r="A107" i="35"/>
  <c r="J107" i="35" s="1"/>
  <c r="A106" i="35"/>
  <c r="M98" i="35"/>
  <c r="A98" i="35"/>
  <c r="A99" i="35" s="1"/>
  <c r="M97" i="35"/>
  <c r="A97" i="35"/>
  <c r="N97" i="35" s="1"/>
  <c r="A96" i="35"/>
  <c r="M91" i="35"/>
  <c r="A91" i="35"/>
  <c r="J91" i="35" s="1"/>
  <c r="M90" i="35"/>
  <c r="A90" i="35"/>
  <c r="A92" i="35" s="1"/>
  <c r="M89" i="35"/>
  <c r="A89" i="35"/>
  <c r="A88" i="35"/>
  <c r="M83" i="35"/>
  <c r="J83" i="35"/>
  <c r="I83" i="35"/>
  <c r="A83" i="35"/>
  <c r="M82" i="35"/>
  <c r="A82" i="35"/>
  <c r="A84" i="35" s="1"/>
  <c r="M81" i="35"/>
  <c r="A81" i="35"/>
  <c r="A80" i="35"/>
  <c r="M74" i="35"/>
  <c r="N108" i="35" s="1"/>
  <c r="M73" i="35"/>
  <c r="A73" i="35"/>
  <c r="A72" i="35"/>
  <c r="M65" i="35"/>
  <c r="A65" i="35"/>
  <c r="N65" i="35" s="1"/>
  <c r="A64" i="35"/>
  <c r="M59" i="35"/>
  <c r="L59" i="35"/>
  <c r="K59" i="35"/>
  <c r="H59" i="35"/>
  <c r="M66" i="35"/>
  <c r="A58" i="35"/>
  <c r="A59" i="35" s="1"/>
  <c r="M57" i="35"/>
  <c r="A57" i="35"/>
  <c r="N57" i="35" s="1"/>
  <c r="A56" i="35"/>
  <c r="L53" i="35"/>
  <c r="K53" i="35"/>
  <c r="I53" i="35"/>
  <c r="A53" i="35"/>
  <c r="J53" i="35" s="1"/>
  <c r="A52" i="35"/>
  <c r="K52" i="35" s="1"/>
  <c r="A51" i="35"/>
  <c r="L51" i="35" s="1"/>
  <c r="A50" i="35"/>
  <c r="I50" i="35" s="1"/>
  <c r="I49" i="35"/>
  <c r="B49" i="35"/>
  <c r="A49" i="35"/>
  <c r="J49" i="35" s="1"/>
  <c r="K48" i="35"/>
  <c r="H48" i="35"/>
  <c r="A48" i="35"/>
  <c r="L48" i="35" s="1"/>
  <c r="L47" i="35"/>
  <c r="K47" i="35"/>
  <c r="J47" i="35"/>
  <c r="I47" i="35"/>
  <c r="H47" i="35"/>
  <c r="L45" i="35"/>
  <c r="A45" i="35"/>
  <c r="J45" i="35" s="1"/>
  <c r="I44" i="35"/>
  <c r="A44" i="35"/>
  <c r="J44" i="35" s="1"/>
  <c r="A43" i="35"/>
  <c r="I43" i="35" s="1"/>
  <c r="A42" i="35"/>
  <c r="L42" i="35" s="1"/>
  <c r="A41" i="35"/>
  <c r="L41" i="35" s="1"/>
  <c r="A40" i="35"/>
  <c r="J40" i="35" s="1"/>
  <c r="L39" i="35"/>
  <c r="K39" i="35"/>
  <c r="J39" i="35"/>
  <c r="I39" i="35"/>
  <c r="H39" i="35"/>
  <c r="J38" i="35"/>
  <c r="H38" i="35"/>
  <c r="C38" i="35"/>
  <c r="L37" i="35"/>
  <c r="K37" i="35"/>
  <c r="J37" i="35"/>
  <c r="I37" i="35"/>
  <c r="H37" i="35"/>
  <c r="C37" i="35"/>
  <c r="C39" i="35" s="1"/>
  <c r="A35" i="35"/>
  <c r="H35" i="35" s="1"/>
  <c r="A34" i="35"/>
  <c r="K34" i="35" s="1"/>
  <c r="A33" i="35"/>
  <c r="J33" i="35" s="1"/>
  <c r="A32" i="35"/>
  <c r="L32" i="35" s="1"/>
  <c r="A31" i="35"/>
  <c r="I31" i="35" s="1"/>
  <c r="J30" i="35"/>
  <c r="A30" i="35"/>
  <c r="K30" i="35" s="1"/>
  <c r="L29" i="35"/>
  <c r="K29" i="35"/>
  <c r="J29" i="35"/>
  <c r="I29" i="35"/>
  <c r="H29" i="35"/>
  <c r="C29" i="35"/>
  <c r="L28" i="35"/>
  <c r="K28" i="35"/>
  <c r="K38" i="35" s="1"/>
  <c r="J28" i="35"/>
  <c r="J130" i="35" s="1"/>
  <c r="I28" i="35"/>
  <c r="I38" i="35" s="1"/>
  <c r="H28" i="35"/>
  <c r="H130" i="35" s="1"/>
  <c r="D28" i="35"/>
  <c r="C28" i="35"/>
  <c r="C47" i="35" s="1"/>
  <c r="C24" i="35"/>
  <c r="B31" i="35" s="1"/>
  <c r="B24" i="35"/>
  <c r="B30" i="35" s="1"/>
  <c r="H129" i="33"/>
  <c r="I129" i="33"/>
  <c r="J129" i="33"/>
  <c r="K129" i="33"/>
  <c r="L129" i="33"/>
  <c r="C131" i="42" l="1"/>
  <c r="C135" i="42" s="1"/>
  <c r="C134" i="42"/>
  <c r="D38" i="42"/>
  <c r="D46" i="42" s="1"/>
  <c r="D51" i="44"/>
  <c r="D92" i="44"/>
  <c r="D94" i="44" s="1"/>
  <c r="D125" i="44" s="1"/>
  <c r="E34" i="44" s="1"/>
  <c r="C49" i="39"/>
  <c r="L33" i="35"/>
  <c r="K110" i="35"/>
  <c r="H34" i="35"/>
  <c r="H51" i="35"/>
  <c r="H107" i="35"/>
  <c r="C111" i="35"/>
  <c r="L122" i="35"/>
  <c r="J34" i="35"/>
  <c r="K51" i="35"/>
  <c r="K107" i="35"/>
  <c r="I111" i="35"/>
  <c r="L107" i="35"/>
  <c r="L111" i="35"/>
  <c r="N111" i="35"/>
  <c r="K32" i="35"/>
  <c r="K42" i="35"/>
  <c r="H49" i="35"/>
  <c r="C53" i="35"/>
  <c r="H40" i="35"/>
  <c r="C109" i="35"/>
  <c r="L30" i="35"/>
  <c r="I35" i="35"/>
  <c r="L110" i="35"/>
  <c r="C33" i="35"/>
  <c r="C43" i="35" s="1"/>
  <c r="I40" i="35"/>
  <c r="H43" i="35"/>
  <c r="I109" i="35"/>
  <c r="N110" i="35"/>
  <c r="K33" i="35"/>
  <c r="K40" i="35"/>
  <c r="K109" i="35"/>
  <c r="H121" i="35"/>
  <c r="C32" i="35"/>
  <c r="H50" i="35"/>
  <c r="H53" i="35"/>
  <c r="N109" i="35"/>
  <c r="C108" i="35"/>
  <c r="C110" i="35"/>
  <c r="H111" i="35"/>
  <c r="H126" i="35"/>
  <c r="L40" i="35"/>
  <c r="H32" i="35"/>
  <c r="K50" i="35"/>
  <c r="H108" i="35"/>
  <c r="H110" i="35"/>
  <c r="I126" i="35"/>
  <c r="H30" i="35"/>
  <c r="I32" i="35"/>
  <c r="H42" i="35"/>
  <c r="I110" i="35"/>
  <c r="K111" i="35"/>
  <c r="K122" i="35"/>
  <c r="L126" i="35"/>
  <c r="L91" i="40"/>
  <c r="C75" i="40"/>
  <c r="C49" i="40"/>
  <c r="C48" i="40" s="1"/>
  <c r="C60" i="40" s="1"/>
  <c r="C61" i="40" s="1"/>
  <c r="C114" i="40" s="1"/>
  <c r="J75" i="40"/>
  <c r="K75" i="40"/>
  <c r="E112" i="40"/>
  <c r="E67" i="40" s="1"/>
  <c r="D75" i="40"/>
  <c r="A61" i="40"/>
  <c r="N60" i="40"/>
  <c r="N68" i="40" s="1"/>
  <c r="N76" i="40" s="1"/>
  <c r="N84" i="40" s="1"/>
  <c r="N92" i="40" s="1"/>
  <c r="N100" i="40" s="1"/>
  <c r="C94" i="40"/>
  <c r="C125" i="40" s="1"/>
  <c r="D34" i="40" s="1"/>
  <c r="A78" i="40"/>
  <c r="M83" i="40"/>
  <c r="C83" i="40"/>
  <c r="I83" i="40"/>
  <c r="J83" i="40"/>
  <c r="L83" i="40"/>
  <c r="D83" i="40"/>
  <c r="K83" i="40"/>
  <c r="I91" i="40"/>
  <c r="A85" i="40"/>
  <c r="C84" i="40"/>
  <c r="C85" i="40" s="1"/>
  <c r="C117" i="40" s="1"/>
  <c r="F137" i="40"/>
  <c r="F53" i="40"/>
  <c r="F108" i="40"/>
  <c r="F111" i="40"/>
  <c r="F106" i="40"/>
  <c r="F119" i="40"/>
  <c r="F109" i="40"/>
  <c r="F107" i="40"/>
  <c r="F118" i="40"/>
  <c r="F28" i="40"/>
  <c r="F47" i="40" s="1"/>
  <c r="G27" i="40"/>
  <c r="F110" i="40"/>
  <c r="M99" i="40"/>
  <c r="C99" i="40"/>
  <c r="I99" i="40"/>
  <c r="D99" i="40"/>
  <c r="K99" i="40"/>
  <c r="L99" i="40"/>
  <c r="J99" i="40"/>
  <c r="A69" i="40"/>
  <c r="C100" i="40"/>
  <c r="A101" i="40"/>
  <c r="C59" i="40"/>
  <c r="I59" i="40"/>
  <c r="N59" i="40"/>
  <c r="M59" i="40"/>
  <c r="L59" i="40"/>
  <c r="K59" i="40"/>
  <c r="D59" i="40"/>
  <c r="J59" i="40"/>
  <c r="C67" i="40"/>
  <c r="I67" i="40"/>
  <c r="N67" i="40"/>
  <c r="N75" i="40" s="1"/>
  <c r="N83" i="40" s="1"/>
  <c r="N91" i="40" s="1"/>
  <c r="N99" i="40" s="1"/>
  <c r="M67" i="40"/>
  <c r="J67" i="40"/>
  <c r="L67" i="40"/>
  <c r="K67" i="40"/>
  <c r="D67" i="40"/>
  <c r="D67" i="39"/>
  <c r="C67" i="39"/>
  <c r="K112" i="39"/>
  <c r="K83" i="39" s="1"/>
  <c r="I67" i="39"/>
  <c r="J67" i="39"/>
  <c r="C68" i="39"/>
  <c r="C48" i="39"/>
  <c r="A77" i="39"/>
  <c r="C76" i="39"/>
  <c r="E112" i="39"/>
  <c r="E83" i="39" s="1"/>
  <c r="C75" i="39"/>
  <c r="M75" i="39"/>
  <c r="I75" i="39"/>
  <c r="J75" i="39"/>
  <c r="D75" i="39"/>
  <c r="A85" i="39"/>
  <c r="C84" i="39"/>
  <c r="C85" i="39" s="1"/>
  <c r="C117" i="39" s="1"/>
  <c r="A70" i="39"/>
  <c r="C83" i="39"/>
  <c r="M83" i="39"/>
  <c r="I83" i="39"/>
  <c r="D83" i="39"/>
  <c r="J83" i="39"/>
  <c r="N60" i="39"/>
  <c r="N68" i="39" s="1"/>
  <c r="N76" i="39" s="1"/>
  <c r="N84" i="39" s="1"/>
  <c r="N92" i="39" s="1"/>
  <c r="C60" i="39"/>
  <c r="C61" i="39" s="1"/>
  <c r="C114" i="39" s="1"/>
  <c r="A61" i="39"/>
  <c r="A102" i="39"/>
  <c r="N101" i="39"/>
  <c r="K47" i="39"/>
  <c r="I59" i="39"/>
  <c r="N59" i="39"/>
  <c r="N67" i="39" s="1"/>
  <c r="N75" i="39" s="1"/>
  <c r="N83" i="39" s="1"/>
  <c r="N91" i="39" s="1"/>
  <c r="C59" i="39"/>
  <c r="M59" i="39"/>
  <c r="J59" i="39"/>
  <c r="D59" i="39"/>
  <c r="F137" i="39"/>
  <c r="F126" i="39"/>
  <c r="F111" i="39"/>
  <c r="F99" i="39"/>
  <c r="F106" i="39"/>
  <c r="F119" i="39"/>
  <c r="F109" i="39"/>
  <c r="F107" i="39"/>
  <c r="F100" i="39"/>
  <c r="F47" i="39"/>
  <c r="F35" i="39"/>
  <c r="F28" i="39"/>
  <c r="G27" i="39"/>
  <c r="F102" i="39"/>
  <c r="F53" i="39"/>
  <c r="F118" i="39"/>
  <c r="F108" i="39"/>
  <c r="F110" i="39"/>
  <c r="F45" i="39"/>
  <c r="L137" i="39"/>
  <c r="L53" i="39"/>
  <c r="L108" i="39"/>
  <c r="L126" i="39"/>
  <c r="L111" i="39"/>
  <c r="L99" i="39"/>
  <c r="L119" i="39"/>
  <c r="L109" i="39"/>
  <c r="L102" i="39"/>
  <c r="L107" i="39"/>
  <c r="L106" i="39"/>
  <c r="L118" i="39"/>
  <c r="L45" i="39"/>
  <c r="L35" i="39"/>
  <c r="L28" i="39"/>
  <c r="L100" i="39"/>
  <c r="L110" i="39"/>
  <c r="L47" i="39"/>
  <c r="A94" i="39"/>
  <c r="J75" i="37"/>
  <c r="K91" i="37"/>
  <c r="L75" i="37"/>
  <c r="I91" i="37"/>
  <c r="H75" i="37"/>
  <c r="E112" i="37"/>
  <c r="E91" i="37" s="1"/>
  <c r="C51" i="37"/>
  <c r="C50" i="37" s="1"/>
  <c r="C76" i="37" s="1"/>
  <c r="D75" i="37"/>
  <c r="F112" i="37"/>
  <c r="F75" i="37" s="1"/>
  <c r="C75" i="37"/>
  <c r="N59" i="37"/>
  <c r="N67" i="37" s="1"/>
  <c r="N75" i="37" s="1"/>
  <c r="N83" i="37" s="1"/>
  <c r="N91" i="37" s="1"/>
  <c r="M59" i="37"/>
  <c r="J59" i="37"/>
  <c r="H59" i="37"/>
  <c r="C59" i="37"/>
  <c r="L59" i="37"/>
  <c r="K59" i="37"/>
  <c r="I59" i="37"/>
  <c r="D59" i="37"/>
  <c r="A85" i="37"/>
  <c r="A94" i="37"/>
  <c r="A69" i="37"/>
  <c r="N68" i="37"/>
  <c r="N76" i="37" s="1"/>
  <c r="N84" i="37" s="1"/>
  <c r="N92" i="37" s="1"/>
  <c r="I100" i="37"/>
  <c r="H100" i="37"/>
  <c r="N100" i="37"/>
  <c r="A101" i="37"/>
  <c r="L100" i="37"/>
  <c r="K100" i="37"/>
  <c r="J100" i="37"/>
  <c r="D100" i="37"/>
  <c r="C100" i="37"/>
  <c r="E100" i="37"/>
  <c r="K67" i="37"/>
  <c r="C67" i="37"/>
  <c r="J67" i="37"/>
  <c r="I67" i="37"/>
  <c r="H67" i="37"/>
  <c r="M67" i="37"/>
  <c r="L67" i="37"/>
  <c r="D67" i="37"/>
  <c r="N99" i="37"/>
  <c r="M99" i="37"/>
  <c r="J99" i="37"/>
  <c r="L99" i="37"/>
  <c r="K99" i="37"/>
  <c r="I99" i="37"/>
  <c r="H99" i="37"/>
  <c r="D99" i="37"/>
  <c r="C99" i="37"/>
  <c r="E99" i="37"/>
  <c r="K83" i="37"/>
  <c r="C83" i="37"/>
  <c r="M83" i="37"/>
  <c r="L83" i="37"/>
  <c r="J83" i="37"/>
  <c r="I83" i="37"/>
  <c r="H83" i="37"/>
  <c r="D83" i="37"/>
  <c r="G106" i="37"/>
  <c r="M106" i="37" s="1"/>
  <c r="G45" i="37"/>
  <c r="G119" i="37"/>
  <c r="G109" i="37"/>
  <c r="G53" i="37"/>
  <c r="G118" i="37"/>
  <c r="G110" i="37"/>
  <c r="M110" i="37" s="1"/>
  <c r="G111" i="37"/>
  <c r="G35" i="37"/>
  <c r="G28" i="37"/>
  <c r="G108" i="37"/>
  <c r="M108" i="37" s="1"/>
  <c r="G107" i="37"/>
  <c r="M107" i="37" s="1"/>
  <c r="G99" i="37"/>
  <c r="G100" i="37"/>
  <c r="G137" i="37"/>
  <c r="G126" i="37"/>
  <c r="N60" i="37"/>
  <c r="A61" i="37"/>
  <c r="A78" i="37"/>
  <c r="I92" i="35"/>
  <c r="A93" i="35"/>
  <c r="L92" i="35"/>
  <c r="K92" i="35"/>
  <c r="J92" i="35"/>
  <c r="H92" i="35"/>
  <c r="C42" i="35"/>
  <c r="H99" i="35"/>
  <c r="N99" i="35"/>
  <c r="M99" i="35"/>
  <c r="K99" i="35"/>
  <c r="C99" i="35"/>
  <c r="J99" i="35"/>
  <c r="C31" i="35"/>
  <c r="C41" i="35" s="1"/>
  <c r="K31" i="35"/>
  <c r="I34" i="35"/>
  <c r="H44" i="35"/>
  <c r="J50" i="35"/>
  <c r="D53" i="35"/>
  <c r="I106" i="35"/>
  <c r="L106" i="35"/>
  <c r="K106" i="35"/>
  <c r="C106" i="35"/>
  <c r="D110" i="35"/>
  <c r="D118" i="35"/>
  <c r="K125" i="35"/>
  <c r="I125" i="35"/>
  <c r="H125" i="35"/>
  <c r="I130" i="35"/>
  <c r="L31" i="35"/>
  <c r="B34" i="35"/>
  <c r="B29" i="35" s="1"/>
  <c r="A74" i="35"/>
  <c r="N73" i="35"/>
  <c r="N98" i="35"/>
  <c r="K130" i="35"/>
  <c r="J31" i="35"/>
  <c r="D107" i="35"/>
  <c r="D137" i="35"/>
  <c r="D108" i="35"/>
  <c r="D126" i="35"/>
  <c r="D111" i="35"/>
  <c r="D106" i="35"/>
  <c r="D119" i="35"/>
  <c r="D109" i="35"/>
  <c r="D47" i="35"/>
  <c r="I30" i="35"/>
  <c r="J32" i="35"/>
  <c r="L34" i="35"/>
  <c r="J35" i="35"/>
  <c r="H41" i="35"/>
  <c r="J43" i="35"/>
  <c r="L49" i="35"/>
  <c r="K49" i="35"/>
  <c r="L50" i="35"/>
  <c r="J52" i="35"/>
  <c r="M58" i="35"/>
  <c r="N106" i="35" s="1"/>
  <c r="L83" i="35"/>
  <c r="K83" i="35"/>
  <c r="D99" i="35"/>
  <c r="H106" i="35"/>
  <c r="I123" i="35"/>
  <c r="L123" i="35"/>
  <c r="K123" i="35"/>
  <c r="J125" i="35"/>
  <c r="J84" i="35"/>
  <c r="I84" i="35"/>
  <c r="A85" i="35"/>
  <c r="I52" i="35"/>
  <c r="H33" i="35"/>
  <c r="K35" i="35"/>
  <c r="I41" i="35"/>
  <c r="K43" i="35"/>
  <c r="K45" i="35"/>
  <c r="C45" i="35"/>
  <c r="I45" i="35"/>
  <c r="H45" i="35"/>
  <c r="H84" i="35"/>
  <c r="J106" i="35"/>
  <c r="H123" i="35"/>
  <c r="L125" i="35"/>
  <c r="C30" i="35"/>
  <c r="C40" i="35" s="1"/>
  <c r="I33" i="35"/>
  <c r="C35" i="35"/>
  <c r="L35" i="35"/>
  <c r="J41" i="35"/>
  <c r="L43" i="35"/>
  <c r="D45" i="35"/>
  <c r="J59" i="35"/>
  <c r="I59" i="35"/>
  <c r="N59" i="35"/>
  <c r="H83" i="35"/>
  <c r="K84" i="35"/>
  <c r="I99" i="35"/>
  <c r="K116" i="35"/>
  <c r="C116" i="35"/>
  <c r="I116" i="35"/>
  <c r="H116" i="35"/>
  <c r="J123" i="35"/>
  <c r="H31" i="35"/>
  <c r="D35" i="35"/>
  <c r="K41" i="35"/>
  <c r="L44" i="35"/>
  <c r="K44" i="35"/>
  <c r="N81" i="35"/>
  <c r="N89" i="35" s="1"/>
  <c r="L84" i="35"/>
  <c r="L91" i="35"/>
  <c r="K91" i="35"/>
  <c r="I91" i="35"/>
  <c r="H91" i="35"/>
  <c r="L99" i="35"/>
  <c r="L130" i="35"/>
  <c r="L38" i="35"/>
  <c r="H52" i="35"/>
  <c r="L52" i="35"/>
  <c r="A100" i="35"/>
  <c r="I114" i="35"/>
  <c r="L114" i="35"/>
  <c r="K114" i="35"/>
  <c r="I42" i="35"/>
  <c r="I48" i="35"/>
  <c r="I51" i="35"/>
  <c r="A66" i="35"/>
  <c r="N107" i="35"/>
  <c r="I108" i="35"/>
  <c r="L109" i="35"/>
  <c r="J111" i="35"/>
  <c r="H115" i="35"/>
  <c r="L119" i="35"/>
  <c r="I121" i="35"/>
  <c r="H124" i="35"/>
  <c r="J126" i="35"/>
  <c r="J42" i="35"/>
  <c r="J48" i="35"/>
  <c r="J51" i="35"/>
  <c r="A60" i="35"/>
  <c r="J108" i="35"/>
  <c r="I115" i="35"/>
  <c r="H118" i="35"/>
  <c r="J121" i="35"/>
  <c r="I124" i="35"/>
  <c r="C126" i="35"/>
  <c r="J115" i="35"/>
  <c r="J124" i="35"/>
  <c r="N58" i="35"/>
  <c r="I107" i="35"/>
  <c r="L108" i="35"/>
  <c r="C115" i="35"/>
  <c r="C138" i="35" s="1"/>
  <c r="K115" i="35"/>
  <c r="J118" i="35"/>
  <c r="I122" i="35"/>
  <c r="K124" i="35"/>
  <c r="H109" i="35"/>
  <c r="H119" i="35"/>
  <c r="C66" i="33"/>
  <c r="D66" i="33"/>
  <c r="D65" i="33"/>
  <c r="C65" i="33"/>
  <c r="D39" i="42" l="1"/>
  <c r="D50" i="44"/>
  <c r="D84" i="44"/>
  <c r="C112" i="35"/>
  <c r="C59" i="35" s="1"/>
  <c r="C34" i="35"/>
  <c r="E59" i="40"/>
  <c r="E99" i="40"/>
  <c r="C68" i="40"/>
  <c r="F112" i="40"/>
  <c r="F83" i="40" s="1"/>
  <c r="E83" i="40"/>
  <c r="E91" i="40"/>
  <c r="E75" i="40"/>
  <c r="A62" i="40"/>
  <c r="N61" i="40"/>
  <c r="C78" i="40"/>
  <c r="C123" i="40" s="1"/>
  <c r="D32" i="40" s="1"/>
  <c r="G108" i="40"/>
  <c r="G111" i="40"/>
  <c r="G106" i="40"/>
  <c r="G119" i="40"/>
  <c r="G109" i="40"/>
  <c r="G107" i="40"/>
  <c r="G118" i="40"/>
  <c r="G110" i="40"/>
  <c r="G137" i="40"/>
  <c r="G53" i="40"/>
  <c r="G28" i="40"/>
  <c r="H27" i="40"/>
  <c r="A86" i="40"/>
  <c r="A102" i="40"/>
  <c r="A70" i="40"/>
  <c r="N69" i="40"/>
  <c r="N77" i="40" s="1"/>
  <c r="N85" i="40" s="1"/>
  <c r="N93" i="40" s="1"/>
  <c r="N101" i="40" s="1"/>
  <c r="E59" i="39"/>
  <c r="E75" i="39"/>
  <c r="K67" i="39"/>
  <c r="K59" i="39"/>
  <c r="K75" i="39"/>
  <c r="K91" i="39"/>
  <c r="C102" i="39"/>
  <c r="I102" i="39"/>
  <c r="N102" i="39"/>
  <c r="J102" i="39"/>
  <c r="D102" i="39"/>
  <c r="E102" i="39"/>
  <c r="K102" i="39"/>
  <c r="N61" i="39"/>
  <c r="N69" i="39" s="1"/>
  <c r="N77" i="39" s="1"/>
  <c r="N85" i="39" s="1"/>
  <c r="N93" i="39" s="1"/>
  <c r="A62" i="39"/>
  <c r="L112" i="39"/>
  <c r="F112" i="39"/>
  <c r="A86" i="39"/>
  <c r="A78" i="39"/>
  <c r="G126" i="39"/>
  <c r="G106" i="39"/>
  <c r="G47" i="39"/>
  <c r="G119" i="39"/>
  <c r="G109" i="39"/>
  <c r="G100" i="39"/>
  <c r="G118" i="39"/>
  <c r="G110" i="39"/>
  <c r="G102" i="39"/>
  <c r="G45" i="39"/>
  <c r="G99" i="39"/>
  <c r="G35" i="39"/>
  <c r="G28" i="39"/>
  <c r="H27" i="39"/>
  <c r="G111" i="39"/>
  <c r="G53" i="39"/>
  <c r="G137" i="39"/>
  <c r="G107" i="39"/>
  <c r="G108" i="39"/>
  <c r="C70" i="39"/>
  <c r="C122" i="39" s="1"/>
  <c r="D31" i="39" s="1"/>
  <c r="E67" i="39"/>
  <c r="E91" i="39"/>
  <c r="C94" i="39"/>
  <c r="C125" i="39" s="1"/>
  <c r="D34" i="39" s="1"/>
  <c r="E75" i="37"/>
  <c r="E67" i="37"/>
  <c r="E59" i="37"/>
  <c r="E83" i="37"/>
  <c r="C84" i="37"/>
  <c r="C85" i="37" s="1"/>
  <c r="C117" i="37" s="1"/>
  <c r="C49" i="37"/>
  <c r="F59" i="37"/>
  <c r="F67" i="37"/>
  <c r="F83" i="37"/>
  <c r="F91" i="37"/>
  <c r="G112" i="37"/>
  <c r="G91" i="37" s="1"/>
  <c r="C78" i="37"/>
  <c r="C123" i="37" s="1"/>
  <c r="D32" i="37" s="1"/>
  <c r="M109" i="37"/>
  <c r="A70" i="37"/>
  <c r="A86" i="37"/>
  <c r="G47" i="37"/>
  <c r="A102" i="37"/>
  <c r="N101" i="37"/>
  <c r="A62" i="37"/>
  <c r="N61" i="37"/>
  <c r="N69" i="37" s="1"/>
  <c r="N77" i="37" s="1"/>
  <c r="N85" i="37" s="1"/>
  <c r="N93" i="37" s="1"/>
  <c r="C94" i="37"/>
  <c r="C125" i="37" s="1"/>
  <c r="D34" i="37" s="1"/>
  <c r="D112" i="35"/>
  <c r="D83" i="35" s="1"/>
  <c r="A94" i="35"/>
  <c r="A68" i="35"/>
  <c r="N66" i="35"/>
  <c r="N74" i="35" s="1"/>
  <c r="N82" i="35" s="1"/>
  <c r="N90" i="35" s="1"/>
  <c r="A67" i="35"/>
  <c r="K100" i="35"/>
  <c r="C100" i="35"/>
  <c r="I100" i="35"/>
  <c r="H100" i="35"/>
  <c r="A101" i="35"/>
  <c r="N100" i="35"/>
  <c r="L100" i="35"/>
  <c r="J100" i="35"/>
  <c r="D100" i="35"/>
  <c r="E118" i="35"/>
  <c r="E110" i="35"/>
  <c r="E108" i="35"/>
  <c r="E126" i="35"/>
  <c r="E111" i="35"/>
  <c r="E99" i="35"/>
  <c r="E119" i="35"/>
  <c r="E109" i="35"/>
  <c r="E100" i="35"/>
  <c r="E35" i="35"/>
  <c r="E45" i="35"/>
  <c r="E47" i="35"/>
  <c r="E106" i="35"/>
  <c r="E53" i="35"/>
  <c r="E137" i="35"/>
  <c r="E107" i="35"/>
  <c r="A86" i="35"/>
  <c r="N60" i="35"/>
  <c r="L60" i="35"/>
  <c r="J60" i="35"/>
  <c r="I60" i="35"/>
  <c r="K60" i="35"/>
  <c r="H60" i="35"/>
  <c r="A61" i="35"/>
  <c r="C44" i="35"/>
  <c r="C52" i="35" s="1"/>
  <c r="C92" i="35" s="1"/>
  <c r="A75" i="35"/>
  <c r="A76" i="35"/>
  <c r="B49" i="33"/>
  <c r="H29" i="33"/>
  <c r="I29" i="33"/>
  <c r="J29" i="33"/>
  <c r="K29" i="33"/>
  <c r="L29" i="33"/>
  <c r="H47" i="33"/>
  <c r="I47" i="33"/>
  <c r="J47" i="33"/>
  <c r="K47" i="33"/>
  <c r="L47" i="33"/>
  <c r="A49" i="33"/>
  <c r="J49" i="33" s="1"/>
  <c r="A50" i="33"/>
  <c r="J50" i="33" s="1"/>
  <c r="A51" i="33"/>
  <c r="H51" i="33" s="1"/>
  <c r="A52" i="33"/>
  <c r="H52" i="33" s="1"/>
  <c r="A53" i="33"/>
  <c r="C53" i="33" s="1"/>
  <c r="A48" i="33"/>
  <c r="H48" i="33" s="1"/>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38" i="33"/>
  <c r="K138" i="33"/>
  <c r="J138" i="33"/>
  <c r="I138" i="33"/>
  <c r="H138" i="33"/>
  <c r="L137" i="33"/>
  <c r="K137" i="33"/>
  <c r="J137" i="33"/>
  <c r="I137" i="33"/>
  <c r="H137" i="33"/>
  <c r="C137"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L37" i="33"/>
  <c r="K37" i="33"/>
  <c r="J37" i="33"/>
  <c r="I37" i="33"/>
  <c r="H37" i="33"/>
  <c r="C37" i="33"/>
  <c r="A35" i="33"/>
  <c r="K35" i="33" s="1"/>
  <c r="A34" i="33"/>
  <c r="L34" i="33" s="1"/>
  <c r="A33" i="33"/>
  <c r="I33" i="33" s="1"/>
  <c r="A32" i="33"/>
  <c r="H32" i="33" s="1"/>
  <c r="A31" i="33"/>
  <c r="K31" i="33" s="1"/>
  <c r="A30" i="33"/>
  <c r="H30" i="33" s="1"/>
  <c r="C29" i="33"/>
  <c r="L28" i="33"/>
  <c r="K28" i="33"/>
  <c r="J28" i="33"/>
  <c r="I28" i="33"/>
  <c r="H28" i="33"/>
  <c r="D28" i="33"/>
  <c r="D47" i="33" s="1"/>
  <c r="C28" i="33"/>
  <c r="C47" i="33" s="1"/>
  <c r="D115" i="33"/>
  <c r="C24" i="33"/>
  <c r="B31" i="33" s="1"/>
  <c r="B24" i="33"/>
  <c r="D42" i="42" l="1"/>
  <c r="D43" i="42"/>
  <c r="D40" i="42"/>
  <c r="D41" i="42"/>
  <c r="D44" i="42"/>
  <c r="D52" i="42" s="1"/>
  <c r="D85" i="44"/>
  <c r="D117" i="44" s="1"/>
  <c r="D86" i="44"/>
  <c r="D124" i="44" s="1"/>
  <c r="E33" i="44" s="1"/>
  <c r="D76" i="44"/>
  <c r="D78" i="44" s="1"/>
  <c r="D123" i="44" s="1"/>
  <c r="E32" i="44" s="1"/>
  <c r="D49" i="44"/>
  <c r="C83" i="35"/>
  <c r="C91" i="35"/>
  <c r="F67" i="40"/>
  <c r="F99" i="40"/>
  <c r="F59" i="40"/>
  <c r="F91" i="40"/>
  <c r="F75" i="40"/>
  <c r="G112" i="40"/>
  <c r="G83" i="40" s="1"/>
  <c r="H111" i="40"/>
  <c r="M111" i="40" s="1"/>
  <c r="H106" i="40"/>
  <c r="M106" i="40" s="1"/>
  <c r="H109" i="40"/>
  <c r="M109" i="40" s="1"/>
  <c r="H107" i="40"/>
  <c r="M107" i="40" s="1"/>
  <c r="H118" i="40"/>
  <c r="H110" i="40"/>
  <c r="M110" i="40" s="1"/>
  <c r="H137" i="40"/>
  <c r="H53" i="40"/>
  <c r="H28" i="40"/>
  <c r="H108" i="40"/>
  <c r="M108" i="40" s="1"/>
  <c r="C62" i="40"/>
  <c r="C121" i="40" s="1"/>
  <c r="N62" i="40"/>
  <c r="N70" i="40"/>
  <c r="N78" i="40" s="1"/>
  <c r="N86" i="40" s="1"/>
  <c r="N94" i="40" s="1"/>
  <c r="N102" i="40" s="1"/>
  <c r="C70" i="40"/>
  <c r="C122" i="40" s="1"/>
  <c r="D31" i="40" s="1"/>
  <c r="G47" i="40"/>
  <c r="C86" i="40"/>
  <c r="C124" i="40" s="1"/>
  <c r="D33" i="40" s="1"/>
  <c r="C102" i="40"/>
  <c r="C126" i="40" s="1"/>
  <c r="D35" i="40" s="1"/>
  <c r="G112" i="39"/>
  <c r="G83" i="39" s="1"/>
  <c r="C86" i="39"/>
  <c r="C124" i="39" s="1"/>
  <c r="D33" i="39" s="1"/>
  <c r="F59" i="39"/>
  <c r="F91" i="39"/>
  <c r="F75" i="39"/>
  <c r="F83" i="39"/>
  <c r="F67" i="39"/>
  <c r="H126" i="39"/>
  <c r="H111" i="39"/>
  <c r="H119" i="39"/>
  <c r="H109" i="39"/>
  <c r="M109" i="39" s="1"/>
  <c r="H100" i="39"/>
  <c r="H107" i="39"/>
  <c r="M107" i="39" s="1"/>
  <c r="H137" i="39"/>
  <c r="H53" i="39"/>
  <c r="H102" i="39"/>
  <c r="H45" i="39"/>
  <c r="H118" i="39"/>
  <c r="H108" i="39"/>
  <c r="M108" i="39" s="1"/>
  <c r="H106" i="39"/>
  <c r="M106" i="39" s="1"/>
  <c r="H110" i="39"/>
  <c r="M110" i="39" s="1"/>
  <c r="H99" i="39"/>
  <c r="H35" i="39"/>
  <c r="H28" i="39"/>
  <c r="H47" i="39" s="1"/>
  <c r="L59" i="39"/>
  <c r="L67" i="39"/>
  <c r="L91" i="39"/>
  <c r="L83" i="39"/>
  <c r="L75" i="39"/>
  <c r="N62" i="39"/>
  <c r="N70" i="39" s="1"/>
  <c r="C62" i="39"/>
  <c r="C121" i="39" s="1"/>
  <c r="N78" i="39"/>
  <c r="N86" i="39" s="1"/>
  <c r="N94" i="39" s="1"/>
  <c r="C78" i="39"/>
  <c r="C123" i="39" s="1"/>
  <c r="D32" i="39" s="1"/>
  <c r="C48" i="37"/>
  <c r="C60" i="37" s="1"/>
  <c r="C61" i="37" s="1"/>
  <c r="C114" i="37" s="1"/>
  <c r="C68" i="37"/>
  <c r="C70" i="37" s="1"/>
  <c r="C122" i="37" s="1"/>
  <c r="D31" i="37" s="1"/>
  <c r="G83" i="37"/>
  <c r="G67" i="37"/>
  <c r="G59" i="37"/>
  <c r="G75" i="37"/>
  <c r="K102" i="37"/>
  <c r="C102" i="37"/>
  <c r="J102" i="37"/>
  <c r="N102" i="37"/>
  <c r="L102" i="37"/>
  <c r="I102" i="37"/>
  <c r="H102" i="37"/>
  <c r="D102" i="37"/>
  <c r="E102" i="37"/>
  <c r="F102" i="37"/>
  <c r="G102" i="37"/>
  <c r="N62" i="37"/>
  <c r="C86" i="37"/>
  <c r="C124" i="37" s="1"/>
  <c r="D33" i="37" s="1"/>
  <c r="N70" i="37"/>
  <c r="N78" i="37" s="1"/>
  <c r="N86" i="37" s="1"/>
  <c r="N94" i="37" s="1"/>
  <c r="D59" i="35"/>
  <c r="D91" i="35"/>
  <c r="E112" i="35"/>
  <c r="E67" i="35" s="1"/>
  <c r="H76" i="35"/>
  <c r="L76" i="35"/>
  <c r="A77" i="35"/>
  <c r="K76" i="35"/>
  <c r="J76" i="35"/>
  <c r="I76" i="35"/>
  <c r="A102" i="35"/>
  <c r="N101" i="35"/>
  <c r="K94" i="35"/>
  <c r="C94" i="35"/>
  <c r="C125" i="35" s="1"/>
  <c r="D34" i="35" s="1"/>
  <c r="I94" i="35"/>
  <c r="H94" i="35"/>
  <c r="L94" i="35"/>
  <c r="J94" i="35"/>
  <c r="M75" i="35"/>
  <c r="L75" i="35"/>
  <c r="J75" i="35"/>
  <c r="I75" i="35"/>
  <c r="K75" i="35"/>
  <c r="H75" i="35"/>
  <c r="C75" i="35"/>
  <c r="D75" i="35"/>
  <c r="C51" i="35"/>
  <c r="A62" i="35"/>
  <c r="N61" i="35"/>
  <c r="L67" i="35"/>
  <c r="K67" i="35"/>
  <c r="C67" i="35"/>
  <c r="I67" i="35"/>
  <c r="H67" i="35"/>
  <c r="N67" i="35"/>
  <c r="N75" i="35" s="1"/>
  <c r="N83" i="35" s="1"/>
  <c r="N91" i="35" s="1"/>
  <c r="M67" i="35"/>
  <c r="J67" i="35"/>
  <c r="D67" i="35"/>
  <c r="L86" i="35"/>
  <c r="K86" i="35"/>
  <c r="J86" i="35"/>
  <c r="I86" i="35"/>
  <c r="H86" i="35"/>
  <c r="F137" i="35"/>
  <c r="F126" i="35"/>
  <c r="F111" i="35"/>
  <c r="F99" i="35"/>
  <c r="F106" i="35"/>
  <c r="F119" i="35"/>
  <c r="F109" i="35"/>
  <c r="F100" i="35"/>
  <c r="F107" i="35"/>
  <c r="F108" i="35"/>
  <c r="F45" i="35"/>
  <c r="F102" i="35"/>
  <c r="F53" i="35"/>
  <c r="F35" i="35"/>
  <c r="F118" i="35"/>
  <c r="F110" i="35"/>
  <c r="F28" i="35"/>
  <c r="F47" i="35" s="1"/>
  <c r="N68" i="35"/>
  <c r="N76" i="35" s="1"/>
  <c r="N84" i="35" s="1"/>
  <c r="N92" i="35" s="1"/>
  <c r="L68" i="35"/>
  <c r="J68" i="35"/>
  <c r="I68" i="35"/>
  <c r="K68" i="35"/>
  <c r="H68" i="35"/>
  <c r="A69" i="35"/>
  <c r="H38" i="33"/>
  <c r="H130" i="33"/>
  <c r="I38" i="33"/>
  <c r="I130" i="33"/>
  <c r="J38" i="33"/>
  <c r="J130" i="33"/>
  <c r="N109" i="33"/>
  <c r="K38" i="33"/>
  <c r="K130" i="33"/>
  <c r="L38" i="33"/>
  <c r="L130" i="33"/>
  <c r="H35" i="33"/>
  <c r="J35" i="33"/>
  <c r="L50" i="33"/>
  <c r="K34" i="33"/>
  <c r="I34" i="33"/>
  <c r="K32" i="33"/>
  <c r="H33" i="33"/>
  <c r="J31" i="33"/>
  <c r="I35" i="33"/>
  <c r="J34" i="33"/>
  <c r="L32" i="33"/>
  <c r="I31" i="33"/>
  <c r="H34" i="33"/>
  <c r="J32" i="33"/>
  <c r="L30" i="33"/>
  <c r="L33" i="33"/>
  <c r="I32" i="33"/>
  <c r="K30" i="33"/>
  <c r="K33" i="33"/>
  <c r="J30" i="33"/>
  <c r="L35" i="33"/>
  <c r="D35" i="33"/>
  <c r="J33" i="33"/>
  <c r="L31" i="33"/>
  <c r="I30" i="33"/>
  <c r="H31" i="33"/>
  <c r="C39" i="33"/>
  <c r="L53" i="33"/>
  <c r="I53" i="33"/>
  <c r="I110" i="33"/>
  <c r="D53" i="33"/>
  <c r="L49" i="33"/>
  <c r="H118" i="33"/>
  <c r="J52" i="33"/>
  <c r="L48" i="33"/>
  <c r="J114" i="33"/>
  <c r="L51" i="33"/>
  <c r="J51" i="33"/>
  <c r="H111" i="33"/>
  <c r="K125" i="33"/>
  <c r="I50" i="33"/>
  <c r="K110" i="33"/>
  <c r="I117" i="33"/>
  <c r="I125" i="33"/>
  <c r="K51" i="33"/>
  <c r="H50" i="33"/>
  <c r="K49" i="33"/>
  <c r="J116" i="33"/>
  <c r="K123" i="33"/>
  <c r="L109" i="33"/>
  <c r="H116" i="33"/>
  <c r="J122" i="33"/>
  <c r="K53" i="33"/>
  <c r="L52" i="33"/>
  <c r="I51" i="33"/>
  <c r="K48" i="33"/>
  <c r="I49" i="33"/>
  <c r="N106" i="33"/>
  <c r="M111" i="33"/>
  <c r="J109" i="33"/>
  <c r="L114" i="33"/>
  <c r="H122" i="33"/>
  <c r="J53" i="33"/>
  <c r="K52" i="33"/>
  <c r="J48" i="33"/>
  <c r="H49" i="33"/>
  <c r="I48" i="33"/>
  <c r="D109" i="33"/>
  <c r="C110" i="33"/>
  <c r="K108" i="33"/>
  <c r="D114" i="33"/>
  <c r="H53" i="33"/>
  <c r="I52" i="33"/>
  <c r="K50" i="33"/>
  <c r="C106" i="33"/>
  <c r="J111" i="33"/>
  <c r="J126" i="33"/>
  <c r="B34"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38"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7" i="33"/>
  <c r="D138" i="33" s="1"/>
  <c r="E35" i="33"/>
  <c r="D51" i="42" l="1"/>
  <c r="D92" i="42"/>
  <c r="D94" i="42" s="1"/>
  <c r="D125" i="42" s="1"/>
  <c r="E34" i="42" s="1"/>
  <c r="D48" i="44"/>
  <c r="D60" i="44" s="1"/>
  <c r="D62" i="44" s="1"/>
  <c r="D121" i="44" s="1"/>
  <c r="D68" i="44"/>
  <c r="D70" i="44" s="1"/>
  <c r="D122" i="44" s="1"/>
  <c r="E31" i="44" s="1"/>
  <c r="C62" i="37"/>
  <c r="C121" i="37" s="1"/>
  <c r="C127" i="37" s="1"/>
  <c r="G91" i="40"/>
  <c r="G99" i="40"/>
  <c r="G59" i="40"/>
  <c r="G67" i="40"/>
  <c r="G75" i="40"/>
  <c r="C127" i="40"/>
  <c r="D30" i="40"/>
  <c r="H47" i="40"/>
  <c r="H112" i="40"/>
  <c r="H99" i="40" s="1"/>
  <c r="G91" i="39"/>
  <c r="G75" i="39"/>
  <c r="G59" i="39"/>
  <c r="G67" i="39"/>
  <c r="H112" i="39"/>
  <c r="C127" i="39"/>
  <c r="D30" i="39"/>
  <c r="E59" i="35"/>
  <c r="E91" i="35"/>
  <c r="E83" i="35"/>
  <c r="E75" i="35"/>
  <c r="F112" i="35"/>
  <c r="F91" i="35" s="1"/>
  <c r="A70" i="35"/>
  <c r="N69" i="35"/>
  <c r="N77" i="35" s="1"/>
  <c r="N85" i="35" s="1"/>
  <c r="N93" i="35" s="1"/>
  <c r="G108" i="35"/>
  <c r="M108" i="35" s="1"/>
  <c r="G106" i="35"/>
  <c r="M106" i="35" s="1"/>
  <c r="G119" i="35"/>
  <c r="G109" i="35"/>
  <c r="M109" i="35" s="1"/>
  <c r="G107" i="35"/>
  <c r="G118" i="35"/>
  <c r="G110" i="35"/>
  <c r="M110" i="35" s="1"/>
  <c r="G102" i="35"/>
  <c r="G53" i="35"/>
  <c r="G126" i="35"/>
  <c r="G45" i="35"/>
  <c r="G99" i="35"/>
  <c r="G28" i="35"/>
  <c r="G137" i="35"/>
  <c r="G111" i="35"/>
  <c r="G100" i="35"/>
  <c r="G35" i="35"/>
  <c r="N102" i="35"/>
  <c r="K102" i="35"/>
  <c r="C102" i="35"/>
  <c r="J102" i="35"/>
  <c r="H102" i="35"/>
  <c r="I102" i="35"/>
  <c r="L102" i="35"/>
  <c r="D102" i="35"/>
  <c r="E102" i="35"/>
  <c r="A78" i="35"/>
  <c r="L62" i="35"/>
  <c r="K62" i="35"/>
  <c r="N62" i="35"/>
  <c r="J62" i="35"/>
  <c r="I62" i="35"/>
  <c r="H62" i="35"/>
  <c r="C50" i="35"/>
  <c r="C84" i="35"/>
  <c r="C44" i="33"/>
  <c r="C52" i="33" s="1"/>
  <c r="C51" i="33" s="1"/>
  <c r="C50" i="33" s="1"/>
  <c r="C49" i="33" s="1"/>
  <c r="C48" i="33" s="1"/>
  <c r="C42" i="33"/>
  <c r="B29" i="33"/>
  <c r="L68" i="33"/>
  <c r="K68" i="33"/>
  <c r="H68" i="33"/>
  <c r="J68" i="33"/>
  <c r="I68" i="33"/>
  <c r="E53"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A84" i="33"/>
  <c r="A83" i="33"/>
  <c r="A76" i="33"/>
  <c r="A75" i="33"/>
  <c r="A69" i="33"/>
  <c r="E137" i="33"/>
  <c r="E45" i="33"/>
  <c r="E28" i="33"/>
  <c r="E47" i="33" s="1"/>
  <c r="F35" i="33"/>
  <c r="C41" i="33"/>
  <c r="C30" i="33"/>
  <c r="D50" i="42" l="1"/>
  <c r="D84" i="42"/>
  <c r="D127" i="44"/>
  <c r="E30" i="44"/>
  <c r="E138" i="33"/>
  <c r="D30" i="37"/>
  <c r="H83" i="40"/>
  <c r="H75" i="40"/>
  <c r="H67" i="40"/>
  <c r="H59" i="40"/>
  <c r="H91" i="40"/>
  <c r="C129" i="40"/>
  <c r="C130" i="40"/>
  <c r="D29" i="40"/>
  <c r="C129" i="39"/>
  <c r="C130" i="39"/>
  <c r="D29" i="39"/>
  <c r="H91" i="39"/>
  <c r="H67" i="39"/>
  <c r="H83" i="39"/>
  <c r="H59" i="39"/>
  <c r="H75" i="39"/>
  <c r="C129" i="37"/>
  <c r="C130" i="37"/>
  <c r="D29" i="37"/>
  <c r="F67" i="35"/>
  <c r="F83" i="35"/>
  <c r="F59" i="35"/>
  <c r="F75" i="35"/>
  <c r="G112" i="35"/>
  <c r="G83" i="35" s="1"/>
  <c r="J78" i="35"/>
  <c r="I78" i="35"/>
  <c r="L78" i="35"/>
  <c r="K78" i="35"/>
  <c r="H78" i="35"/>
  <c r="M107" i="35"/>
  <c r="G47" i="35"/>
  <c r="C85" i="35"/>
  <c r="C117" i="35" s="1"/>
  <c r="J70" i="35"/>
  <c r="I70" i="35"/>
  <c r="N70" i="35"/>
  <c r="N78" i="35" s="1"/>
  <c r="N86" i="35" s="1"/>
  <c r="N94" i="35" s="1"/>
  <c r="L70" i="35"/>
  <c r="H70" i="35"/>
  <c r="K70" i="35"/>
  <c r="C49" i="35"/>
  <c r="C76" i="35"/>
  <c r="C78" i="35" s="1"/>
  <c r="C123" i="35" s="1"/>
  <c r="D32" i="35" s="1"/>
  <c r="L100" i="33"/>
  <c r="K100" i="33"/>
  <c r="C100" i="33"/>
  <c r="H100" i="33"/>
  <c r="J100" i="33"/>
  <c r="I100" i="33"/>
  <c r="D100" i="33"/>
  <c r="F100" i="33"/>
  <c r="C68" i="33"/>
  <c r="C76" i="33"/>
  <c r="H76" i="33"/>
  <c r="I76" i="33"/>
  <c r="J76" i="33"/>
  <c r="K76" i="33"/>
  <c r="L76" i="33"/>
  <c r="C84" i="33"/>
  <c r="C85" i="33" s="1"/>
  <c r="C117" i="33" s="1"/>
  <c r="J84" i="33"/>
  <c r="K84" i="33"/>
  <c r="L84" i="33"/>
  <c r="H84" i="33"/>
  <c r="I84" i="33"/>
  <c r="I60" i="33"/>
  <c r="J60" i="33"/>
  <c r="K60" i="33"/>
  <c r="H60" i="33"/>
  <c r="L60" i="33"/>
  <c r="E100" i="33"/>
  <c r="C92" i="33"/>
  <c r="L92" i="33"/>
  <c r="H92" i="33"/>
  <c r="I92" i="33"/>
  <c r="K92" i="33"/>
  <c r="J92" i="33"/>
  <c r="F53"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8" i="33"/>
  <c r="F47" i="33" s="1"/>
  <c r="F45" i="33"/>
  <c r="F137" i="33"/>
  <c r="C40" i="33"/>
  <c r="C60" i="33" s="1"/>
  <c r="D85" i="42" l="1"/>
  <c r="D117" i="42" s="1"/>
  <c r="D76" i="42"/>
  <c r="D78" i="42" s="1"/>
  <c r="D123" i="42" s="1"/>
  <c r="E32" i="42" s="1"/>
  <c r="D49" i="42"/>
  <c r="D129" i="44"/>
  <c r="E29" i="44"/>
  <c r="D130" i="44"/>
  <c r="C131" i="40"/>
  <c r="C135" i="40" s="1"/>
  <c r="C134" i="40"/>
  <c r="D38" i="40"/>
  <c r="D69" i="40" s="1"/>
  <c r="D115" i="40" s="1"/>
  <c r="D138" i="40" s="1"/>
  <c r="C132" i="40"/>
  <c r="C134" i="39"/>
  <c r="C131" i="39"/>
  <c r="C135" i="39" s="1"/>
  <c r="D38" i="39"/>
  <c r="D69" i="39" s="1"/>
  <c r="D115" i="39" s="1"/>
  <c r="D138" i="39" s="1"/>
  <c r="C132" i="39"/>
  <c r="D38" i="37"/>
  <c r="D69" i="37" s="1"/>
  <c r="D115" i="37" s="1"/>
  <c r="D138" i="37" s="1"/>
  <c r="C132" i="37"/>
  <c r="C131" i="37"/>
  <c r="C135" i="37" s="1"/>
  <c r="C134" i="37"/>
  <c r="D37" i="40"/>
  <c r="D37" i="39"/>
  <c r="D37" i="37"/>
  <c r="G59" i="35"/>
  <c r="G67" i="35"/>
  <c r="G91" i="35"/>
  <c r="G75" i="35"/>
  <c r="C48" i="35"/>
  <c r="C60" i="35" s="1"/>
  <c r="C61" i="35" s="1"/>
  <c r="C68" i="35"/>
  <c r="C86" i="35"/>
  <c r="C124" i="35" s="1"/>
  <c r="D33" i="35" s="1"/>
  <c r="G100" i="33"/>
  <c r="G35" i="33"/>
  <c r="G53" i="33"/>
  <c r="G99" i="33"/>
  <c r="F138"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8" i="33"/>
  <c r="G137" i="33"/>
  <c r="D86" i="42" l="1"/>
  <c r="D124" i="42" s="1"/>
  <c r="E33" i="42" s="1"/>
  <c r="D48" i="42"/>
  <c r="D60" i="42" s="1"/>
  <c r="D62" i="42" s="1"/>
  <c r="D121" i="42" s="1"/>
  <c r="D68" i="42"/>
  <c r="D70" i="42" s="1"/>
  <c r="D122" i="42" s="1"/>
  <c r="E31" i="42" s="1"/>
  <c r="D39" i="39"/>
  <c r="D44" i="39" s="1"/>
  <c r="D52" i="39" s="1"/>
  <c r="D46" i="39"/>
  <c r="D77" i="39" s="1"/>
  <c r="D116" i="39" s="1"/>
  <c r="D46" i="40"/>
  <c r="D77" i="40" s="1"/>
  <c r="D116" i="40" s="1"/>
  <c r="D39" i="40"/>
  <c r="D45" i="40" s="1"/>
  <c r="D100" i="40" s="1"/>
  <c r="D102" i="40" s="1"/>
  <c r="D126" i="40" s="1"/>
  <c r="E35" i="40" s="1"/>
  <c r="D132" i="44"/>
  <c r="E38" i="44"/>
  <c r="E46" i="44" s="1"/>
  <c r="D131" i="44"/>
  <c r="D135" i="44" s="1"/>
  <c r="D134" i="44"/>
  <c r="E37" i="44"/>
  <c r="E39" i="44" s="1"/>
  <c r="D46" i="37"/>
  <c r="D77" i="37" s="1"/>
  <c r="D116" i="37" s="1"/>
  <c r="D39" i="37"/>
  <c r="D40" i="37" s="1"/>
  <c r="C70" i="35"/>
  <c r="C122" i="35" s="1"/>
  <c r="D31" i="35" s="1"/>
  <c r="C114" i="35"/>
  <c r="G47" i="33"/>
  <c r="C70" i="33"/>
  <c r="C122" i="33" s="1"/>
  <c r="D31" i="33" s="1"/>
  <c r="F67" i="33"/>
  <c r="F83" i="33"/>
  <c r="F91" i="33"/>
  <c r="F75" i="33"/>
  <c r="G112" i="33"/>
  <c r="G59" i="33" s="1"/>
  <c r="M106" i="33"/>
  <c r="G138"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30" i="42" l="1"/>
  <c r="D127" i="42"/>
  <c r="D42" i="39"/>
  <c r="D40" i="39"/>
  <c r="D43" i="39"/>
  <c r="D41" i="39"/>
  <c r="D42" i="40"/>
  <c r="D40" i="40"/>
  <c r="D41" i="40"/>
  <c r="D44" i="40"/>
  <c r="D52" i="40" s="1"/>
  <c r="D92" i="40" s="1"/>
  <c r="D94" i="40" s="1"/>
  <c r="D125" i="40" s="1"/>
  <c r="E34" i="40" s="1"/>
  <c r="D43" i="40"/>
  <c r="E40" i="44"/>
  <c r="E44" i="44"/>
  <c r="E52" i="44" s="1"/>
  <c r="E42" i="44"/>
  <c r="E43" i="44"/>
  <c r="E41" i="44"/>
  <c r="D42" i="37"/>
  <c r="D41" i="37"/>
  <c r="D44" i="37"/>
  <c r="D52" i="37" s="1"/>
  <c r="D51" i="37" s="1"/>
  <c r="D43" i="37"/>
  <c r="C62" i="35"/>
  <c r="C121" i="35" s="1"/>
  <c r="D51" i="39"/>
  <c r="D92" i="39"/>
  <c r="D94" i="39" s="1"/>
  <c r="D125" i="39" s="1"/>
  <c r="E34" i="39" s="1"/>
  <c r="G67" i="33"/>
  <c r="G75" i="33"/>
  <c r="G83" i="33"/>
  <c r="G91" i="33"/>
  <c r="C62" i="33"/>
  <c r="C121" i="33" s="1"/>
  <c r="D30" i="33" s="1"/>
  <c r="E29" i="42" l="1"/>
  <c r="D130" i="42"/>
  <c r="D129" i="42"/>
  <c r="D51" i="40"/>
  <c r="D84" i="40" s="1"/>
  <c r="E51" i="44"/>
  <c r="E92" i="44"/>
  <c r="E94" i="44" s="1"/>
  <c r="E125" i="44" s="1"/>
  <c r="F34" i="44" s="1"/>
  <c r="D92" i="37"/>
  <c r="D94" i="37" s="1"/>
  <c r="D125" i="37" s="1"/>
  <c r="E34" i="37" s="1"/>
  <c r="C127" i="35"/>
  <c r="D30" i="35"/>
  <c r="D50" i="39"/>
  <c r="D76" i="39" s="1"/>
  <c r="D78" i="39" s="1"/>
  <c r="D123" i="39" s="1"/>
  <c r="E32" i="39" s="1"/>
  <c r="D84" i="39"/>
  <c r="D50" i="37"/>
  <c r="D76" i="37" s="1"/>
  <c r="D78" i="37" s="1"/>
  <c r="D123" i="37" s="1"/>
  <c r="E32" i="37" s="1"/>
  <c r="D84" i="37"/>
  <c r="E37" i="42" l="1"/>
  <c r="D131" i="42"/>
  <c r="D135" i="42" s="1"/>
  <c r="D134" i="42"/>
  <c r="D132" i="42"/>
  <c r="E38" i="42"/>
  <c r="E46" i="42" s="1"/>
  <c r="D50" i="40"/>
  <c r="D76" i="40" s="1"/>
  <c r="D78" i="40" s="1"/>
  <c r="D123" i="40" s="1"/>
  <c r="E32" i="40" s="1"/>
  <c r="E50" i="44"/>
  <c r="E84" i="44"/>
  <c r="C129" i="35"/>
  <c r="C131" i="35" s="1"/>
  <c r="C135" i="35" s="1"/>
  <c r="C130" i="35"/>
  <c r="D29" i="35"/>
  <c r="D85" i="40"/>
  <c r="D117" i="40" s="1"/>
  <c r="D85" i="39"/>
  <c r="D117" i="39" s="1"/>
  <c r="D49" i="39"/>
  <c r="D49" i="37"/>
  <c r="D48" i="37" s="1"/>
  <c r="D60" i="37" s="1"/>
  <c r="D85" i="37"/>
  <c r="D117" i="37" s="1"/>
  <c r="E39" i="42" l="1"/>
  <c r="D49" i="40"/>
  <c r="D68" i="40" s="1"/>
  <c r="D70" i="40" s="1"/>
  <c r="D122" i="40" s="1"/>
  <c r="E31" i="40" s="1"/>
  <c r="E85" i="44"/>
  <c r="E117" i="44" s="1"/>
  <c r="E86" i="44"/>
  <c r="E124" i="44" s="1"/>
  <c r="F33" i="44" s="1"/>
  <c r="E76" i="44"/>
  <c r="E78" i="44" s="1"/>
  <c r="E123" i="44" s="1"/>
  <c r="F32" i="44" s="1"/>
  <c r="E49" i="44"/>
  <c r="D38" i="35"/>
  <c r="D69" i="35" s="1"/>
  <c r="D115" i="35" s="1"/>
  <c r="D138" i="35" s="1"/>
  <c r="C132" i="35"/>
  <c r="D37" i="35"/>
  <c r="C134" i="35"/>
  <c r="D86" i="40"/>
  <c r="D124" i="40" s="1"/>
  <c r="E33" i="40" s="1"/>
  <c r="D86" i="39"/>
  <c r="D124" i="39" s="1"/>
  <c r="E33" i="39" s="1"/>
  <c r="D48" i="39"/>
  <c r="D60" i="39" s="1"/>
  <c r="D68" i="39"/>
  <c r="D70" i="39" s="1"/>
  <c r="D122" i="39" s="1"/>
  <c r="E31" i="39" s="1"/>
  <c r="D68" i="37"/>
  <c r="D70" i="37" s="1"/>
  <c r="D122" i="37" s="1"/>
  <c r="E31" i="37" s="1"/>
  <c r="D86" i="37"/>
  <c r="D124" i="37" s="1"/>
  <c r="E33" i="37" s="1"/>
  <c r="D61" i="37"/>
  <c r="D114" i="37" s="1"/>
  <c r="E42" i="42" l="1"/>
  <c r="E44" i="42"/>
  <c r="E52" i="42" s="1"/>
  <c r="E43" i="42"/>
  <c r="E40" i="42"/>
  <c r="E41" i="42"/>
  <c r="D48" i="40"/>
  <c r="D60" i="40" s="1"/>
  <c r="D61" i="40" s="1"/>
  <c r="D114" i="40" s="1"/>
  <c r="E48" i="44"/>
  <c r="E60" i="44" s="1"/>
  <c r="E62" i="44" s="1"/>
  <c r="E121" i="44" s="1"/>
  <c r="E68" i="44"/>
  <c r="E70" i="44" s="1"/>
  <c r="E122" i="44" s="1"/>
  <c r="F31" i="44" s="1"/>
  <c r="D39" i="35"/>
  <c r="D43" i="35" s="1"/>
  <c r="D46" i="35"/>
  <c r="D77" i="35" s="1"/>
  <c r="D116" i="35" s="1"/>
  <c r="D61" i="39"/>
  <c r="D114" i="39" s="1"/>
  <c r="D62" i="37"/>
  <c r="D121" i="37" s="1"/>
  <c r="E30" i="37" s="1"/>
  <c r="E51" i="42" l="1"/>
  <c r="E92" i="42"/>
  <c r="E94" i="42" s="1"/>
  <c r="E125" i="42" s="1"/>
  <c r="D62" i="40"/>
  <c r="D121" i="40" s="1"/>
  <c r="E30" i="40" s="1"/>
  <c r="E127" i="44"/>
  <c r="F30" i="44"/>
  <c r="D44" i="35"/>
  <c r="D52" i="35" s="1"/>
  <c r="D51" i="35" s="1"/>
  <c r="D41" i="35"/>
  <c r="D42" i="35"/>
  <c r="D40" i="35"/>
  <c r="D62" i="39"/>
  <c r="D121" i="39" s="1"/>
  <c r="D127" i="39" s="1"/>
  <c r="D127" i="37"/>
  <c r="E29" i="37" s="1"/>
  <c r="E50" i="42" l="1"/>
  <c r="E84" i="42"/>
  <c r="D127" i="40"/>
  <c r="D129" i="40" s="1"/>
  <c r="E129" i="44"/>
  <c r="F29" i="44"/>
  <c r="E130" i="44"/>
  <c r="D92" i="35"/>
  <c r="D94" i="35" s="1"/>
  <c r="D125" i="35" s="1"/>
  <c r="E34" i="35" s="1"/>
  <c r="D84" i="35"/>
  <c r="D85" i="35" s="1"/>
  <c r="D117" i="35" s="1"/>
  <c r="D50" i="35"/>
  <c r="E30" i="39"/>
  <c r="D129" i="39"/>
  <c r="E29" i="39"/>
  <c r="D130" i="39"/>
  <c r="D129" i="37"/>
  <c r="D130" i="37"/>
  <c r="D130" i="40" l="1"/>
  <c r="D132" i="40" s="1"/>
  <c r="E29" i="40"/>
  <c r="E85" i="42"/>
  <c r="E117" i="42" s="1"/>
  <c r="E49" i="42"/>
  <c r="E76" i="42"/>
  <c r="E78" i="42" s="1"/>
  <c r="E123" i="42" s="1"/>
  <c r="E132" i="44"/>
  <c r="F38" i="44"/>
  <c r="F46" i="44" s="1"/>
  <c r="E131" i="44"/>
  <c r="E135" i="44" s="1"/>
  <c r="E134" i="44"/>
  <c r="F37" i="44"/>
  <c r="F39" i="44" s="1"/>
  <c r="E38" i="40"/>
  <c r="E69" i="40" s="1"/>
  <c r="E115" i="40" s="1"/>
  <c r="E138" i="40" s="1"/>
  <c r="D134" i="40"/>
  <c r="D131" i="40"/>
  <c r="D135" i="40" s="1"/>
  <c r="D131" i="39"/>
  <c r="D135" i="39" s="1"/>
  <c r="D134" i="39"/>
  <c r="E38" i="39"/>
  <c r="E69" i="39" s="1"/>
  <c r="E115" i="39" s="1"/>
  <c r="E138" i="39" s="1"/>
  <c r="D132" i="39"/>
  <c r="D131" i="37"/>
  <c r="D135" i="37" s="1"/>
  <c r="D134" i="37"/>
  <c r="E38" i="37"/>
  <c r="E69" i="37" s="1"/>
  <c r="E115" i="37" s="1"/>
  <c r="E138" i="37" s="1"/>
  <c r="D132" i="37"/>
  <c r="D86" i="35"/>
  <c r="D124" i="35" s="1"/>
  <c r="E33" i="35" s="1"/>
  <c r="D76" i="35"/>
  <c r="D78" i="35" s="1"/>
  <c r="D123" i="35" s="1"/>
  <c r="E32" i="35" s="1"/>
  <c r="D49" i="35"/>
  <c r="E37" i="40"/>
  <c r="E37" i="39"/>
  <c r="E37" i="37"/>
  <c r="E86" i="42" l="1"/>
  <c r="E124" i="42" s="1"/>
  <c r="E48" i="42"/>
  <c r="E60" i="42" s="1"/>
  <c r="E62" i="42" s="1"/>
  <c r="E121" i="42" s="1"/>
  <c r="E68" i="42"/>
  <c r="E70" i="42" s="1"/>
  <c r="E122" i="42" s="1"/>
  <c r="E46" i="40"/>
  <c r="E77" i="40" s="1"/>
  <c r="E116" i="40" s="1"/>
  <c r="E39" i="37"/>
  <c r="E40" i="37" s="1"/>
  <c r="F40" i="44"/>
  <c r="F41" i="44"/>
  <c r="F43" i="44"/>
  <c r="F42" i="44"/>
  <c r="F44" i="44"/>
  <c r="F52" i="44" s="1"/>
  <c r="E46" i="39"/>
  <c r="E77" i="39" s="1"/>
  <c r="E116" i="39" s="1"/>
  <c r="E39" i="40"/>
  <c r="E45" i="40" s="1"/>
  <c r="E100" i="40" s="1"/>
  <c r="E101" i="40" s="1"/>
  <c r="E119" i="40" s="1"/>
  <c r="E39" i="39"/>
  <c r="E43" i="39" s="1"/>
  <c r="E46" i="37"/>
  <c r="E77" i="37" s="1"/>
  <c r="E116" i="37" s="1"/>
  <c r="D48" i="35"/>
  <c r="D60" i="35" s="1"/>
  <c r="D68" i="35"/>
  <c r="D70" i="35" s="1"/>
  <c r="D122" i="35" s="1"/>
  <c r="E31" i="35" s="1"/>
  <c r="E127" i="42" l="1"/>
  <c r="E44" i="37"/>
  <c r="E52" i="37" s="1"/>
  <c r="E51" i="37" s="1"/>
  <c r="E50" i="37" s="1"/>
  <c r="E41" i="37"/>
  <c r="E42" i="37"/>
  <c r="E43" i="37"/>
  <c r="F51" i="44"/>
  <c r="F92" i="44"/>
  <c r="F94" i="44" s="1"/>
  <c r="F125" i="44" s="1"/>
  <c r="G34" i="44" s="1"/>
  <c r="E44" i="40"/>
  <c r="E52" i="40" s="1"/>
  <c r="E51" i="40" s="1"/>
  <c r="E43" i="40"/>
  <c r="E42" i="40"/>
  <c r="E41" i="40"/>
  <c r="E40" i="40"/>
  <c r="E42" i="39"/>
  <c r="E44" i="39"/>
  <c r="E52" i="39" s="1"/>
  <c r="E51" i="39" s="1"/>
  <c r="E41" i="39"/>
  <c r="E40" i="39"/>
  <c r="D61" i="35"/>
  <c r="D114" i="35" s="1"/>
  <c r="E102" i="40"/>
  <c r="E126" i="40" s="1"/>
  <c r="F35" i="40"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E130" i="42" l="1"/>
  <c r="E132" i="42" s="1"/>
  <c r="E129" i="42"/>
  <c r="E76" i="37"/>
  <c r="E78" i="37" s="1"/>
  <c r="E123" i="37" s="1"/>
  <c r="F32" i="37" s="1"/>
  <c r="E84" i="37"/>
  <c r="E85" i="37" s="1"/>
  <c r="E117" i="37" s="1"/>
  <c r="E92" i="37"/>
  <c r="E94" i="37" s="1"/>
  <c r="E125" i="37" s="1"/>
  <c r="F34" i="37" s="1"/>
  <c r="E92" i="40"/>
  <c r="E94" i="40" s="1"/>
  <c r="E125" i="40" s="1"/>
  <c r="F34" i="40" s="1"/>
  <c r="F50" i="44"/>
  <c r="F76" i="44" s="1"/>
  <c r="F78" i="44" s="1"/>
  <c r="F123" i="44" s="1"/>
  <c r="G32" i="44" s="1"/>
  <c r="F84" i="44"/>
  <c r="E92" i="39"/>
  <c r="E94" i="39" s="1"/>
  <c r="E125" i="39" s="1"/>
  <c r="F34" i="39" s="1"/>
  <c r="D62" i="35"/>
  <c r="D121" i="35" s="1"/>
  <c r="E30" i="35" s="1"/>
  <c r="E50" i="40"/>
  <c r="E84" i="40"/>
  <c r="E50" i="39"/>
  <c r="E84" i="39"/>
  <c r="E49" i="37"/>
  <c r="E48" i="37" s="1"/>
  <c r="E60" i="37" s="1"/>
  <c r="D38" i="16"/>
  <c r="D37" i="16" s="1"/>
  <c r="C37" i="16"/>
  <c r="C32" i="16"/>
  <c r="C33" i="16"/>
  <c r="C55" i="16" s="1"/>
  <c r="D26" i="16" s="1"/>
  <c r="C34" i="16"/>
  <c r="C47" i="16" s="1"/>
  <c r="C56" i="16" s="1"/>
  <c r="D51" i="16"/>
  <c r="E22" i="16"/>
  <c r="E134" i="42" l="1"/>
  <c r="E131" i="42"/>
  <c r="E135" i="42" s="1"/>
  <c r="F49" i="44"/>
  <c r="F85" i="44"/>
  <c r="F117" i="44" s="1"/>
  <c r="F86" i="44"/>
  <c r="F124" i="44" s="1"/>
  <c r="G33" i="44" s="1"/>
  <c r="D127" i="35"/>
  <c r="D130" i="35" s="1"/>
  <c r="E85" i="40"/>
  <c r="E117" i="40" s="1"/>
  <c r="E76" i="40"/>
  <c r="E78" i="40" s="1"/>
  <c r="E123" i="40" s="1"/>
  <c r="F32" i="40" s="1"/>
  <c r="E49" i="40"/>
  <c r="E85" i="39"/>
  <c r="E117" i="39" s="1"/>
  <c r="E76" i="39"/>
  <c r="E78" i="39" s="1"/>
  <c r="E123" i="39" s="1"/>
  <c r="F32" i="39" s="1"/>
  <c r="E49" i="39"/>
  <c r="E86" i="37"/>
  <c r="E124" i="37" s="1"/>
  <c r="F33" i="37" s="1"/>
  <c r="E68" i="37"/>
  <c r="E70" i="37" s="1"/>
  <c r="E122" i="37" s="1"/>
  <c r="F31" i="37" s="1"/>
  <c r="E61" i="37"/>
  <c r="E114" i="37" s="1"/>
  <c r="D50" i="16"/>
  <c r="D60" i="16" s="1"/>
  <c r="E59" i="16"/>
  <c r="E23" i="16"/>
  <c r="E35" i="16"/>
  <c r="E36" i="16" s="1"/>
  <c r="F22" i="16"/>
  <c r="E51" i="16"/>
  <c r="F48" i="44" l="1"/>
  <c r="F60" i="44" s="1"/>
  <c r="F62" i="44" s="1"/>
  <c r="F121" i="44" s="1"/>
  <c r="F68" i="44"/>
  <c r="F70" i="44" s="1"/>
  <c r="F122" i="44" s="1"/>
  <c r="G31" i="44" s="1"/>
  <c r="E38" i="35"/>
  <c r="E69" i="35" s="1"/>
  <c r="E115" i="35" s="1"/>
  <c r="E138" i="35" s="1"/>
  <c r="D132" i="35"/>
  <c r="D129" i="35"/>
  <c r="E29" i="35"/>
  <c r="E86" i="40"/>
  <c r="E124" i="40" s="1"/>
  <c r="F33" i="40" s="1"/>
  <c r="E48" i="40"/>
  <c r="E60" i="40" s="1"/>
  <c r="E68" i="40"/>
  <c r="E70" i="40" s="1"/>
  <c r="E122" i="40" s="1"/>
  <c r="F31" i="40" s="1"/>
  <c r="E48" i="39"/>
  <c r="E60" i="39" s="1"/>
  <c r="E68" i="39"/>
  <c r="E70" i="39" s="1"/>
  <c r="E122" i="39" s="1"/>
  <c r="F31" i="39" s="1"/>
  <c r="E86" i="39"/>
  <c r="E124" i="39" s="1"/>
  <c r="F33" i="39" s="1"/>
  <c r="E62" i="37"/>
  <c r="E121" i="37" s="1"/>
  <c r="C49" i="16"/>
  <c r="C54" i="16" s="1"/>
  <c r="E38" i="16"/>
  <c r="E37" i="16" s="1"/>
  <c r="F35" i="16"/>
  <c r="G22" i="16"/>
  <c r="F51" i="16"/>
  <c r="F23" i="16"/>
  <c r="F36" i="16"/>
  <c r="F38" i="16" s="1"/>
  <c r="F59" i="16"/>
  <c r="F127" i="44" l="1"/>
  <c r="G30" i="44"/>
  <c r="E37" i="35"/>
  <c r="E39" i="35" s="1"/>
  <c r="E44" i="35" s="1"/>
  <c r="E52" i="35" s="1"/>
  <c r="E51" i="35" s="1"/>
  <c r="D131" i="35"/>
  <c r="D135" i="35" s="1"/>
  <c r="E46" i="35"/>
  <c r="E77" i="35" s="1"/>
  <c r="E116" i="35" s="1"/>
  <c r="D134" i="35"/>
  <c r="E61" i="40"/>
  <c r="E114" i="40" s="1"/>
  <c r="E61" i="39"/>
  <c r="E114" i="39" s="1"/>
  <c r="E127" i="37"/>
  <c r="F30" i="37"/>
  <c r="D25" i="16"/>
  <c r="C57" i="16"/>
  <c r="D24" i="16" s="1"/>
  <c r="D29" i="16" s="1"/>
  <c r="F37" i="16"/>
  <c r="G51" i="16"/>
  <c r="H22" i="16"/>
  <c r="G35" i="16"/>
  <c r="G23" i="16"/>
  <c r="G36" i="16"/>
  <c r="G59" i="16"/>
  <c r="F129" i="44" l="1"/>
  <c r="G29" i="44"/>
  <c r="F130" i="44"/>
  <c r="E40" i="35"/>
  <c r="E43" i="35"/>
  <c r="E84" i="35" s="1"/>
  <c r="E41" i="35"/>
  <c r="E42" i="35"/>
  <c r="E92" i="35"/>
  <c r="E94" i="35" s="1"/>
  <c r="E125" i="35" s="1"/>
  <c r="F34" i="35" s="1"/>
  <c r="E62" i="40"/>
  <c r="E121" i="40" s="1"/>
  <c r="E62" i="39"/>
  <c r="E121" i="39" s="1"/>
  <c r="E127" i="39" s="1"/>
  <c r="E129" i="37"/>
  <c r="E134" i="37" s="1"/>
  <c r="E130" i="37"/>
  <c r="F29" i="37"/>
  <c r="E50" i="35"/>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38" i="44" l="1"/>
  <c r="G46" i="44" s="1"/>
  <c r="F132" i="44"/>
  <c r="F131" i="44"/>
  <c r="F135" i="44" s="1"/>
  <c r="F134" i="44"/>
  <c r="G37" i="44"/>
  <c r="G39" i="44" s="1"/>
  <c r="E131" i="37"/>
  <c r="E135" i="37" s="1"/>
  <c r="F38" i="37"/>
  <c r="F46" i="37" s="1"/>
  <c r="F77" i="37" s="1"/>
  <c r="F116" i="37" s="1"/>
  <c r="E132" i="37"/>
  <c r="E127" i="40"/>
  <c r="F30" i="40"/>
  <c r="F30" i="39"/>
  <c r="E129" i="39"/>
  <c r="F29" i="39"/>
  <c r="E130" i="39"/>
  <c r="F37" i="37"/>
  <c r="F39" i="37" s="1"/>
  <c r="E85" i="35"/>
  <c r="E117" i="35" s="1"/>
  <c r="E76" i="35"/>
  <c r="E78" i="35" s="1"/>
  <c r="E123" i="35" s="1"/>
  <c r="F32" i="35" s="1"/>
  <c r="E49" i="35"/>
  <c r="D32" i="16"/>
  <c r="D45" i="16" s="1"/>
  <c r="D49" i="16" s="1"/>
  <c r="D54" i="16" s="1"/>
  <c r="D34" i="16"/>
  <c r="D47" i="16" s="1"/>
  <c r="D56" i="16" s="1"/>
  <c r="D33" i="16"/>
  <c r="D46" i="16" s="1"/>
  <c r="D55" i="16" s="1"/>
  <c r="E26" i="16" s="1"/>
  <c r="E50" i="16" s="1"/>
  <c r="E60" i="16" s="1"/>
  <c r="H38" i="16"/>
  <c r="H37" i="16" s="1"/>
  <c r="I23" i="16"/>
  <c r="I59" i="16"/>
  <c r="I51" i="16"/>
  <c r="I35" i="16"/>
  <c r="I36" i="16" s="1"/>
  <c r="J22" i="16"/>
  <c r="G42" i="44" l="1"/>
  <c r="G44" i="44"/>
  <c r="G52" i="44" s="1"/>
  <c r="G43" i="44"/>
  <c r="G41" i="44"/>
  <c r="G40" i="44"/>
  <c r="E131" i="39"/>
  <c r="E135" i="39" s="1"/>
  <c r="E134" i="39"/>
  <c r="F38" i="39"/>
  <c r="F46" i="39" s="1"/>
  <c r="F77" i="39" s="1"/>
  <c r="F116" i="39" s="1"/>
  <c r="E132" i="39"/>
  <c r="F69" i="37"/>
  <c r="F115" i="37" s="1"/>
  <c r="F138" i="37" s="1"/>
  <c r="E129" i="40"/>
  <c r="F29" i="40"/>
  <c r="E130" i="40"/>
  <c r="F37" i="39"/>
  <c r="F40" i="37"/>
  <c r="F44" i="37"/>
  <c r="F52" i="37" s="1"/>
  <c r="F41" i="37"/>
  <c r="F43" i="37"/>
  <c r="F42" i="37"/>
  <c r="E48" i="35"/>
  <c r="E60" i="35" s="1"/>
  <c r="E61" i="35" s="1"/>
  <c r="E68" i="35"/>
  <c r="E70" i="35" s="1"/>
  <c r="E122" i="35" s="1"/>
  <c r="F31" i="35" s="1"/>
  <c r="E86" i="35"/>
  <c r="E124" i="35" s="1"/>
  <c r="F33" i="35" s="1"/>
  <c r="I38" i="16"/>
  <c r="I37" i="16" s="1"/>
  <c r="D57" i="16"/>
  <c r="E24" i="16" s="1"/>
  <c r="E25" i="16"/>
  <c r="J36" i="16"/>
  <c r="J38" i="16" s="1"/>
  <c r="J23" i="16"/>
  <c r="J35" i="16"/>
  <c r="J59" i="16"/>
  <c r="K22" i="16"/>
  <c r="J51" i="16"/>
  <c r="G51" i="44" l="1"/>
  <c r="G92" i="44"/>
  <c r="G94" i="44" s="1"/>
  <c r="G125" i="44" s="1"/>
  <c r="F38" i="40"/>
  <c r="F46" i="40" s="1"/>
  <c r="F77" i="40" s="1"/>
  <c r="F116" i="40" s="1"/>
  <c r="E132" i="40"/>
  <c r="E131" i="40"/>
  <c r="E135" i="40" s="1"/>
  <c r="E134" i="40"/>
  <c r="F39" i="39"/>
  <c r="F41" i="39" s="1"/>
  <c r="F69" i="39"/>
  <c r="F115" i="39" s="1"/>
  <c r="F138" i="39" s="1"/>
  <c r="F37" i="40"/>
  <c r="F51" i="37"/>
  <c r="F92" i="37"/>
  <c r="F94" i="37" s="1"/>
  <c r="F125" i="37" s="1"/>
  <c r="G34" i="37" s="1"/>
  <c r="E114" i="35"/>
  <c r="J37" i="16"/>
  <c r="K36" i="16"/>
  <c r="K59" i="16"/>
  <c r="K23" i="16"/>
  <c r="K35" i="16"/>
  <c r="L22" i="16"/>
  <c r="K51" i="16"/>
  <c r="E27" i="16"/>
  <c r="E29" i="16"/>
  <c r="E31" i="16" s="1"/>
  <c r="E30" i="16"/>
  <c r="F39" i="40" l="1"/>
  <c r="F45" i="40" s="1"/>
  <c r="F100" i="40" s="1"/>
  <c r="F102" i="40" s="1"/>
  <c r="F126" i="40" s="1"/>
  <c r="G35" i="40" s="1"/>
  <c r="F69" i="40"/>
  <c r="F115" i="40" s="1"/>
  <c r="F138" i="40" s="1"/>
  <c r="G50" i="44"/>
  <c r="G76" i="44" s="1"/>
  <c r="G78" i="44" s="1"/>
  <c r="G123" i="44" s="1"/>
  <c r="G84" i="44"/>
  <c r="G49" i="44"/>
  <c r="F43" i="39"/>
  <c r="F44" i="39"/>
  <c r="F52" i="39" s="1"/>
  <c r="F92" i="39" s="1"/>
  <c r="F94" i="39" s="1"/>
  <c r="F125" i="39" s="1"/>
  <c r="G34" i="39" s="1"/>
  <c r="F42" i="39"/>
  <c r="F40" i="39"/>
  <c r="F50" i="37"/>
  <c r="F84" i="37"/>
  <c r="E62" i="35"/>
  <c r="E121" i="35" s="1"/>
  <c r="L36" i="16"/>
  <c r="L59" i="16"/>
  <c r="L23" i="16"/>
  <c r="L35" i="16"/>
  <c r="L38" i="16"/>
  <c r="L51" i="16"/>
  <c r="L37" i="16"/>
  <c r="K38" i="16"/>
  <c r="K37" i="16" s="1"/>
  <c r="E33" i="16"/>
  <c r="E46" i="16" s="1"/>
  <c r="E55" i="16" s="1"/>
  <c r="F26" i="16" s="1"/>
  <c r="E32" i="16"/>
  <c r="E45" i="16" s="1"/>
  <c r="E34" i="16"/>
  <c r="E47" i="16" s="1"/>
  <c r="E56" i="16" s="1"/>
  <c r="F44" i="40" l="1"/>
  <c r="F52" i="40" s="1"/>
  <c r="F51" i="40" s="1"/>
  <c r="F40" i="40"/>
  <c r="F43" i="40"/>
  <c r="F42" i="40"/>
  <c r="F41" i="40"/>
  <c r="F51" i="39"/>
  <c r="F50" i="39" s="1"/>
  <c r="F76" i="39" s="1"/>
  <c r="F78" i="39" s="1"/>
  <c r="F123" i="39" s="1"/>
  <c r="G32" i="39" s="1"/>
  <c r="G48" i="44"/>
  <c r="G60" i="44" s="1"/>
  <c r="G62" i="44" s="1"/>
  <c r="G121" i="44" s="1"/>
  <c r="G68" i="44"/>
  <c r="G70" i="44" s="1"/>
  <c r="G122" i="44" s="1"/>
  <c r="G85" i="44"/>
  <c r="G117" i="44" s="1"/>
  <c r="F85" i="37"/>
  <c r="F117" i="37" s="1"/>
  <c r="F76" i="37"/>
  <c r="F78" i="37" s="1"/>
  <c r="F123" i="37" s="1"/>
  <c r="G32" i="37" s="1"/>
  <c r="F49" i="37"/>
  <c r="F30" i="35"/>
  <c r="E127" i="35"/>
  <c r="E49" i="16"/>
  <c r="E54" i="16" s="1"/>
  <c r="F50" i="16"/>
  <c r="F60" i="16" s="1"/>
  <c r="F92" i="40" l="1"/>
  <c r="F94" i="40" s="1"/>
  <c r="F125" i="40" s="1"/>
  <c r="G34" i="40" s="1"/>
  <c r="F84" i="39"/>
  <c r="F85" i="39" s="1"/>
  <c r="F117" i="39" s="1"/>
  <c r="G86" i="44"/>
  <c r="G124" i="44" s="1"/>
  <c r="G127" i="44" s="1"/>
  <c r="F50" i="40"/>
  <c r="F76" i="40" s="1"/>
  <c r="F78" i="40" s="1"/>
  <c r="F123" i="40" s="1"/>
  <c r="G32" i="40" s="1"/>
  <c r="F84" i="40"/>
  <c r="F49" i="39"/>
  <c r="F48" i="39" s="1"/>
  <c r="F60" i="39" s="1"/>
  <c r="F86" i="37"/>
  <c r="F124" i="37" s="1"/>
  <c r="G33" i="37" s="1"/>
  <c r="F48" i="37"/>
  <c r="F60" i="37" s="1"/>
  <c r="F68" i="37"/>
  <c r="F70" i="37" s="1"/>
  <c r="F122" i="37" s="1"/>
  <c r="G31" i="37" s="1"/>
  <c r="E129" i="35"/>
  <c r="E131" i="35" s="1"/>
  <c r="E135" i="35" s="1"/>
  <c r="E130" i="35"/>
  <c r="F29" i="35"/>
  <c r="E57" i="16"/>
  <c r="F24" i="16" s="1"/>
  <c r="F25" i="16"/>
  <c r="G129" i="44" l="1"/>
  <c r="G130" i="44"/>
  <c r="G132" i="44" s="1"/>
  <c r="F38" i="35"/>
  <c r="F69" i="35" s="1"/>
  <c r="F115" i="35" s="1"/>
  <c r="F138" i="35" s="1"/>
  <c r="E132" i="35"/>
  <c r="F85" i="40"/>
  <c r="F117" i="40" s="1"/>
  <c r="F49" i="40"/>
  <c r="F86" i="39"/>
  <c r="F124" i="39" s="1"/>
  <c r="G33" i="39" s="1"/>
  <c r="F68" i="39"/>
  <c r="F70" i="39" s="1"/>
  <c r="F122" i="39" s="1"/>
  <c r="G31" i="39" s="1"/>
  <c r="F61" i="39"/>
  <c r="F114" i="39" s="1"/>
  <c r="F61" i="37"/>
  <c r="F114" i="37" s="1"/>
  <c r="F37" i="35"/>
  <c r="E134" i="35"/>
  <c r="F27" i="16"/>
  <c r="F29" i="16"/>
  <c r="F31" i="16" s="1"/>
  <c r="F30" i="16"/>
  <c r="G134" i="44" l="1"/>
  <c r="G131" i="44"/>
  <c r="G135" i="44" s="1"/>
  <c r="F39" i="35"/>
  <c r="F41" i="35" s="1"/>
  <c r="F46" i="35"/>
  <c r="F77" i="35" s="1"/>
  <c r="F116" i="35" s="1"/>
  <c r="F86" i="40"/>
  <c r="F124" i="40" s="1"/>
  <c r="G33" i="40" s="1"/>
  <c r="F48" i="40"/>
  <c r="F60" i="40" s="1"/>
  <c r="F68" i="40"/>
  <c r="F70" i="40" s="1"/>
  <c r="F122" i="40" s="1"/>
  <c r="G31" i="40" s="1"/>
  <c r="F62" i="39"/>
  <c r="F121" i="39" s="1"/>
  <c r="F127" i="39" s="1"/>
  <c r="F62" i="37"/>
  <c r="F121" i="37" s="1"/>
  <c r="F32" i="16"/>
  <c r="F45" i="16" s="1"/>
  <c r="F34" i="16"/>
  <c r="F47" i="16" s="1"/>
  <c r="F56" i="16" s="1"/>
  <c r="F33" i="16"/>
  <c r="F46" i="16" s="1"/>
  <c r="F55" i="16" s="1"/>
  <c r="G26" i="16" s="1"/>
  <c r="F43" i="35" l="1"/>
  <c r="F42" i="35"/>
  <c r="F44" i="35"/>
  <c r="F52" i="35" s="1"/>
  <c r="F92" i="35" s="1"/>
  <c r="F94" i="35" s="1"/>
  <c r="F125" i="35" s="1"/>
  <c r="G34" i="35" s="1"/>
  <c r="F40" i="35"/>
  <c r="F61" i="40"/>
  <c r="F114" i="40" s="1"/>
  <c r="G30" i="39"/>
  <c r="F129" i="39"/>
  <c r="G29" i="39"/>
  <c r="F130" i="39"/>
  <c r="F127" i="37"/>
  <c r="G30" i="37"/>
  <c r="G50" i="16"/>
  <c r="F49" i="16"/>
  <c r="F54" i="16" s="1"/>
  <c r="F131" i="39" l="1"/>
  <c r="F135" i="39" s="1"/>
  <c r="F134" i="39"/>
  <c r="G38" i="39"/>
  <c r="G46" i="39" s="1"/>
  <c r="G77" i="39" s="1"/>
  <c r="G116" i="39" s="1"/>
  <c r="F132" i="39"/>
  <c r="F51" i="35"/>
  <c r="F50" i="35" s="1"/>
  <c r="F62" i="40"/>
  <c r="F121" i="40" s="1"/>
  <c r="F127" i="40" s="1"/>
  <c r="G37" i="39"/>
  <c r="F129" i="37"/>
  <c r="F134" i="37" s="1"/>
  <c r="G29" i="37"/>
  <c r="F130" i="37"/>
  <c r="F57" i="16"/>
  <c r="G24" i="16" s="1"/>
  <c r="G25" i="16"/>
  <c r="H50" i="16"/>
  <c r="G60" i="16"/>
  <c r="G39" i="39" l="1"/>
  <c r="G40" i="39" s="1"/>
  <c r="G69" i="39"/>
  <c r="G115" i="39" s="1"/>
  <c r="G138" i="39" s="1"/>
  <c r="F131" i="37"/>
  <c r="F135" i="37" s="1"/>
  <c r="G38" i="37"/>
  <c r="G69" i="37" s="1"/>
  <c r="G115" i="37" s="1"/>
  <c r="G138" i="37" s="1"/>
  <c r="F132" i="37"/>
  <c r="F84" i="35"/>
  <c r="F85" i="35" s="1"/>
  <c r="F117" i="35" s="1"/>
  <c r="G30" i="40"/>
  <c r="F129" i="40"/>
  <c r="G29" i="40"/>
  <c r="F130" i="40"/>
  <c r="G37" i="37"/>
  <c r="F76" i="35"/>
  <c r="F78" i="35" s="1"/>
  <c r="F123" i="35" s="1"/>
  <c r="G32" i="35" s="1"/>
  <c r="F49" i="35"/>
  <c r="I50" i="16"/>
  <c r="H60" i="16"/>
  <c r="G27" i="16"/>
  <c r="G29" i="16"/>
  <c r="G31" i="16" s="1"/>
  <c r="G30" i="16"/>
  <c r="G42" i="39" l="1"/>
  <c r="G44" i="39"/>
  <c r="G52" i="39" s="1"/>
  <c r="G92" i="39" s="1"/>
  <c r="G94" i="39" s="1"/>
  <c r="G125" i="39" s="1"/>
  <c r="H34" i="39" s="1"/>
  <c r="G43" i="39"/>
  <c r="G41" i="39"/>
  <c r="G39" i="37"/>
  <c r="G44" i="37" s="1"/>
  <c r="G52" i="37" s="1"/>
  <c r="F131" i="40"/>
  <c r="F135" i="40" s="1"/>
  <c r="F134" i="40"/>
  <c r="G38" i="40"/>
  <c r="G46" i="40" s="1"/>
  <c r="G77" i="40" s="1"/>
  <c r="G116" i="40" s="1"/>
  <c r="F132" i="40"/>
  <c r="G46" i="37"/>
  <c r="G77" i="37" s="1"/>
  <c r="G116" i="37" s="1"/>
  <c r="G37" i="40"/>
  <c r="F86" i="35"/>
  <c r="F124" i="35" s="1"/>
  <c r="G33" i="35" s="1"/>
  <c r="F48" i="35"/>
  <c r="F60" i="35" s="1"/>
  <c r="F61" i="35" s="1"/>
  <c r="F68" i="35"/>
  <c r="F70" i="35" s="1"/>
  <c r="F122" i="35" s="1"/>
  <c r="G31" i="35" s="1"/>
  <c r="G33" i="16"/>
  <c r="G46" i="16" s="1"/>
  <c r="G55" i="16" s="1"/>
  <c r="H26" i="16" s="1"/>
  <c r="G32" i="16"/>
  <c r="G45" i="16" s="1"/>
  <c r="G34" i="16"/>
  <c r="G47" i="16" s="1"/>
  <c r="G56" i="16" s="1"/>
  <c r="J50" i="16"/>
  <c r="I60" i="16"/>
  <c r="G51" i="39" l="1"/>
  <c r="G50" i="39" s="1"/>
  <c r="G39" i="40"/>
  <c r="G45" i="40" s="1"/>
  <c r="G100" i="40" s="1"/>
  <c r="G102" i="40" s="1"/>
  <c r="G126" i="40" s="1"/>
  <c r="H35" i="40" s="1"/>
  <c r="G41" i="37"/>
  <c r="G40" i="37"/>
  <c r="G43" i="37"/>
  <c r="G42" i="37"/>
  <c r="G69" i="40"/>
  <c r="G115" i="40" s="1"/>
  <c r="G138" i="40" s="1"/>
  <c r="G51" i="37"/>
  <c r="G92" i="37"/>
  <c r="G94" i="37" s="1"/>
  <c r="G125" i="37" s="1"/>
  <c r="H34" i="37" s="1"/>
  <c r="F114" i="35"/>
  <c r="K50" i="16"/>
  <c r="J60" i="16"/>
  <c r="G49" i="16"/>
  <c r="G54" i="16" s="1"/>
  <c r="G84" i="39" l="1"/>
  <c r="G85" i="39" s="1"/>
  <c r="G117" i="39" s="1"/>
  <c r="G43" i="40"/>
  <c r="G44" i="40"/>
  <c r="G52" i="40" s="1"/>
  <c r="G92" i="40" s="1"/>
  <c r="G94" i="40" s="1"/>
  <c r="G125" i="40" s="1"/>
  <c r="H34" i="40" s="1"/>
  <c r="G40" i="40"/>
  <c r="G42" i="40"/>
  <c r="G41" i="40"/>
  <c r="G76" i="39"/>
  <c r="G78" i="39" s="1"/>
  <c r="G123" i="39" s="1"/>
  <c r="H32" i="39" s="1"/>
  <c r="G49" i="39"/>
  <c r="G50" i="37"/>
  <c r="G76" i="37" s="1"/>
  <c r="G78" i="37" s="1"/>
  <c r="G123" i="37" s="1"/>
  <c r="H32" i="37" s="1"/>
  <c r="G84" i="37"/>
  <c r="F62" i="35"/>
  <c r="F121" i="35" s="1"/>
  <c r="G57" i="16"/>
  <c r="H24" i="16" s="1"/>
  <c r="H25" i="16"/>
  <c r="L50" i="16"/>
  <c r="L60" i="16" s="1"/>
  <c r="K60" i="16"/>
  <c r="G51" i="40" l="1"/>
  <c r="G50" i="40" s="1"/>
  <c r="G48" i="39"/>
  <c r="G60" i="39" s="1"/>
  <c r="G68" i="39"/>
  <c r="G70" i="39" s="1"/>
  <c r="G122" i="39" s="1"/>
  <c r="H31" i="39" s="1"/>
  <c r="G86" i="39"/>
  <c r="G124" i="39" s="1"/>
  <c r="H33" i="39" s="1"/>
  <c r="G49" i="37"/>
  <c r="G48" i="37" s="1"/>
  <c r="G60" i="37" s="1"/>
  <c r="G85" i="37"/>
  <c r="G117" i="37" s="1"/>
  <c r="F127" i="35"/>
  <c r="G30" i="35"/>
  <c r="H27" i="16"/>
  <c r="H29" i="16"/>
  <c r="H30" i="16"/>
  <c r="G84" i="40" l="1"/>
  <c r="G85" i="40" s="1"/>
  <c r="G117" i="40" s="1"/>
  <c r="G76" i="40"/>
  <c r="G78" i="40" s="1"/>
  <c r="G123" i="40" s="1"/>
  <c r="H32" i="40" s="1"/>
  <c r="G49" i="40"/>
  <c r="G61" i="39"/>
  <c r="G114" i="39" s="1"/>
  <c r="G86" i="37"/>
  <c r="G124" i="37" s="1"/>
  <c r="H33" i="37" s="1"/>
  <c r="G68" i="37"/>
  <c r="G70" i="37" s="1"/>
  <c r="G122" i="37" s="1"/>
  <c r="H31" i="37" s="1"/>
  <c r="G61" i="37"/>
  <c r="G114" i="37" s="1"/>
  <c r="F130" i="35"/>
  <c r="F129" i="35"/>
  <c r="F131" i="35" s="1"/>
  <c r="F135" i="35" s="1"/>
  <c r="G29" i="35"/>
  <c r="H31" i="16"/>
  <c r="H34" i="16" s="1"/>
  <c r="H47" i="16" s="1"/>
  <c r="H56" i="16" s="1"/>
  <c r="G38" i="35" l="1"/>
  <c r="G69" i="35" s="1"/>
  <c r="G115" i="35" s="1"/>
  <c r="G138" i="35" s="1"/>
  <c r="F132" i="35"/>
  <c r="G86" i="40"/>
  <c r="G124" i="40" s="1"/>
  <c r="H33" i="40" s="1"/>
  <c r="G48" i="40"/>
  <c r="G60" i="40" s="1"/>
  <c r="G68" i="40"/>
  <c r="G70" i="40" s="1"/>
  <c r="G122" i="40" s="1"/>
  <c r="H31" i="40" s="1"/>
  <c r="G62" i="39"/>
  <c r="G121" i="39" s="1"/>
  <c r="G127" i="39" s="1"/>
  <c r="G62" i="37"/>
  <c r="G121" i="37" s="1"/>
  <c r="G127" i="37" s="1"/>
  <c r="F134" i="35"/>
  <c r="G37" i="35"/>
  <c r="H33" i="16"/>
  <c r="H46" i="16" s="1"/>
  <c r="H55" i="16" s="1"/>
  <c r="I26" i="16" s="1"/>
  <c r="H32" i="16"/>
  <c r="H45" i="16" s="1"/>
  <c r="H54" i="16" s="1"/>
  <c r="G39" i="35" l="1"/>
  <c r="G41" i="35" s="1"/>
  <c r="G46" i="35"/>
  <c r="G77" i="35" s="1"/>
  <c r="G116" i="35" s="1"/>
  <c r="G61" i="40"/>
  <c r="G114" i="40" s="1"/>
  <c r="H30" i="39"/>
  <c r="G129" i="39"/>
  <c r="G130" i="39"/>
  <c r="H29" i="39"/>
  <c r="H29" i="37"/>
  <c r="G129" i="37"/>
  <c r="G134" i="37" s="1"/>
  <c r="H30" i="37"/>
  <c r="G130" i="37"/>
  <c r="H57" i="16"/>
  <c r="I24" i="16" s="1"/>
  <c r="I27" i="16" s="1"/>
  <c r="I25" i="16"/>
  <c r="G131" i="39" l="1"/>
  <c r="G135" i="39" s="1"/>
  <c r="G134" i="39"/>
  <c r="H38" i="39"/>
  <c r="H69" i="39" s="1"/>
  <c r="H115" i="39" s="1"/>
  <c r="H138" i="39" s="1"/>
  <c r="G132" i="39"/>
  <c r="H37" i="37"/>
  <c r="G131" i="37"/>
  <c r="G135" i="37" s="1"/>
  <c r="H38" i="37"/>
  <c r="H69" i="37" s="1"/>
  <c r="H115" i="37" s="1"/>
  <c r="H138" i="37" s="1"/>
  <c r="G132" i="37"/>
  <c r="G42" i="35"/>
  <c r="G43" i="35"/>
  <c r="G44" i="35"/>
  <c r="G52" i="35" s="1"/>
  <c r="G51" i="35" s="1"/>
  <c r="G40" i="35"/>
  <c r="G62" i="40"/>
  <c r="G121" i="40" s="1"/>
  <c r="G127" i="40" s="1"/>
  <c r="H37" i="39"/>
  <c r="I30" i="16"/>
  <c r="I29" i="16"/>
  <c r="I31" i="16" s="1"/>
  <c r="I34" i="16" s="1"/>
  <c r="I47" i="16" s="1"/>
  <c r="I56" i="16" s="1"/>
  <c r="H39" i="39" l="1"/>
  <c r="H46" i="39"/>
  <c r="H77" i="39" s="1"/>
  <c r="H116" i="39" s="1"/>
  <c r="H39" i="37"/>
  <c r="H41" i="37" s="1"/>
  <c r="H46" i="37"/>
  <c r="H77" i="37" s="1"/>
  <c r="H116" i="37" s="1"/>
  <c r="G92" i="35"/>
  <c r="G94" i="35" s="1"/>
  <c r="G125" i="35" s="1"/>
  <c r="H30" i="40"/>
  <c r="G129" i="40"/>
  <c r="G130" i="40"/>
  <c r="H29" i="40"/>
  <c r="H40" i="39"/>
  <c r="H42" i="39"/>
  <c r="H41" i="39"/>
  <c r="H43" i="39"/>
  <c r="H44" i="39"/>
  <c r="H52" i="39" s="1"/>
  <c r="G84" i="35"/>
  <c r="G50" i="35"/>
  <c r="I32" i="16"/>
  <c r="I45" i="16" s="1"/>
  <c r="I54" i="16" s="1"/>
  <c r="J25" i="16" s="1"/>
  <c r="I33" i="16"/>
  <c r="I46" i="16" s="1"/>
  <c r="I55" i="16" s="1"/>
  <c r="J26" i="16" s="1"/>
  <c r="H38" i="40" l="1"/>
  <c r="H69" i="40" s="1"/>
  <c r="H115" i="40" s="1"/>
  <c r="H138" i="40" s="1"/>
  <c r="G132" i="40"/>
  <c r="G131" i="40"/>
  <c r="G135" i="40" s="1"/>
  <c r="G134" i="40"/>
  <c r="H43" i="37"/>
  <c r="H42" i="37"/>
  <c r="H44" i="37"/>
  <c r="H52" i="37" s="1"/>
  <c r="H51" i="37" s="1"/>
  <c r="H50" i="37" s="1"/>
  <c r="H40" i="37"/>
  <c r="H46" i="40"/>
  <c r="H77" i="40" s="1"/>
  <c r="H116" i="40" s="1"/>
  <c r="H37" i="40"/>
  <c r="H51" i="39"/>
  <c r="H92" i="39"/>
  <c r="H94" i="39" s="1"/>
  <c r="H125" i="39" s="1"/>
  <c r="I34" i="39" s="1"/>
  <c r="G76" i="35"/>
  <c r="G78" i="35" s="1"/>
  <c r="G123" i="35" s="1"/>
  <c r="G49" i="35"/>
  <c r="G85" i="35"/>
  <c r="G117" i="35" s="1"/>
  <c r="I57" i="16"/>
  <c r="J24" i="16" s="1"/>
  <c r="J27" i="16" s="1"/>
  <c r="H39" i="40" l="1"/>
  <c r="H45" i="40" s="1"/>
  <c r="H100" i="40" s="1"/>
  <c r="H101" i="40" s="1"/>
  <c r="H119" i="40" s="1"/>
  <c r="H84" i="37"/>
  <c r="H85" i="37" s="1"/>
  <c r="H117" i="37" s="1"/>
  <c r="H92" i="37"/>
  <c r="H94" i="37" s="1"/>
  <c r="H125" i="37" s="1"/>
  <c r="I34" i="37" s="1"/>
  <c r="H50" i="39"/>
  <c r="H76" i="39" s="1"/>
  <c r="H78" i="39" s="1"/>
  <c r="H123" i="39" s="1"/>
  <c r="I32" i="39" s="1"/>
  <c r="H84" i="39"/>
  <c r="H76" i="37"/>
  <c r="H78" i="37" s="1"/>
  <c r="H123" i="37" s="1"/>
  <c r="I32" i="37" s="1"/>
  <c r="H49" i="37"/>
  <c r="G86" i="35"/>
  <c r="G124" i="35" s="1"/>
  <c r="G48" i="35"/>
  <c r="G60" i="35" s="1"/>
  <c r="G61" i="35" s="1"/>
  <c r="G68" i="35"/>
  <c r="G70" i="35" s="1"/>
  <c r="G122" i="35" s="1"/>
  <c r="J30" i="16"/>
  <c r="J29" i="16"/>
  <c r="J31" i="16" s="1"/>
  <c r="J34" i="16" s="1"/>
  <c r="J47" i="16" s="1"/>
  <c r="J56" i="16" s="1"/>
  <c r="H44" i="40" l="1"/>
  <c r="H52" i="40" s="1"/>
  <c r="H51" i="40" s="1"/>
  <c r="H41" i="40"/>
  <c r="H42" i="40"/>
  <c r="H43" i="40"/>
  <c r="H40" i="40"/>
  <c r="H102" i="40"/>
  <c r="H126" i="40" s="1"/>
  <c r="I35" i="40" s="1"/>
  <c r="H49" i="39"/>
  <c r="H48" i="39" s="1"/>
  <c r="H60" i="39" s="1"/>
  <c r="H85" i="39"/>
  <c r="H117" i="39" s="1"/>
  <c r="H86" i="37"/>
  <c r="H124" i="37" s="1"/>
  <c r="I33" i="37" s="1"/>
  <c r="H48" i="37"/>
  <c r="H60" i="37" s="1"/>
  <c r="H68" i="37"/>
  <c r="H70" i="37" s="1"/>
  <c r="H122" i="37" s="1"/>
  <c r="I31" i="37" s="1"/>
  <c r="G114" i="35"/>
  <c r="J32" i="16"/>
  <c r="J45" i="16" s="1"/>
  <c r="J54" i="16" s="1"/>
  <c r="K25" i="16" s="1"/>
  <c r="J33" i="16"/>
  <c r="J46" i="16" s="1"/>
  <c r="J55" i="16" s="1"/>
  <c r="K26" i="16" s="1"/>
  <c r="H92" i="40" l="1"/>
  <c r="H94" i="40" s="1"/>
  <c r="H125" i="40" s="1"/>
  <c r="I34" i="40" s="1"/>
  <c r="H86" i="39"/>
  <c r="H124" i="39" s="1"/>
  <c r="I33" i="39" s="1"/>
  <c r="H50" i="40"/>
  <c r="H76" i="40" s="1"/>
  <c r="H78" i="40" s="1"/>
  <c r="H123" i="40" s="1"/>
  <c r="I32" i="40" s="1"/>
  <c r="H84" i="40"/>
  <c r="H68" i="39"/>
  <c r="H70" i="39" s="1"/>
  <c r="H122" i="39" s="1"/>
  <c r="I31" i="39" s="1"/>
  <c r="H61" i="39"/>
  <c r="H114" i="39" s="1"/>
  <c r="H61" i="37"/>
  <c r="H114" i="37" s="1"/>
  <c r="G62" i="35"/>
  <c r="G121" i="35" s="1"/>
  <c r="G127" i="35" s="1"/>
  <c r="G129" i="35" s="1"/>
  <c r="J57" i="16"/>
  <c r="K24" i="16" s="1"/>
  <c r="K27" i="16" s="1"/>
  <c r="G134" i="35" l="1"/>
  <c r="G131" i="35"/>
  <c r="G135" i="35" s="1"/>
  <c r="H49" i="40"/>
  <c r="H48" i="40" s="1"/>
  <c r="H60" i="40" s="1"/>
  <c r="H85" i="40"/>
  <c r="H117" i="40" s="1"/>
  <c r="H62" i="39"/>
  <c r="H121" i="39" s="1"/>
  <c r="I30" i="39" s="1"/>
  <c r="H62" i="37"/>
  <c r="H121" i="37" s="1"/>
  <c r="H127" i="37" s="1"/>
  <c r="I29" i="37" s="1"/>
  <c r="G130" i="35"/>
  <c r="G132" i="35" s="1"/>
  <c r="K29" i="16"/>
  <c r="K30" i="16"/>
  <c r="H86" i="40" l="1"/>
  <c r="H124" i="40" s="1"/>
  <c r="I33" i="40" s="1"/>
  <c r="H68" i="40"/>
  <c r="H70" i="40" s="1"/>
  <c r="H122" i="40" s="1"/>
  <c r="I31" i="40" s="1"/>
  <c r="H61" i="40"/>
  <c r="H114" i="40" s="1"/>
  <c r="H127" i="39"/>
  <c r="I29" i="39" s="1"/>
  <c r="I30" i="37"/>
  <c r="H129" i="37"/>
  <c r="H130" i="37"/>
  <c r="K31" i="16"/>
  <c r="K32" i="16" s="1"/>
  <c r="K45" i="16" s="1"/>
  <c r="K54" i="16" s="1"/>
  <c r="L25" i="16" s="1"/>
  <c r="H131" i="37" l="1"/>
  <c r="H135" i="37" s="1"/>
  <c r="H134" i="37"/>
  <c r="I38" i="37"/>
  <c r="I69" i="37" s="1"/>
  <c r="I115" i="37" s="1"/>
  <c r="I138" i="37" s="1"/>
  <c r="H132" i="37"/>
  <c r="H62" i="40"/>
  <c r="H121" i="40" s="1"/>
  <c r="H130" i="39"/>
  <c r="H129" i="39"/>
  <c r="H134" i="39" s="1"/>
  <c r="I37" i="37"/>
  <c r="K33" i="16"/>
  <c r="K46" i="16" s="1"/>
  <c r="K55" i="16" s="1"/>
  <c r="L26" i="16" s="1"/>
  <c r="K34" i="16"/>
  <c r="K47" i="16" s="1"/>
  <c r="K56" i="16" s="1"/>
  <c r="H131" i="39" l="1"/>
  <c r="H135" i="39" s="1"/>
  <c r="I38" i="39"/>
  <c r="I46" i="39" s="1"/>
  <c r="I77" i="39" s="1"/>
  <c r="I116" i="39" s="1"/>
  <c r="H132" i="39"/>
  <c r="I39" i="37"/>
  <c r="I42" i="37" s="1"/>
  <c r="I46" i="37"/>
  <c r="I77" i="37" s="1"/>
  <c r="I116" i="37" s="1"/>
  <c r="I37" i="39"/>
  <c r="I39" i="39" s="1"/>
  <c r="I44" i="39" s="1"/>
  <c r="I52" i="39" s="1"/>
  <c r="I30" i="40"/>
  <c r="H127" i="40"/>
  <c r="K57" i="16"/>
  <c r="L24" i="16" s="1"/>
  <c r="L30" i="16" s="1"/>
  <c r="I69" i="39" l="1"/>
  <c r="I115" i="39" s="1"/>
  <c r="I138" i="39" s="1"/>
  <c r="I43" i="37"/>
  <c r="I40" i="37"/>
  <c r="I44" i="37"/>
  <c r="I52" i="37" s="1"/>
  <c r="I51" i="37" s="1"/>
  <c r="I50" i="37" s="1"/>
  <c r="I76" i="37" s="1"/>
  <c r="I78" i="37" s="1"/>
  <c r="I123" i="37" s="1"/>
  <c r="J32" i="37" s="1"/>
  <c r="I41" i="37"/>
  <c r="I29" i="40"/>
  <c r="H129" i="40"/>
  <c r="H130" i="40"/>
  <c r="I40" i="39"/>
  <c r="I41" i="39"/>
  <c r="I42" i="39"/>
  <c r="I43" i="39"/>
  <c r="I51" i="39"/>
  <c r="I92" i="39"/>
  <c r="I94" i="39" s="1"/>
  <c r="I125" i="39" s="1"/>
  <c r="J34" i="39" s="1"/>
  <c r="L27" i="16"/>
  <c r="L29" i="16"/>
  <c r="L31" i="16" s="1"/>
  <c r="L32" i="16" s="1"/>
  <c r="L45" i="16" s="1"/>
  <c r="L54" i="16" s="1"/>
  <c r="H131" i="40" l="1"/>
  <c r="H135" i="40" s="1"/>
  <c r="H134" i="40"/>
  <c r="I38" i="40"/>
  <c r="I69" i="40" s="1"/>
  <c r="I115" i="40" s="1"/>
  <c r="I138" i="40" s="1"/>
  <c r="H132" i="40"/>
  <c r="I49" i="37"/>
  <c r="I68" i="37" s="1"/>
  <c r="I70" i="37" s="1"/>
  <c r="I122" i="37" s="1"/>
  <c r="J31" i="37" s="1"/>
  <c r="I84" i="37"/>
  <c r="I85" i="37" s="1"/>
  <c r="I117" i="37" s="1"/>
  <c r="I92" i="37"/>
  <c r="I94" i="37" s="1"/>
  <c r="I125" i="37" s="1"/>
  <c r="J34" i="37" s="1"/>
  <c r="I37" i="40"/>
  <c r="I50" i="39"/>
  <c r="I76" i="39" s="1"/>
  <c r="I78" i="39" s="1"/>
  <c r="I123" i="39" s="1"/>
  <c r="J32" i="39" s="1"/>
  <c r="I84" i="39"/>
  <c r="L33" i="16"/>
  <c r="L46" i="16" s="1"/>
  <c r="L55" i="16" s="1"/>
  <c r="L34" i="16"/>
  <c r="L47" i="16" s="1"/>
  <c r="L56" i="16" s="1"/>
  <c r="I46" i="40" l="1"/>
  <c r="I77" i="40" s="1"/>
  <c r="I116" i="40" s="1"/>
  <c r="I39" i="40"/>
  <c r="I45" i="40" s="1"/>
  <c r="I100" i="40" s="1"/>
  <c r="I102" i="40" s="1"/>
  <c r="I126" i="40" s="1"/>
  <c r="J35" i="40" s="1"/>
  <c r="I48" i="37"/>
  <c r="I60" i="37" s="1"/>
  <c r="I61" i="37" s="1"/>
  <c r="I114" i="37" s="1"/>
  <c r="I86" i="37"/>
  <c r="I124" i="37" s="1"/>
  <c r="J33" i="37" s="1"/>
  <c r="I49" i="39"/>
  <c r="I85" i="39"/>
  <c r="I117" i="39" s="1"/>
  <c r="L57" i="16"/>
  <c r="I42" i="40" l="1"/>
  <c r="I41" i="40"/>
  <c r="I44" i="40"/>
  <c r="I52" i="40" s="1"/>
  <c r="I92" i="40" s="1"/>
  <c r="I94" i="40" s="1"/>
  <c r="I125" i="40" s="1"/>
  <c r="J34" i="40" s="1"/>
  <c r="I43" i="40"/>
  <c r="I40" i="40"/>
  <c r="I86" i="39"/>
  <c r="I124" i="39" s="1"/>
  <c r="J33" i="39" s="1"/>
  <c r="I48" i="39"/>
  <c r="I60" i="39" s="1"/>
  <c r="I68" i="39"/>
  <c r="I70" i="39" s="1"/>
  <c r="I122" i="39" s="1"/>
  <c r="J31" i="39" s="1"/>
  <c r="I62" i="37"/>
  <c r="I121" i="37" s="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I51" i="40" l="1"/>
  <c r="I50" i="40" s="1"/>
  <c r="I61" i="39"/>
  <c r="I114" i="39" s="1"/>
  <c r="I127" i="37"/>
  <c r="J30" i="3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I84" i="40" l="1"/>
  <c r="I85" i="40" s="1"/>
  <c r="I117" i="40" s="1"/>
  <c r="I76" i="40"/>
  <c r="I78" i="40" s="1"/>
  <c r="I123" i="40" s="1"/>
  <c r="J32" i="40" s="1"/>
  <c r="I49" i="40"/>
  <c r="I62" i="39"/>
  <c r="I121" i="39" s="1"/>
  <c r="J30" i="39" s="1"/>
  <c r="J29" i="37"/>
  <c r="I129" i="37"/>
  <c r="I130" i="37"/>
  <c r="V11" i="7"/>
  <c r="W11" i="7"/>
  <c r="V6" i="7"/>
  <c r="W6" i="7"/>
  <c r="I131" i="37" l="1"/>
  <c r="I135" i="37" s="1"/>
  <c r="I134" i="37"/>
  <c r="J38" i="37"/>
  <c r="J69" i="37" s="1"/>
  <c r="J115" i="37" s="1"/>
  <c r="J138" i="37" s="1"/>
  <c r="I132" i="37"/>
  <c r="I86" i="40"/>
  <c r="I124" i="40" s="1"/>
  <c r="J33" i="40" s="1"/>
  <c r="I48" i="40"/>
  <c r="I60" i="40" s="1"/>
  <c r="I68" i="40"/>
  <c r="I70" i="40" s="1"/>
  <c r="I122" i="40" s="1"/>
  <c r="J31" i="40" s="1"/>
  <c r="I127" i="39"/>
  <c r="I129" i="39" s="1"/>
  <c r="J37" i="37"/>
  <c r="V8" i="7"/>
  <c r="W8" i="7"/>
  <c r="I131" i="39" l="1"/>
  <c r="I135" i="39" s="1"/>
  <c r="I134" i="39"/>
  <c r="J46" i="37"/>
  <c r="J77" i="37" s="1"/>
  <c r="J116" i="37" s="1"/>
  <c r="I61" i="40"/>
  <c r="I114" i="40" s="1"/>
  <c r="J29" i="39"/>
  <c r="I130" i="39"/>
  <c r="J37" i="39"/>
  <c r="J39" i="37"/>
  <c r="J41" i="3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J38" i="39" l="1"/>
  <c r="J46" i="39" s="1"/>
  <c r="J77" i="39" s="1"/>
  <c r="J116" i="39" s="1"/>
  <c r="I132" i="39"/>
  <c r="I62" i="40"/>
  <c r="I121" i="40" s="1"/>
  <c r="I127" i="40" s="1"/>
  <c r="J44" i="37"/>
  <c r="J52" i="37" s="1"/>
  <c r="J51" i="37" s="1"/>
  <c r="J42" i="37"/>
  <c r="J40" i="37"/>
  <c r="J43" i="37"/>
  <c r="V10" i="7"/>
  <c r="W10" i="7"/>
  <c r="K13" i="2"/>
  <c r="L13" i="2" s="1"/>
  <c r="K8" i="2"/>
  <c r="J39" i="39" l="1"/>
  <c r="J44" i="39" s="1"/>
  <c r="J52" i="39" s="1"/>
  <c r="J51" i="39" s="1"/>
  <c r="J69" i="39"/>
  <c r="J115" i="39" s="1"/>
  <c r="J138" i="39" s="1"/>
  <c r="J30" i="40"/>
  <c r="I129" i="40"/>
  <c r="J29" i="40"/>
  <c r="I130" i="40"/>
  <c r="J92" i="37"/>
  <c r="J94" i="37" s="1"/>
  <c r="J125" i="37" s="1"/>
  <c r="K34" i="37" s="1"/>
  <c r="J50" i="37"/>
  <c r="J84" i="37"/>
  <c r="N13" i="2"/>
  <c r="O13" i="2"/>
  <c r="M13" i="2"/>
  <c r="J38" i="40" l="1"/>
  <c r="J46" i="40" s="1"/>
  <c r="J77" i="40" s="1"/>
  <c r="J116" i="40" s="1"/>
  <c r="I132" i="40"/>
  <c r="I134" i="40"/>
  <c r="I131" i="40"/>
  <c r="I135" i="40" s="1"/>
  <c r="J43" i="39"/>
  <c r="J84" i="39" s="1"/>
  <c r="J41" i="39"/>
  <c r="J40" i="39"/>
  <c r="J92" i="39"/>
  <c r="J94" i="39" s="1"/>
  <c r="J125" i="39" s="1"/>
  <c r="K34" i="39" s="1"/>
  <c r="J42" i="39"/>
  <c r="J37" i="40"/>
  <c r="J50" i="39"/>
  <c r="J85" i="37"/>
  <c r="J117" i="37" s="1"/>
  <c r="J76" i="37"/>
  <c r="J78" i="37" s="1"/>
  <c r="J123" i="37" s="1"/>
  <c r="K32" i="37" s="1"/>
  <c r="J49" i="37"/>
  <c r="P13" i="2"/>
  <c r="J39" i="40" l="1"/>
  <c r="J45" i="40" s="1"/>
  <c r="J100" i="40" s="1"/>
  <c r="J102" i="40" s="1"/>
  <c r="J126" i="40" s="1"/>
  <c r="K35" i="40" s="1"/>
  <c r="J69" i="40"/>
  <c r="J115" i="40" s="1"/>
  <c r="J138" i="40" s="1"/>
  <c r="J85" i="39"/>
  <c r="J117" i="39" s="1"/>
  <c r="J76" i="39"/>
  <c r="J78" i="39" s="1"/>
  <c r="J123" i="39" s="1"/>
  <c r="K32" i="39" s="1"/>
  <c r="J49" i="39"/>
  <c r="J86" i="37"/>
  <c r="J124" i="37" s="1"/>
  <c r="K33" i="37" s="1"/>
  <c r="J48" i="37"/>
  <c r="J60" i="37" s="1"/>
  <c r="J68" i="37"/>
  <c r="J70" i="37" s="1"/>
  <c r="J122" i="37" s="1"/>
  <c r="K31" i="37" s="1"/>
  <c r="J42" i="40" l="1"/>
  <c r="J44" i="40"/>
  <c r="J52" i="40" s="1"/>
  <c r="J92" i="40" s="1"/>
  <c r="J94" i="40" s="1"/>
  <c r="J125" i="40" s="1"/>
  <c r="K34" i="40" s="1"/>
  <c r="J40" i="40"/>
  <c r="J41" i="40"/>
  <c r="J43" i="40"/>
  <c r="J86" i="39"/>
  <c r="J124" i="39" s="1"/>
  <c r="K33" i="39" s="1"/>
  <c r="J48" i="39"/>
  <c r="J60" i="39" s="1"/>
  <c r="J68" i="39"/>
  <c r="J70" i="39" s="1"/>
  <c r="J122" i="39" s="1"/>
  <c r="K31" i="39" s="1"/>
  <c r="J61" i="37"/>
  <c r="J114" i="37" s="1"/>
  <c r="J51" i="40" l="1"/>
  <c r="J50" i="40" s="1"/>
  <c r="J76" i="40" s="1"/>
  <c r="J78" i="40" s="1"/>
  <c r="J123" i="40" s="1"/>
  <c r="K32" i="40" s="1"/>
  <c r="J61" i="39"/>
  <c r="J114" i="39" s="1"/>
  <c r="J62" i="37"/>
  <c r="J121" i="37" s="1"/>
  <c r="J84" i="40" l="1"/>
  <c r="J85" i="40" s="1"/>
  <c r="J117" i="40" s="1"/>
  <c r="J49" i="40"/>
  <c r="J48" i="40" s="1"/>
  <c r="J60" i="40" s="1"/>
  <c r="J62" i="39"/>
  <c r="J121" i="39" s="1"/>
  <c r="J127" i="39" s="1"/>
  <c r="K30" i="37"/>
  <c r="J127" i="37"/>
  <c r="J86" i="40" l="1"/>
  <c r="J124" i="40" s="1"/>
  <c r="K33" i="40" s="1"/>
  <c r="J68" i="40"/>
  <c r="J70" i="40" s="1"/>
  <c r="J122" i="40" s="1"/>
  <c r="K31" i="40" s="1"/>
  <c r="K30" i="39"/>
  <c r="J61" i="40"/>
  <c r="J114" i="40" s="1"/>
  <c r="J130" i="39"/>
  <c r="J129" i="39"/>
  <c r="K29" i="39"/>
  <c r="K29" i="37"/>
  <c r="J130" i="37"/>
  <c r="J129" i="37"/>
  <c r="J131" i="39" l="1"/>
  <c r="J135" i="39" s="1"/>
  <c r="J134" i="39"/>
  <c r="K38" i="39"/>
  <c r="K46" i="39" s="1"/>
  <c r="K77" i="39" s="1"/>
  <c r="K116" i="39" s="1"/>
  <c r="J132" i="39"/>
  <c r="J131" i="37"/>
  <c r="J135" i="37" s="1"/>
  <c r="J134" i="37"/>
  <c r="K38" i="37"/>
  <c r="K69" i="37" s="1"/>
  <c r="K115" i="37" s="1"/>
  <c r="K138" i="37" s="1"/>
  <c r="J132" i="37"/>
  <c r="J62" i="40"/>
  <c r="J121" i="40" s="1"/>
  <c r="K30" i="40" s="1"/>
  <c r="K37" i="39"/>
  <c r="K37" i="37"/>
  <c r="K39" i="39" l="1"/>
  <c r="K42" i="39" s="1"/>
  <c r="K39" i="37"/>
  <c r="K41" i="37" s="1"/>
  <c r="K69" i="39"/>
  <c r="K115" i="39" s="1"/>
  <c r="K138" i="39" s="1"/>
  <c r="K46" i="37"/>
  <c r="K77" i="37" s="1"/>
  <c r="K116" i="37" s="1"/>
  <c r="J127" i="40"/>
  <c r="J129" i="40" s="1"/>
  <c r="K42" i="37" l="1"/>
  <c r="K43" i="37"/>
  <c r="K40" i="37"/>
  <c r="K44" i="37"/>
  <c r="K52" i="37" s="1"/>
  <c r="K51" i="37" s="1"/>
  <c r="K43" i="39"/>
  <c r="K40" i="39"/>
  <c r="K41" i="39"/>
  <c r="K44" i="39"/>
  <c r="K52" i="39" s="1"/>
  <c r="K51" i="39" s="1"/>
  <c r="J134" i="40"/>
  <c r="J131" i="40"/>
  <c r="J135" i="40" s="1"/>
  <c r="J130" i="40"/>
  <c r="K29" i="40"/>
  <c r="K37" i="40"/>
  <c r="K92" i="37" l="1"/>
  <c r="K94" i="37" s="1"/>
  <c r="K125" i="37" s="1"/>
  <c r="L34" i="37" s="1"/>
  <c r="K92" i="39"/>
  <c r="K94" i="39" s="1"/>
  <c r="K125" i="39" s="1"/>
  <c r="L34" i="39" s="1"/>
  <c r="K38" i="40"/>
  <c r="K46" i="40" s="1"/>
  <c r="K77" i="40" s="1"/>
  <c r="K116" i="40" s="1"/>
  <c r="J132" i="40"/>
  <c r="K50" i="39"/>
  <c r="K76" i="39" s="1"/>
  <c r="K78" i="39" s="1"/>
  <c r="K123" i="39" s="1"/>
  <c r="L32" i="39" s="1"/>
  <c r="K84" i="39"/>
  <c r="K84" i="37"/>
  <c r="K50" i="37"/>
  <c r="K39" i="40" l="1"/>
  <c r="K45" i="40" s="1"/>
  <c r="K100" i="40" s="1"/>
  <c r="K102" i="40" s="1"/>
  <c r="K126" i="40" s="1"/>
  <c r="L35" i="40" s="1"/>
  <c r="K69" i="40"/>
  <c r="K115" i="40" s="1"/>
  <c r="K138" i="40" s="1"/>
  <c r="K49" i="39"/>
  <c r="K48" i="39" s="1"/>
  <c r="K60" i="39" s="1"/>
  <c r="K85" i="39"/>
  <c r="K117" i="39" s="1"/>
  <c r="K85" i="37"/>
  <c r="K117" i="37" s="1"/>
  <c r="K76" i="37"/>
  <c r="K78" i="37" s="1"/>
  <c r="K123" i="37" s="1"/>
  <c r="L32" i="37" s="1"/>
  <c r="K49" i="37"/>
  <c r="K40" i="40" l="1"/>
  <c r="K41" i="40"/>
  <c r="K43" i="40"/>
  <c r="K44" i="40"/>
  <c r="K52" i="40" s="1"/>
  <c r="K51" i="40" s="1"/>
  <c r="K50" i="40" s="1"/>
  <c r="K42" i="40"/>
  <c r="K68" i="39"/>
  <c r="K70" i="39" s="1"/>
  <c r="K122" i="39" s="1"/>
  <c r="L31" i="39" s="1"/>
  <c r="K86" i="39"/>
  <c r="K124" i="39" s="1"/>
  <c r="L33" i="39" s="1"/>
  <c r="K61" i="39"/>
  <c r="K114" i="39" s="1"/>
  <c r="K86" i="37"/>
  <c r="K124" i="37" s="1"/>
  <c r="L33" i="37" s="1"/>
  <c r="K48" i="37"/>
  <c r="K60" i="37" s="1"/>
  <c r="K68" i="37"/>
  <c r="K70" i="37" s="1"/>
  <c r="K122" i="37" s="1"/>
  <c r="L31" i="37" s="1"/>
  <c r="K76" i="40" l="1"/>
  <c r="K78" i="40" s="1"/>
  <c r="K123" i="40" s="1"/>
  <c r="L32" i="40" s="1"/>
  <c r="K84" i="40"/>
  <c r="K85" i="40" s="1"/>
  <c r="K117" i="40" s="1"/>
  <c r="K92" i="40"/>
  <c r="K94" i="40" s="1"/>
  <c r="K125" i="40" s="1"/>
  <c r="L34" i="40" s="1"/>
  <c r="K49" i="40"/>
  <c r="K62" i="39"/>
  <c r="K121" i="39" s="1"/>
  <c r="K127" i="39" s="1"/>
  <c r="K61" i="37"/>
  <c r="K114" i="37" s="1"/>
  <c r="K86" i="40" l="1"/>
  <c r="K124" i="40" s="1"/>
  <c r="L33" i="40" s="1"/>
  <c r="L30" i="39"/>
  <c r="K48" i="40"/>
  <c r="K60" i="40" s="1"/>
  <c r="K68" i="40"/>
  <c r="K70" i="40" s="1"/>
  <c r="K122" i="40" s="1"/>
  <c r="L31" i="40" s="1"/>
  <c r="K129" i="39"/>
  <c r="L29" i="39"/>
  <c r="K130" i="39"/>
  <c r="K62" i="37"/>
  <c r="K121" i="37" s="1"/>
  <c r="L30" i="37" s="1"/>
  <c r="C91" i="33"/>
  <c r="K131" i="39" l="1"/>
  <c r="K135" i="39" s="1"/>
  <c r="K134" i="39"/>
  <c r="L38" i="39"/>
  <c r="L46" i="39" s="1"/>
  <c r="L77" i="39" s="1"/>
  <c r="L116" i="39" s="1"/>
  <c r="K132" i="39"/>
  <c r="K61" i="40"/>
  <c r="K114" i="40" s="1"/>
  <c r="L37" i="39"/>
  <c r="K127" i="37"/>
  <c r="K129" i="37" s="1"/>
  <c r="C59" i="33"/>
  <c r="C75" i="33"/>
  <c r="C67" i="33"/>
  <c r="C127" i="33"/>
  <c r="C83" i="33"/>
  <c r="L39" i="39" l="1"/>
  <c r="L43" i="39" s="1"/>
  <c r="L69" i="39"/>
  <c r="L115" i="39" s="1"/>
  <c r="L138" i="39" s="1"/>
  <c r="K131" i="37"/>
  <c r="K135" i="37" s="1"/>
  <c r="K134" i="37"/>
  <c r="K62" i="40"/>
  <c r="K121" i="40" s="1"/>
  <c r="L30" i="40" s="1"/>
  <c r="K130" i="37"/>
  <c r="L29" i="37"/>
  <c r="L37" i="37"/>
  <c r="C130" i="33"/>
  <c r="C129" i="33"/>
  <c r="C131" i="33" s="1"/>
  <c r="C135" i="33" s="1"/>
  <c r="D29" i="33"/>
  <c r="L44" i="39" l="1"/>
  <c r="L52" i="39" s="1"/>
  <c r="L51" i="39" s="1"/>
  <c r="L40" i="39"/>
  <c r="L42" i="39"/>
  <c r="L41" i="39"/>
  <c r="L38" i="37"/>
  <c r="L39" i="37" s="1"/>
  <c r="L43" i="37" s="1"/>
  <c r="K132" i="37"/>
  <c r="C132" i="33"/>
  <c r="D38" i="33"/>
  <c r="D46" i="33" s="1"/>
  <c r="K127" i="40"/>
  <c r="L29" i="40" s="1"/>
  <c r="C134" i="33"/>
  <c r="D37" i="33"/>
  <c r="L92" i="39" l="1"/>
  <c r="L94" i="39" s="1"/>
  <c r="L125" i="39" s="1"/>
  <c r="L46" i="37"/>
  <c r="L77" i="37" s="1"/>
  <c r="L116" i="37" s="1"/>
  <c r="L69" i="37"/>
  <c r="L115" i="37" s="1"/>
  <c r="L138" i="37" s="1"/>
  <c r="K129" i="40"/>
  <c r="K130" i="40"/>
  <c r="L42" i="37"/>
  <c r="L41" i="37"/>
  <c r="L40" i="37"/>
  <c r="L44" i="37"/>
  <c r="L52" i="37" s="1"/>
  <c r="L51" i="37" s="1"/>
  <c r="L50" i="39"/>
  <c r="L84" i="39"/>
  <c r="D39" i="33"/>
  <c r="L38" i="40" l="1"/>
  <c r="L46" i="40" s="1"/>
  <c r="L77" i="40" s="1"/>
  <c r="L116" i="40" s="1"/>
  <c r="K132" i="40"/>
  <c r="L37" i="40"/>
  <c r="K134" i="40"/>
  <c r="K131" i="40"/>
  <c r="K135" i="40" s="1"/>
  <c r="L85" i="39"/>
  <c r="L117" i="39" s="1"/>
  <c r="L76" i="39"/>
  <c r="L78" i="39" s="1"/>
  <c r="L123" i="39" s="1"/>
  <c r="L49" i="39"/>
  <c r="L92" i="37"/>
  <c r="L94" i="37" s="1"/>
  <c r="L125" i="37" s="1"/>
  <c r="L84" i="37"/>
  <c r="L50" i="37"/>
  <c r="D42" i="33"/>
  <c r="D43" i="33"/>
  <c r="D44" i="33"/>
  <c r="D40" i="33"/>
  <c r="D41" i="33"/>
  <c r="L39" i="40" l="1"/>
  <c r="L45" i="40" s="1"/>
  <c r="L100" i="40" s="1"/>
  <c r="L102" i="40" s="1"/>
  <c r="L126" i="40" s="1"/>
  <c r="L69" i="40"/>
  <c r="L115" i="40" s="1"/>
  <c r="L138" i="40" s="1"/>
  <c r="L86" i="39"/>
  <c r="L124" i="39" s="1"/>
  <c r="L48" i="39"/>
  <c r="L60" i="39" s="1"/>
  <c r="L68" i="39"/>
  <c r="L70" i="39" s="1"/>
  <c r="L122" i="39" s="1"/>
  <c r="L85" i="37"/>
  <c r="L117" i="37" s="1"/>
  <c r="L76" i="37"/>
  <c r="L78" i="37" s="1"/>
  <c r="L123" i="37" s="1"/>
  <c r="L49" i="37"/>
  <c r="D52" i="33"/>
  <c r="D92" i="33" s="1"/>
  <c r="L43" i="40" l="1"/>
  <c r="L44" i="40"/>
  <c r="L52" i="40" s="1"/>
  <c r="L51" i="40" s="1"/>
  <c r="L84" i="40" s="1"/>
  <c r="L41" i="40"/>
  <c r="L42" i="40"/>
  <c r="L40" i="40"/>
  <c r="L61" i="39"/>
  <c r="L114" i="39" s="1"/>
  <c r="L86" i="37"/>
  <c r="L124" i="37" s="1"/>
  <c r="L68" i="37"/>
  <c r="L70" i="37" s="1"/>
  <c r="L122" i="37" s="1"/>
  <c r="L48" i="37"/>
  <c r="L60" i="37" s="1"/>
  <c r="D51" i="33"/>
  <c r="D94" i="33"/>
  <c r="D125" i="33" s="1"/>
  <c r="E34" i="33" s="1"/>
  <c r="L50" i="40" l="1"/>
  <c r="L76" i="40" s="1"/>
  <c r="L78" i="40" s="1"/>
  <c r="L123" i="40" s="1"/>
  <c r="L92" i="40"/>
  <c r="L94" i="40" s="1"/>
  <c r="L125" i="40" s="1"/>
  <c r="L85" i="40"/>
  <c r="L117" i="40" s="1"/>
  <c r="L62" i="39"/>
  <c r="L121" i="39" s="1"/>
  <c r="L127" i="39" s="1"/>
  <c r="L129" i="39" s="1"/>
  <c r="L134" i="39" s="1"/>
  <c r="L61" i="37"/>
  <c r="L114" i="37" s="1"/>
  <c r="D50" i="33"/>
  <c r="D84" i="33"/>
  <c r="L49" i="40" l="1"/>
  <c r="L48" i="40" s="1"/>
  <c r="L60" i="40" s="1"/>
  <c r="L61" i="40" s="1"/>
  <c r="L114" i="40" s="1"/>
  <c r="L131" i="39"/>
  <c r="L135" i="39" s="1"/>
  <c r="L86" i="40"/>
  <c r="L124" i="40" s="1"/>
  <c r="L68" i="40"/>
  <c r="L70" i="40" s="1"/>
  <c r="L122" i="40" s="1"/>
  <c r="L130" i="39"/>
  <c r="L132" i="39" s="1"/>
  <c r="L62" i="37"/>
  <c r="L121" i="37" s="1"/>
  <c r="L127" i="37" s="1"/>
  <c r="D85" i="33"/>
  <c r="D117" i="33" s="1"/>
  <c r="D49" i="33"/>
  <c r="D76" i="33"/>
  <c r="L62" i="40" l="1"/>
  <c r="L121" i="40" s="1"/>
  <c r="L127" i="40" s="1"/>
  <c r="L129" i="40" s="1"/>
  <c r="L129" i="37"/>
  <c r="L134" i="37" s="1"/>
  <c r="L130" i="37"/>
  <c r="L132" i="37" s="1"/>
  <c r="D86" i="33"/>
  <c r="D124" i="33" s="1"/>
  <c r="E33" i="33" s="1"/>
  <c r="D116" i="33"/>
  <c r="D48" i="33"/>
  <c r="D68" i="33"/>
  <c r="D70" i="33" s="1"/>
  <c r="D122" i="33" s="1"/>
  <c r="L134" i="40" l="1"/>
  <c r="L131" i="40"/>
  <c r="L135" i="40" s="1"/>
  <c r="L131" i="37"/>
  <c r="L135" i="37" s="1"/>
  <c r="L130" i="40"/>
  <c r="L132" i="40" s="1"/>
  <c r="D78" i="33"/>
  <c r="D123" i="33" s="1"/>
  <c r="E32" i="33" s="1"/>
  <c r="E31" i="33"/>
  <c r="D60" i="33"/>
  <c r="D62" i="33" l="1"/>
  <c r="D121" i="33" s="1"/>
  <c r="E30" i="33" s="1"/>
  <c r="D127" i="33" l="1"/>
  <c r="E29" i="33" l="1"/>
  <c r="D129" i="33"/>
  <c r="D131" i="33" s="1"/>
  <c r="D135" i="33" s="1"/>
  <c r="D130" i="33"/>
  <c r="D132" i="33" s="1"/>
  <c r="E38" i="33" l="1"/>
  <c r="E46" i="33" s="1"/>
  <c r="D134" i="33"/>
  <c r="E37" i="33"/>
  <c r="E39" i="33" l="1"/>
  <c r="E40" i="33" s="1"/>
  <c r="E42" i="33" l="1"/>
  <c r="E44" i="33"/>
  <c r="E52" i="33" s="1"/>
  <c r="E92" i="33" s="1"/>
  <c r="E94" i="33" s="1"/>
  <c r="E125" i="33" s="1"/>
  <c r="F34" i="33" s="1"/>
  <c r="E41" i="33"/>
  <c r="E43" i="33"/>
  <c r="E51" i="33" l="1"/>
  <c r="E50" i="33" s="1"/>
  <c r="E76" i="33" s="1"/>
  <c r="E49" i="33" l="1"/>
  <c r="E48" i="33" s="1"/>
  <c r="E84" i="33"/>
  <c r="E85" i="33" s="1"/>
  <c r="E117" i="33" s="1"/>
  <c r="E116" i="33"/>
  <c r="E68" i="33" l="1"/>
  <c r="E70" i="33" s="1"/>
  <c r="E122" i="33" s="1"/>
  <c r="F31" i="33" s="1"/>
  <c r="E86" i="33"/>
  <c r="E124" i="33" s="1"/>
  <c r="F33" i="33" s="1"/>
  <c r="E78" i="33"/>
  <c r="E123" i="33" s="1"/>
  <c r="F32" i="33" s="1"/>
  <c r="E60" i="33"/>
  <c r="E62" i="33" s="1"/>
  <c r="E121" i="33" s="1"/>
  <c r="F30" i="33" s="1"/>
  <c r="E127" i="33" l="1"/>
  <c r="F29" i="33" l="1"/>
  <c r="E129" i="33"/>
  <c r="E131" i="33" s="1"/>
  <c r="E135" i="33" s="1"/>
  <c r="E130" i="33"/>
  <c r="E132" i="33" s="1"/>
  <c r="F38" i="33" l="1"/>
  <c r="F46" i="33" s="1"/>
  <c r="E134" i="33"/>
  <c r="F37" i="33"/>
  <c r="F39" i="33" s="1"/>
  <c r="F40" i="33" s="1"/>
  <c r="F41" i="33" l="1"/>
  <c r="F44" i="33"/>
  <c r="F52" i="33" s="1"/>
  <c r="F92" i="33" s="1"/>
  <c r="F42" i="33"/>
  <c r="F43" i="33"/>
  <c r="F51" i="33" l="1"/>
  <c r="F94" i="33"/>
  <c r="F125" i="33" s="1"/>
  <c r="G34" i="33" s="1"/>
  <c r="F50" i="33" l="1"/>
  <c r="F76" i="33" s="1"/>
  <c r="F84" i="33"/>
  <c r="F85" i="33" l="1"/>
  <c r="F117" i="33" s="1"/>
  <c r="F49" i="33"/>
  <c r="F86" i="33" l="1"/>
  <c r="F124" i="33" s="1"/>
  <c r="G33" i="33" s="1"/>
  <c r="F116" i="33"/>
  <c r="F48" i="33"/>
  <c r="F68" i="33"/>
  <c r="F70" i="33" s="1"/>
  <c r="F122" i="33" s="1"/>
  <c r="F78" i="33" l="1"/>
  <c r="F123" i="33" s="1"/>
  <c r="G32" i="33" s="1"/>
  <c r="G31" i="33"/>
  <c r="F60" i="33"/>
  <c r="F62" i="33" s="1"/>
  <c r="F121" i="33" s="1"/>
  <c r="G30" i="33" s="1"/>
  <c r="F127" i="33" l="1"/>
  <c r="G29" i="33" l="1"/>
  <c r="F129" i="33"/>
  <c r="F131" i="33" s="1"/>
  <c r="F135" i="33" s="1"/>
  <c r="F130" i="33"/>
  <c r="F132" i="33" s="1"/>
  <c r="G38" i="33" l="1"/>
  <c r="G46" i="33" s="1"/>
  <c r="F134" i="33"/>
  <c r="G37" i="33"/>
  <c r="G39" i="33" s="1"/>
  <c r="G42" i="33" s="1"/>
  <c r="G40" i="33" l="1"/>
  <c r="G44" i="33"/>
  <c r="G52" i="33" s="1"/>
  <c r="G92" i="33" s="1"/>
  <c r="G43" i="33"/>
  <c r="G41" i="33"/>
  <c r="G51" i="33" l="1"/>
  <c r="G94" i="33"/>
  <c r="G125" i="33" s="1"/>
  <c r="G50" i="33" l="1"/>
  <c r="G84" i="33"/>
  <c r="G85" i="33" l="1"/>
  <c r="G117" i="33" s="1"/>
  <c r="G49" i="33"/>
  <c r="G76" i="33"/>
  <c r="G86" i="33" l="1"/>
  <c r="G124" i="33" s="1"/>
  <c r="G116" i="33"/>
  <c r="G48" i="33"/>
  <c r="G68" i="33"/>
  <c r="G70" i="33" s="1"/>
  <c r="G122" i="33" s="1"/>
  <c r="G78" i="33" l="1"/>
  <c r="G123" i="33" s="1"/>
  <c r="G60" i="33"/>
  <c r="G62" i="33" s="1"/>
  <c r="G121" i="33" s="1"/>
  <c r="G127" i="33" l="1"/>
  <c r="G129" i="33" l="1"/>
  <c r="G131" i="33" s="1"/>
  <c r="G135" i="33" s="1"/>
  <c r="G130" i="33"/>
  <c r="G132" i="33" s="1"/>
  <c r="G134" i="33" l="1"/>
</calcChain>
</file>

<file path=xl/sharedStrings.xml><?xml version="1.0" encoding="utf-8"?>
<sst xmlns="http://schemas.openxmlformats.org/spreadsheetml/2006/main" count="1060" uniqueCount="331">
  <si>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</si>
  <si>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</si>
  <si>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</si>
  <si>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</si>
  <si>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</si>
  <si>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</si>
  <si>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</si>
  <si>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</si>
  <si>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</si>
  <si>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</si>
  <si>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</si>
  <si>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</si>
  <si>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</si>
  <si>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</si>
  <si>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</si>
  <si>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</si>
  <si>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</si>
  <si>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</si>
  <si>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</si>
  <si>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</si>
  <si>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</si>
  <si>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</si>
  <si>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</si>
  <si>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</si>
  <si>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</si>
  <si>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</si>
  <si>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</si>
  <si>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</si>
  <si>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</si>
  <si>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</si>
  <si>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</si>
  <si>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</si>
  <si>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</si>
  <si>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</si>
  <si>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</si>
  <si>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</si>
  <si>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</si>
  <si>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</si>
  <si>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</si>
  <si>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</si>
  <si>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</si>
  <si>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</si>
  <si>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</si>
  <si>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</si>
  <si>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</si>
  <si>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</si>
  <si>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</si>
  <si>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</si>
  <si>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</si>
  <si>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</si>
  <si>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</si>
  <si>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</si>
  <si>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</si>
  <si>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</si>
  <si>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</si>
  <si>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</si>
  <si>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</si>
  <si>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</si>
  <si>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</si>
  <si>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</si>
  <si>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</si>
  <si>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</si>
  <si>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</si>
  <si>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</si>
  <si>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</si>
  <si>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</si>
  <si>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</si>
  <si>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</si>
  <si>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</si>
  <si>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</si>
  <si>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</si>
  <si>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</si>
  <si>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</si>
  <si>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</si>
  <si>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</si>
  <si>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</si>
  <si>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</si>
  <si>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</si>
  <si>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</si>
  <si>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</si>
  <si>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</si>
  <si>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</si>
  <si>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</si>
  <si>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</si>
  <si>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</si>
  <si>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</si>
  <si>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</si>
  <si>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</si>
  <si>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</si>
  <si>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</si>
  <si>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</si>
  <si>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</si>
  <si>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</si>
  <si>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</si>
  <si>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</si>
  <si>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</si>
  <si>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</si>
  <si>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</si>
  <si>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</si>
  <si>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</si>
  <si>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</si>
  <si>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</si>
  <si>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</si>
  <si>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</si>
  <si>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</si>
  <si>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</si>
  <si>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</si>
  <si>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</si>
  <si>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</si>
  <si>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</si>
  <si>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</si>
  <si>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</si>
  <si>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</si>
  <si>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</si>
  <si>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</si>
  <si>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</si>
  <si>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</si>
  <si>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</si>
  <si>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</si>
  <si>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</si>
  <si>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</si>
  <si>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</si>
  <si>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</si>
  <si>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</si>
  <si>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</si>
  <si>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</si>
  <si>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</si>
  <si>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</si>
  <si>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</si>
  <si>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</si>
  <si>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</si>
  <si>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</si>
  <si>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</si>
  <si>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</si>
  <si>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</si>
  <si>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</si>
  <si>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</si>
  <si>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</si>
  <si>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</si>
  <si>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</si>
  <si>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</si>
  <si>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</si>
  <si>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</si>
  <si>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</si>
  <si>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</si>
  <si>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</si>
  <si>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</si>
  <si>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</si>
  <si>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Mohave &amp; Havasu Evap &amp; ET</t>
  </si>
  <si>
    <t>Colorado River Delta</t>
  </si>
  <si>
    <t>Sales (+) and Purchases (-) [in maf]</t>
  </si>
  <si>
    <t>Total ($ Mill)</t>
  </si>
  <si>
    <t>Define the Roles (water users), the person playing, and each user's strategy in Cells A5 to C11 (Up to 6 players):</t>
  </si>
  <si>
    <t>Law of River operations</t>
  </si>
  <si>
    <t>Regular 0.6 maf per year operation</t>
  </si>
  <si>
    <t>Law of River operations + sell a small amount to Delta</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</si>
  <si>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</si>
  <si>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</si>
  <si>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</si>
  <si>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</si>
  <si>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</si>
  <si>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</si>
  <si>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</si>
  <si>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</si>
  <si>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</si>
  <si>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</si>
  <si>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</si>
  <si>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</si>
  <si>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</si>
  <si>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</si>
  <si>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</si>
  <si>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</si>
  <si>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</si>
  <si>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</si>
  <si>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</si>
  <si>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</si>
  <si>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</si>
  <si>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</si>
  <si>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</si>
  <si>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</si>
  <si>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</si>
  <si>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</si>
  <si>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</si>
  <si>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</si>
  <si>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</si>
  <si>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</si>
  <si>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</si>
  <si>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11.6 maf initial, inflow is evap</t>
  </si>
  <si>
    <t>Political decision - Player chooses</t>
  </si>
  <si>
    <t>Combined Natural Inflow</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</si>
  <si>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</si>
  <si>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</si>
  <si>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</si>
  <si>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</si>
  <si>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</si>
  <si>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</si>
  <si>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</si>
  <si>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</si>
  <si>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</si>
  <si>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Law of River operations + purchase some from Upper Basin and Mexico to delay shortage onset</t>
  </si>
  <si>
    <t>Law of River operations + sell some to Lower Basin to build conservation ethic. Buy some from Mexico in depth of drought</t>
  </si>
  <si>
    <t>Law of River operations + sell some water to Lower and Upper basin during drought</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</si>
  <si>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</si>
  <si>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</si>
  <si>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</si>
  <si>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</si>
  <si>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</si>
  <si>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</si>
  <si>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</si>
  <si>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</si>
  <si>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When the workbook is moved into a Google sheet, role players representing the Upper Basin, Lower Basin, Mexico, and other parties can synchronously access and collaboratively use the tool. Players make their year-to-year water consumption and conservation decsions while they track other players' choices and monitor combined and individual reservoir storage.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</si>
  <si>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</si>
  <si>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</si>
  <si>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</si>
  <si>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Enter reservoir evaporation rates, storating storages, and protect elevations for Lake Powell and Lake Mead in Rows 21-23.</t>
  </si>
  <si>
    <t>Observe all sales and purchases, account withdrawals, end-of-year balances, and combined storage  in Rows 105 to 127).</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</si>
  <si>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</si>
  <si>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</si>
  <si>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</si>
  <si>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</si>
  <si>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</si>
  <si>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</si>
  <si>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</si>
  <si>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</si>
  <si>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</si>
  <si>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</si>
  <si>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</si>
  <si>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</si>
  <si>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Millennium drought Lake Powell natural inflow of 12.4 maf each year for Years 1-6. Then recover to 14.4 maf each year for Years 7-10.</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</si>
  <si>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</si>
  <si>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</si>
  <si>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</si>
  <si>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</si>
  <si>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</si>
  <si>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</si>
  <si>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</si>
  <si>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</si>
  <si>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</si>
  <si>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</si>
  <si>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</si>
  <si>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</si>
  <si>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</si>
  <si>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</si>
  <si>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</si>
  <si>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</si>
  <si>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</si>
  <si>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</si>
  <si>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3) Give each party an individual account in the combined reservoir system.</t>
  </si>
  <si>
    <t>5) Each party makes their individual water consumption and conservation decisions within their available water. Each party's available water is their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</si>
  <si>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simulataneously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</si>
  <si>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</si>
  <si>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</si>
  <si>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</si>
  <si>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</si>
  <si>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</si>
  <si>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</si>
  <si>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</si>
  <si>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</si>
  <si>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</si>
  <si>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</si>
  <si>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</si>
  <si>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</si>
  <si>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</si>
  <si>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</si>
  <si>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</si>
  <si>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</si>
  <si>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</si>
  <si>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</si>
  <si>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</si>
  <si>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</si>
  <si>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</si>
  <si>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</si>
  <si>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</si>
  <si>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</si>
  <si>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</si>
  <si>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</si>
  <si>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Allow players to change protect volume over time</t>
  </si>
  <si>
    <t>Add column to explain each item/where number came from</t>
  </si>
  <si>
    <t>Add column to give context to each choice/decision</t>
  </si>
  <si>
    <t>Account for join power revenues from Mead and Powell</t>
  </si>
  <si>
    <t>Why Mohave/Havasu account? Can this change to physical data?</t>
  </si>
  <si>
    <t>Revisit low flow year. Are these results for real?</t>
  </si>
  <si>
    <t>Decision Making under Deep Uncertainty for each player. Each player can explore their risk individually and separate from other's choices</t>
  </si>
  <si>
    <t>Think about adaptive management. What signposts? What vulnerability?</t>
  </si>
  <si>
    <t>Model Equalization rules in detail.</t>
  </si>
  <si>
    <r>
      <rPr>
        <b/>
        <sz val="11"/>
        <color theme="1"/>
        <rFont val="Calibri"/>
        <family val="2"/>
        <scheme val="minor"/>
      </rPr>
      <t>To use, f</t>
    </r>
    <r>
      <rPr>
        <sz val="11"/>
        <color theme="1"/>
        <rFont val="Calibri"/>
        <family val="2"/>
        <scheme val="minor"/>
      </rPr>
      <t>ollow the directions below. Use either solo (play all the parties) or with other people (each person playes one or more party).</t>
    </r>
  </si>
  <si>
    <t>On the new worksheet, name each role (party) and assign to a player (Rows 4-11). There can be up to 6 players. Leave a cell in Column A empty to exclude the party.</t>
  </si>
  <si>
    <r>
      <t xml:space="preserve">Specify a </t>
    </r>
    <r>
      <rPr>
        <b/>
        <sz val="11"/>
        <color theme="1"/>
        <rFont val="Calibri"/>
        <family val="2"/>
        <scheme val="minor"/>
      </rPr>
      <t>Hydrologic Scenario</t>
    </r>
    <r>
      <rPr>
        <sz val="11"/>
        <color theme="1"/>
        <rFont val="Calibri"/>
        <family val="2"/>
        <scheme val="minor"/>
      </rPr>
      <t xml:space="preserve"> in Row 18. A facilitator may or may not reveal the hydrologic scenario to the players. See HydrologicScenarios worksheet for some potential hydrologies.</t>
    </r>
  </si>
  <si>
    <r>
      <t xml:space="preserve">In Year 1, the Facilitator enters the </t>
    </r>
    <r>
      <rPr>
        <b/>
        <sz val="11"/>
        <color theme="1"/>
        <rFont val="Calibri"/>
        <family val="2"/>
        <scheme val="minor"/>
      </rPr>
      <t>natural inflow</t>
    </r>
    <r>
      <rPr>
        <sz val="11"/>
        <color theme="1"/>
        <rFont val="Calibri"/>
        <family val="2"/>
        <scheme val="minor"/>
      </rPr>
      <t xml:space="preserve"> to Lake Powell in Cell C27 and </t>
    </r>
    <r>
      <rPr>
        <b/>
        <sz val="11"/>
        <color theme="1"/>
        <rFont val="Calibri"/>
        <family val="2"/>
        <scheme val="minor"/>
      </rPr>
      <t>Grand Canyon tributary inflow</t>
    </r>
    <r>
      <rPr>
        <sz val="11"/>
        <color theme="1"/>
        <rFont val="Calibri"/>
        <family val="2"/>
        <scheme val="minor"/>
      </rPr>
      <t xml:space="preserve"> in Cell C28.</t>
    </r>
  </si>
  <si>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B52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</si>
  <si>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t>
    </r>
    <r>
      <rPr>
        <sz val="11"/>
        <color theme="1"/>
        <rFont val="Calibri"/>
        <family val="2"/>
        <scheme val="minor"/>
      </rPr>
      <t xml:space="preserve"> (Storage + Share of Inflow - Share of Evaporation + Purchases - Sales; e.g., Row 60).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Row 61). </t>
    </r>
  </si>
  <si>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128).</t>
    </r>
  </si>
  <si>
    <t>The tool calculates the physical storage in Lake Powell and Lake Mead. The tool calculates the Lake Powll release to achieve the storages (Rows 129 to 131).</t>
  </si>
  <si>
    <r>
      <rPr>
        <b/>
        <sz val="11"/>
        <color theme="1"/>
        <rFont val="Calibri"/>
        <family val="2"/>
        <scheme val="minor"/>
      </rPr>
      <t>Continue to Year 2</t>
    </r>
    <r>
      <rPr>
        <sz val="11"/>
        <color theme="1"/>
        <rFont val="Calibri"/>
        <family val="2"/>
        <scheme val="minor"/>
      </rPr>
      <t xml:space="preserve"> in Column D. Facilitator enters next natural inflow to Lake Powell in Cell D27 and Grand Canyon tributary flow in Cell D28.</t>
    </r>
  </si>
  <si>
    <r>
      <t xml:space="preserve">The purpose of this numerical model is to promote thought, discussion, and collaboration about the renegotiations of the 2007 Colorado River Interim Guidelines </t>
    </r>
    <r>
      <rPr>
        <sz val="11"/>
        <color theme="1"/>
        <rFont val="Calibri"/>
        <family val="2"/>
        <scheme val="minor"/>
      </rPr>
      <t>for Lower Basin Shortages and the Coordinated Operations for Lake Powell and Lake Mead and the</t>
    </r>
    <r>
      <rPr>
        <b/>
        <sz val="11"/>
        <color theme="1"/>
        <rFont val="Calibri"/>
        <family val="2"/>
        <scheme val="minor"/>
      </rPr>
      <t xml:space="preserve"> 2019 Lower and Upper Basin Drought Contingency Plans. </t>
    </r>
    <r>
      <rPr>
        <sz val="11"/>
        <color theme="1"/>
        <rFont val="Calibri"/>
        <family val="2"/>
        <scheme val="minor"/>
      </rPr>
      <t xml:space="preserve">The Interim Guidelines are available at https://www.usbr.gov/lc/region/programs/strategies/RecordofDecision.pdf. The Drought Contingency Plans are available at https://www.usbr.gov/dcp/finaldocs.html. </t>
    </r>
    <r>
      <rPr>
        <b/>
        <sz val="11"/>
        <color theme="1"/>
        <rFont val="Calibri"/>
        <family val="2"/>
        <scheme val="minor"/>
      </rPr>
      <t>The operations expire in 2026</t>
    </r>
    <r>
      <rPr>
        <sz val="11"/>
        <color theme="1"/>
        <rFont val="Calibri"/>
        <family val="2"/>
        <scheme val="minor"/>
      </rPr>
      <t>.</t>
    </r>
  </si>
  <si>
    <t>This numerical model illustrates these key changes to the Interim Guidelines and Drought Contingency Plans:</t>
  </si>
  <si>
    <t>Plots of Lower and Upper Basin Consumptive Use and Account Balances that compare results for 7.5-Trade and 7.5-LawOfRiver operations. Also a plot of combined storage.</t>
  </si>
  <si>
    <t>8.5-Trade</t>
  </si>
  <si>
    <t>8.5-LawOfRiver</t>
  </si>
  <si>
    <t>8.5-Plots</t>
  </si>
  <si>
    <t>A completed role play with Lee Ferry natural flows of 11.0, 9.0, and 8.5 maf per year in first three years.  Allows trades between users. Upper Basin sells to Lower Basin in Year 1 to spark conservation efforts in advance of curtailment and Upper Basin buys from Lower Basin in years 2 and 3. 8.5 maf is the flow when Upper Basin is curtailed (8.23 maf + Powell evaporation).</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</si>
  <si>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</si>
  <si>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</si>
  <si>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</si>
  <si>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Reclamation modeler</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</si>
  <si>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</si>
  <si>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</si>
  <si>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</si>
  <si>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</si>
  <si>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</si>
  <si>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</si>
  <si>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</si>
  <si>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increased relative abundance of native fishes in  western Grand Canyon, but other factors also likely  contribute to these trends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</si>
  <si>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</si>
  <si>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</si>
  <si>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</si>
  <si>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</si>
  <si>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</si>
  <si>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</si>
  <si>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</si>
  <si>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</si>
  <si>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 xml:space="preserve">     Temperature (oC) &amp; suitability for native fish</t>
  </si>
  <si>
    <t>&lt; 12</t>
  </si>
  <si>
    <t>&lt; 15</t>
  </si>
  <si>
    <t>&lt; 18</t>
  </si>
  <si>
    <t>&gt; 18</t>
  </si>
  <si>
    <t>See PowellRelease worksheet. Wheeler et al (2021). p.48, Sidebar #1. https://qcnr.usu.edu/coloradoriver/files/WhitePaper6.pdf</t>
  </si>
  <si>
    <t xml:space="preserve">     Temperature (oC) &amp; suitability for native fish (color)</t>
  </si>
  <si>
    <t>3.3.10</t>
  </si>
  <si>
    <t>7/26/20201</t>
  </si>
  <si>
    <t>Estimate Lake Powell temperature release from elevation. At bottom.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</si>
</sst>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s>
  <fills count="14">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rgb="FF7F7F7F"/>
      </left>
      <right/>
      <top/>
      <bottom/>
      <diagonal/>
    </border>
  </borders>
  <cellStyleXfs count="8">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cellStyleXfs>
  <cellXfs count="165">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164" fontId="5" fillId="5" borderId="0" xfId="6" applyNumberFormat="1" applyAlignment="1">
      <alignment horizontal="center"/>
    </xf>
    <xf numFmtId="0" fontId="5" fillId="5" borderId="0" xfId="6" applyAlignment="1">
      <alignment horizontal="center"/>
    </xf>
    <xf numFmtId="0" fontId="1" fillId="7" borderId="9" xfId="0" applyFont="1" applyFill="1" applyBorder="1"/>
    <xf numFmtId="0" fontId="1" fillId="7" borderId="9" xfId="0" applyFont="1" applyFill="1" applyBorder="1" applyAlignment="1">
      <alignment horizontal="center"/>
    </xf>
    <xf numFmtId="2" fontId="4" fillId="3" borderId="1" xfId="3" applyNumberFormat="1" applyAlignment="1">
      <alignment horizontal="center"/>
    </xf>
    <xf numFmtId="170"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170" fontId="5" fillId="5" borderId="0" xfId="5" applyNumberFormat="1" applyFont="1" applyFill="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2" fontId="5" fillId="5" borderId="0" xfId="6" applyNumberFormat="1" applyAlignment="1">
      <alignment horizontal="center"/>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67" fontId="4" fillId="3" borderId="1" xfId="4" applyNumberFormat="1" applyFont="1" applyFill="1" applyBorder="1" applyAlignment="1">
      <alignment horizontal="center"/>
    </xf>
    <xf numFmtId="167" fontId="5" fillId="5" borderId="1" xfId="6" applyNumberFormat="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0" fontId="1" fillId="6" borderId="0" xfId="0" applyFont="1" applyFill="1"/>
    <xf numFmtId="0" fontId="0" fillId="6" borderId="0" xfId="0" applyFill="1"/>
    <xf numFmtId="0" fontId="1" fillId="6" borderId="0" xfId="0" applyFont="1" applyFill="1" applyAlignment="1">
      <alignment horizontal="center"/>
    </xf>
    <xf numFmtId="0" fontId="1" fillId="8" borderId="0" xfId="0" applyFont="1" applyFill="1"/>
    <xf numFmtId="0" fontId="0" fillId="8" borderId="0" xfId="0" applyFill="1"/>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9" fontId="5" fillId="5" borderId="1" xfId="6" applyNumberFormat="1" applyBorder="1" applyAlignment="1">
      <alignment horizontal="center"/>
    </xf>
    <xf numFmtId="168" fontId="0" fillId="6" borderId="14" xfId="0" applyNumberFormat="1" applyFill="1" applyBorder="1" applyAlignment="1">
      <alignment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5" fillId="5" borderId="1" xfId="6" applyNumberFormat="1" applyBorder="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5" xfId="0" applyNumberFormat="1" applyFill="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1" fillId="10" borderId="9" xfId="0" applyFont="1" applyFill="1" applyBorder="1" applyAlignment="1">
      <alignment vertical="center" wrapText="1"/>
    </xf>
    <xf numFmtId="0" fontId="0" fillId="0" borderId="9" xfId="0" applyBorder="1" applyAlignment="1">
      <alignment wrapText="1"/>
    </xf>
    <xf numFmtId="0" fontId="0" fillId="0" borderId="0" xfId="0" applyAlignment="1">
      <alignment wrapText="1"/>
    </xf>
    <xf numFmtId="0" fontId="1" fillId="10" borderId="9" xfId="0" applyFont="1" applyFill="1" applyBorder="1" applyAlignment="1">
      <alignment horizontal="center" vertical="center" wrapText="1"/>
    </xf>
    <xf numFmtId="0" fontId="0" fillId="0" borderId="0" xfId="0" applyAlignment="1">
      <alignment vertical="top" wrapText="1"/>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 fillId="0" borderId="0" xfId="0" applyFont="1" applyAlignment="1">
      <alignment horizontal="left" vertical="top" wrapText="1"/>
    </xf>
    <xf numFmtId="0" fontId="3" fillId="2" borderId="16" xfId="2" applyBorder="1" applyAlignment="1">
      <alignment horizontal="left"/>
    </xf>
    <xf numFmtId="0" fontId="3" fillId="2" borderId="0" xfId="2" applyBorder="1" applyAlignment="1">
      <alignment horizontal="left"/>
    </xf>
    <xf numFmtId="0" fontId="5" fillId="5" borderId="9" xfId="6" applyBorder="1" applyAlignment="1">
      <alignment horizontal="left"/>
    </xf>
    <xf numFmtId="0" fontId="5" fillId="5" borderId="9" xfId="6"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3" fillId="2" borderId="9" xfId="2" applyBorder="1" applyAlignment="1">
      <alignment horizontal="center"/>
    </xf>
    <xf numFmtId="0" fontId="6" fillId="0" borderId="0" xfId="0" applyFont="1" applyAlignment="1">
      <alignment horizontal="center"/>
    </xf>
    <xf numFmtId="0" fontId="5" fillId="5" borderId="9" xfId="6" applyBorder="1" applyAlignment="1"/>
    <xf numFmtId="0" fontId="1" fillId="9" borderId="7" xfId="0" applyFont="1" applyFill="1" applyBorder="1" applyAlignment="1">
      <alignment horizontal="center"/>
    </xf>
    <xf numFmtId="0" fontId="3" fillId="2" borderId="1" xfId="2" applyAlignment="1">
      <alignment horizontal="center"/>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2" borderId="9" xfId="1" applyNumberFormat="1" applyFont="1" applyFill="1" applyBorder="1" applyAlignment="1">
      <alignment horizontal="center" vertical="top" wrapText="1"/>
    </xf>
    <xf numFmtId="0" fontId="0" fillId="12" borderId="9" xfId="0" applyFont="1" applyFill="1" applyBorder="1" applyAlignment="1">
      <alignment horizontal="center" vertical="top" wrapText="1"/>
    </xf>
    <xf numFmtId="0" fontId="0" fillId="12" borderId="9" xfId="0" applyFont="1" applyFill="1" applyBorder="1" applyAlignment="1">
      <alignment vertical="center" wrapText="1"/>
    </xf>
    <xf numFmtId="166" fontId="2" fillId="12" borderId="9" xfId="1" applyNumberFormat="1" applyFont="1" applyFill="1" applyBorder="1" applyAlignment="1">
      <alignment horizontal="center" vertical="top" wrapText="1"/>
    </xf>
    <xf numFmtId="0" fontId="2" fillId="12" borderId="9" xfId="0" applyFont="1" applyFill="1" applyBorder="1" applyAlignment="1">
      <alignment horizontal="center" vertical="top" wrapText="1"/>
    </xf>
    <xf numFmtId="0" fontId="2" fillId="12" borderId="9" xfId="0" applyFont="1" applyFill="1" applyBorder="1" applyAlignment="1">
      <alignment vertical="center" wrapText="1"/>
    </xf>
    <xf numFmtId="166" fontId="0" fillId="12" borderId="9" xfId="1" applyNumberFormat="1" applyFont="1" applyFill="1" applyBorder="1" applyAlignment="1">
      <alignment horizontal="center" vertical="top"/>
    </xf>
    <xf numFmtId="0" fontId="0" fillId="12" borderId="9" xfId="0" applyFill="1" applyBorder="1" applyAlignment="1">
      <alignment horizontal="center" vertical="top"/>
    </xf>
    <xf numFmtId="0" fontId="0" fillId="12"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13" borderId="9" xfId="1" applyNumberFormat="1" applyFont="1" applyFill="1" applyBorder="1" applyAlignment="1">
      <alignment horizontal="center" vertical="top"/>
    </xf>
    <xf numFmtId="0" fontId="0" fillId="13" borderId="9" xfId="0" applyFill="1" applyBorder="1" applyAlignment="1">
      <alignment horizontal="center" vertical="top"/>
    </xf>
    <xf numFmtId="0" fontId="0" fillId="13" borderId="9" xfId="0" applyFill="1" applyBorder="1" applyAlignment="1">
      <alignment vertical="top" wrapText="1"/>
    </xf>
    <xf numFmtId="0" fontId="0" fillId="13" borderId="9" xfId="0" applyFill="1" applyBorder="1" applyAlignment="1">
      <alignment horizontal="left" vertical="top" wrapText="1"/>
    </xf>
    <xf numFmtId="166" fontId="0" fillId="12" borderId="1" xfId="1" applyNumberFormat="1" applyFont="1" applyFill="1" applyBorder="1" applyAlignment="1">
      <alignment horizontal="center" vertical="top"/>
    </xf>
  </cellXfs>
  <cellStyles count="8">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53">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color rgb="FFFFC5C5"/>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'8.5-Trade'!$C$26:$G$26</c:f>
              <c:strCache>
                <c:ptCount val="5"/>
                <c:pt idx="0">
                  <c:v>Year 1</c:v>
                </c:pt>
                <c:pt idx="1">
                  <c:v>Year 2</c:v>
                </c:pt>
                <c:pt idx="2">
                  <c:v>Year 3</c:v>
                </c:pt>
                <c:pt idx="3">
                  <c:v>Year 4</c:v>
                </c:pt>
                <c:pt idx="4">
                  <c:v>Year 5</c:v>
                </c:pt>
              </c:strCache>
            </c:strRef>
          </c:cat>
          <c:val>
            <c:numRef>
              <c:f>'8.5-Trade'!$C$114:$G$114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'8.5-Trade'!$C$26:$G$26</c:f>
              <c:strCache>
                <c:ptCount val="5"/>
                <c:pt idx="0">
                  <c:v>Year 1</c:v>
                </c:pt>
                <c:pt idx="1">
                  <c:v>Year 2</c:v>
                </c:pt>
                <c:pt idx="2">
                  <c:v>Year 3</c:v>
                </c:pt>
                <c:pt idx="3">
                  <c:v>Year 4</c:v>
                </c:pt>
                <c:pt idx="4">
                  <c:v>Year 5</c:v>
                </c:pt>
              </c:strCache>
            </c:strRef>
          </c:cat>
          <c:val>
            <c:numRef>
              <c:f>'8.5-LawOfRiver'!$C$114:$G$114</c:f>
              <c:numCache>
                <c:formatCode>0.0</c:formatCode>
                <c:ptCount val="5"/>
                <c:pt idx="0">
                  <c:v>4.2</c:v>
                </c:pt>
                <c:pt idx="1">
                  <c:v>3.4672910663844712</c:v>
                </c:pt>
                <c:pt idx="2">
                  <c:v>0</c:v>
                </c:pt>
                <c:pt idx="3">
                  <c:v>0</c:v>
                </c:pt>
                <c:pt idx="4">
                  <c:v>3.1508502408108541E-3</c:v>
                </c:pt>
              </c:numCache>
            </c:numRef>
          </c:val>
          <c:smooth val="0"/>
          <c:extLst>
            <c:ext xmlns:c16="http://schemas.microsoft.com/office/drawing/2014/chart" uri="{C3380CC4-5D6E-409C-BE32-E72D297353CC}">
              <c16:uniqueId val="{00000000-CC4C-4AEA-B975-7C4A7FB55AED}"/>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7278-41EB-93C8-3B9552FEB94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3503138787144244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'8.5-Trade'!$C$26:$G$26</c:f>
              <c:strCache>
                <c:ptCount val="5"/>
                <c:pt idx="0">
                  <c:v>Year 1</c:v>
                </c:pt>
                <c:pt idx="1">
                  <c:v>Year 2</c:v>
                </c:pt>
                <c:pt idx="2">
                  <c:v>Year 3</c:v>
                </c:pt>
                <c:pt idx="3">
                  <c:v>Year 4</c:v>
                </c:pt>
                <c:pt idx="4">
                  <c:v>Year 5</c:v>
                </c:pt>
              </c:strCache>
            </c:strRef>
          </c:cat>
          <c:val>
            <c:numRef>
              <c:f>'8.5-Trade'!$C$30:$G$30</c:f>
              <c:numCache>
                <c:formatCode>0.0</c:formatCode>
                <c:ptCount val="5"/>
                <c:pt idx="0">
                  <c:v>5.0734237499999999</c:v>
                </c:pt>
                <c:pt idx="1">
                  <c:v>3.2233582945981318</c:v>
                </c:pt>
                <c:pt idx="2">
                  <c:v>1.2474557698953324</c:v>
                </c:pt>
                <c:pt idx="3">
                  <c:v>1.0607975732377293</c:v>
                </c:pt>
                <c:pt idx="4">
                  <c:v>0.46332738043578137</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'8.5-Trade'!$C$26:$G$26</c:f>
              <c:strCache>
                <c:ptCount val="5"/>
                <c:pt idx="0">
                  <c:v>Year 1</c:v>
                </c:pt>
                <c:pt idx="1">
                  <c:v>Year 2</c:v>
                </c:pt>
                <c:pt idx="2">
                  <c:v>Year 3</c:v>
                </c:pt>
                <c:pt idx="3">
                  <c:v>Year 4</c:v>
                </c:pt>
                <c:pt idx="4">
                  <c:v>Year 5</c:v>
                </c:pt>
              </c:strCache>
            </c:strRef>
          </c:cat>
          <c:val>
            <c:numRef>
              <c:f>'8.5-LawOfRiver'!$C$30:$G$30</c:f>
              <c:numCache>
                <c:formatCode>0.0</c:formatCode>
                <c:ptCount val="5"/>
                <c:pt idx="0">
                  <c:v>5.0734237499999999</c:v>
                </c:pt>
                <c:pt idx="1">
                  <c:v>3.1233582945981313</c:v>
                </c:pt>
                <c:pt idx="2">
                  <c:v>0</c:v>
                </c:pt>
                <c:pt idx="3">
                  <c:v>0</c:v>
                </c:pt>
                <c:pt idx="4">
                  <c:v>0</c:v>
                </c:pt>
              </c:numCache>
            </c:numRef>
          </c:val>
          <c:smooth val="0"/>
          <c:extLst>
            <c:ext xmlns:c16="http://schemas.microsoft.com/office/drawing/2014/chart" uri="{C3380CC4-5D6E-409C-BE32-E72D297353CC}">
              <c16:uniqueId val="{00000001-A243-4D6A-9A25-2CBF47155BF4}"/>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'Master-Today'!$C$121:$G$121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8A7-48E0-8C53-8B0F590BE0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'8.5-Trade'!$C$26:$G$26</c:f>
              <c:strCache>
                <c:ptCount val="5"/>
                <c:pt idx="0">
                  <c:v>Year 1</c:v>
                </c:pt>
                <c:pt idx="1">
                  <c:v>Year 2</c:v>
                </c:pt>
                <c:pt idx="2">
                  <c:v>Year 3</c:v>
                </c:pt>
                <c:pt idx="3">
                  <c:v>Year 4</c:v>
                </c:pt>
                <c:pt idx="4">
                  <c:v>Year 5</c:v>
                </c:pt>
              </c:strCache>
            </c:strRef>
          </c:cat>
          <c:val>
            <c:numRef>
              <c:f>'8.5-Trade'!$C$115:$G$115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prstDash val="dash"/>
              </a:ln>
              <a:effectLst/>
            </c:spPr>
          </c:marker>
          <c:cat>
            <c:strRef>
              <c:f>'8.5-Trade'!$C$26:$G$26</c:f>
              <c:strCache>
                <c:ptCount val="5"/>
                <c:pt idx="0">
                  <c:v>Year 1</c:v>
                </c:pt>
                <c:pt idx="1">
                  <c:v>Year 2</c:v>
                </c:pt>
                <c:pt idx="2">
                  <c:v>Year 3</c:v>
                </c:pt>
                <c:pt idx="3">
                  <c:v>Year 4</c:v>
                </c:pt>
                <c:pt idx="4">
                  <c:v>Year 5</c:v>
                </c:pt>
              </c:strCache>
            </c:strRef>
          </c:cat>
          <c:val>
            <c:numRef>
              <c:f>'8.5-LawOfRiver'!$C$115:$G$115</c:f>
              <c:numCache>
                <c:formatCode>0.0</c:formatCode>
                <c:ptCount val="5"/>
                <c:pt idx="0">
                  <c:v>7.2590000000000003</c:v>
                </c:pt>
                <c:pt idx="1">
                  <c:v>6.8870000000000005</c:v>
                </c:pt>
                <c:pt idx="2">
                  <c:v>6.8870000000000005</c:v>
                </c:pt>
                <c:pt idx="3">
                  <c:v>6.7789999999999999</c:v>
                </c:pt>
                <c:pt idx="4">
                  <c:v>6.4870000000000001</c:v>
                </c:pt>
              </c:numCache>
            </c:numRef>
          </c:val>
          <c:smooth val="0"/>
          <c:extLst>
            <c:ext xmlns:c16="http://schemas.microsoft.com/office/drawing/2014/chart" uri="{C3380CC4-5D6E-409C-BE32-E72D297353CC}">
              <c16:uniqueId val="{00000001-B987-46E0-BA8D-5A8EF0E19845}"/>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1564-4618-BB71-3D97C45459D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'8.5-Trade'!$C$26:$G$26</c:f>
              <c:strCache>
                <c:ptCount val="5"/>
                <c:pt idx="0">
                  <c:v>Year 1</c:v>
                </c:pt>
                <c:pt idx="1">
                  <c:v>Year 2</c:v>
                </c:pt>
                <c:pt idx="2">
                  <c:v>Year 3</c:v>
                </c:pt>
                <c:pt idx="3">
                  <c:v>Year 4</c:v>
                </c:pt>
                <c:pt idx="4">
                  <c:v>Year 5</c:v>
                </c:pt>
              </c:strCache>
            </c:strRef>
          </c:cat>
          <c:val>
            <c:numRef>
              <c:f>'8.5-LawOfRiver'!$C$31:$G$31</c:f>
              <c:numCache>
                <c:formatCode>0.0</c:formatCode>
                <c:ptCount val="5"/>
                <c:pt idx="0">
                  <c:v>4.2614069999999993</c:v>
                </c:pt>
                <c:pt idx="1">
                  <c:v>4.0083315344091641</c:v>
                </c:pt>
                <c:pt idx="2">
                  <c:v>3.6204249224669756</c:v>
                </c:pt>
                <c:pt idx="3">
                  <c:v>3.187751167579945</c:v>
                </c:pt>
                <c:pt idx="4">
                  <c:v>2.9013254160679924</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'8.5-Trade'!$C$26:$G$26</c:f>
              <c:strCache>
                <c:ptCount val="5"/>
                <c:pt idx="0">
                  <c:v>Year 1</c:v>
                </c:pt>
                <c:pt idx="1">
                  <c:v>Year 2</c:v>
                </c:pt>
                <c:pt idx="2">
                  <c:v>Year 3</c:v>
                </c:pt>
                <c:pt idx="3">
                  <c:v>Year 4</c:v>
                </c:pt>
                <c:pt idx="4">
                  <c:v>Year 5</c:v>
                </c:pt>
              </c:strCache>
            </c:strRef>
          </c:cat>
          <c:val>
            <c:numRef>
              <c:f>'8.5-Trade'!$C$31:$G$31</c:f>
              <c:numCache>
                <c:formatCode>0.0</c:formatCode>
                <c:ptCount val="5"/>
                <c:pt idx="0">
                  <c:v>4.2614069999999993</c:v>
                </c:pt>
                <c:pt idx="1">
                  <c:v>4.3506684655908359</c:v>
                </c:pt>
                <c:pt idx="2">
                  <c:v>3.4182393515752318</c:v>
                </c:pt>
                <c:pt idx="3">
                  <c:v>1.7144613702462808</c:v>
                </c:pt>
                <c:pt idx="4">
                  <c:v>1.7797333190881321</c:v>
                </c:pt>
              </c:numCache>
            </c:numRef>
          </c:val>
          <c:smooth val="0"/>
          <c:extLst>
            <c:ext xmlns:c16="http://schemas.microsoft.com/office/drawing/2014/chart" uri="{C3380CC4-5D6E-409C-BE32-E72D297353CC}">
              <c16:uniqueId val="{00000001-D877-4E0B-8DD9-991F585A264B}"/>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'Master-Today'!$C$122:$G$122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F28-4B7F-8C80-8CAA73CD13B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'8.5-Trade'!$C$26:$G$26</c:f>
              <c:strCache>
                <c:ptCount val="5"/>
                <c:pt idx="0">
                  <c:v>Year 1</c:v>
                </c:pt>
                <c:pt idx="1">
                  <c:v>Year 2</c:v>
                </c:pt>
                <c:pt idx="2">
                  <c:v>Year 3</c:v>
                </c:pt>
                <c:pt idx="3">
                  <c:v>Year 4</c:v>
                </c:pt>
                <c:pt idx="4">
                  <c:v>Year 5</c:v>
                </c:pt>
              </c:strCache>
            </c:strRef>
          </c:cat>
          <c:val>
            <c:numRef>
              <c:f>'8.5-Trade'!$C$29:$G$29</c:f>
              <c:numCache>
                <c:formatCode>0.0</c:formatCode>
                <c:ptCount val="5"/>
                <c:pt idx="0">
                  <c:v>21.1</c:v>
                </c:pt>
                <c:pt idx="1">
                  <c:v>19.278102320000027</c:v>
                </c:pt>
                <c:pt idx="2">
                  <c:v>16.611442566000605</c:v>
                </c:pt>
                <c:pt idx="3">
                  <c:v>14.515209246000605</c:v>
                </c:pt>
                <c:pt idx="4">
                  <c:v>13.887864038000608</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'8.5-Trade'!$C$26:$G$26</c:f>
              <c:strCache>
                <c:ptCount val="5"/>
                <c:pt idx="0">
                  <c:v>Year 1</c:v>
                </c:pt>
                <c:pt idx="1">
                  <c:v>Year 2</c:v>
                </c:pt>
                <c:pt idx="2">
                  <c:v>Year 3</c:v>
                </c:pt>
                <c:pt idx="3">
                  <c:v>Year 4</c:v>
                </c:pt>
                <c:pt idx="4">
                  <c:v>Year 5</c:v>
                </c:pt>
              </c:strCache>
            </c:strRef>
          </c:cat>
          <c:val>
            <c:numRef>
              <c:f>'8.5-LawOfRiver'!$C$29:$G$29</c:f>
              <c:numCache>
                <c:formatCode>0.0</c:formatCode>
                <c:ptCount val="5"/>
                <c:pt idx="0">
                  <c:v>21.1</c:v>
                </c:pt>
                <c:pt idx="1">
                  <c:v>18.888432055485019</c:v>
                </c:pt>
                <c:pt idx="2">
                  <c:v>15.368777979766044</c:v>
                </c:pt>
                <c:pt idx="3">
                  <c:v>14.927451853932684</c:v>
                </c:pt>
                <c:pt idx="4">
                  <c:v>14.632753840599921</c:v>
                </c:pt>
              </c:numCache>
            </c:numRef>
          </c:val>
          <c:smooth val="0"/>
          <c:extLst>
            <c:ext xmlns:c16="http://schemas.microsoft.com/office/drawing/2014/chart" uri="{C3380CC4-5D6E-409C-BE32-E72D297353CC}">
              <c16:uniqueId val="{00000001-146F-4E67-AE68-DB79AAE4A897}"/>
            </c:ext>
          </c:extLst>
        </c:ser>
        <c:ser>
          <c:idx val="3"/>
          <c:order val="2"/>
          <c:tx>
            <c:v>Today</c:v>
          </c:tx>
          <c:spPr>
            <a:ln w="19050" cap="rnd">
              <a:solidFill>
                <a:schemeClr val="accent4"/>
              </a:solidFill>
              <a:round/>
            </a:ln>
            <a:effectLst/>
          </c:spPr>
          <c:marker>
            <c:symbol val="circle"/>
            <c:size val="5"/>
            <c:spPr>
              <a:solidFill>
                <a:schemeClr val="accent4"/>
              </a:solidFill>
              <a:ln w="9525">
                <a:solidFill>
                  <a:schemeClr val="accent4"/>
                </a:solidFill>
              </a:ln>
              <a:effectLst/>
            </c:spPr>
          </c:marker>
          <c:val>
            <c:numRef>
              <c:f>'Master-Today'!$C$127:$G$127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3A8C-4656-B9D7-9E98885C06EB}"/>
            </c:ext>
          </c:extLst>
        </c:ser>
        <c:ser>
          <c:idx val="2"/>
          <c:order val="3"/>
          <c:tx>
            <c:strRef>
              <c:f>'8.5-Trade'!$A$10</c:f>
              <c:strCache>
                <c:ptCount val="1"/>
                <c:pt idx="0">
                  <c:v>Shared, Reserve</c:v>
                </c:pt>
              </c:strCache>
            </c:strRef>
          </c:tx>
          <c:spPr>
            <a:ln w="28575" cap="rnd">
              <a:solidFill>
                <a:schemeClr val="tx1"/>
              </a:solidFill>
              <a:prstDash val="lgDash"/>
              <a:round/>
            </a:ln>
            <a:effectLst/>
          </c:spPr>
          <c:marker>
            <c:symbol val="none"/>
          </c:marker>
          <c:val>
            <c:numRef>
              <c:f>'8.5-Trade'!$C$125:$G$125</c:f>
              <c:numCache>
                <c:formatCode>0.0</c:formatCode>
                <c:ptCount val="5"/>
                <c:pt idx="0">
                  <c:v>11.59116925</c:v>
                </c:pt>
                <c:pt idx="1">
                  <c:v>11.59116925</c:v>
                </c:pt>
                <c:pt idx="2">
                  <c:v>11.59116925</c:v>
                </c:pt>
                <c:pt idx="3">
                  <c:v>11.59116925</c:v>
                </c:pt>
                <c:pt idx="4">
                  <c:v>11.59116925</c:v>
                </c:pt>
              </c:numCache>
            </c:numRef>
          </c:val>
          <c:smooth val="0"/>
          <c:extLst>
            <c:ext xmlns:c16="http://schemas.microsoft.com/office/drawing/2014/chart" uri="{C3380CC4-5D6E-409C-BE32-E72D297353CC}">
              <c16:uniqueId val="{00000002-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3.1462888923762851</c:v>
                </c:pt>
                <c:pt idx="8">
                  <c:v>4.1664151356452086</c:v>
                </c:pt>
                <c:pt idx="9">
                  <c:v>5.1470726802877307</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circ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3.6462888923762851</c:v>
                </c:pt>
                <c:pt idx="8">
                  <c:v>5.1398151681361623</c:v>
                </c:pt>
                <c:pt idx="9">
                  <c:v>6.5701342123270718</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1.3176652403314169</c:v>
                </c:pt>
                <c:pt idx="8">
                  <c:v>1.0480741430616689</c:v>
                </c:pt>
                <c:pt idx="9">
                  <c:v>0.80299386586720889</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triang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1.8176652403314169</c:v>
                </c:pt>
                <c:pt idx="8">
                  <c:v>2.0214741755526227</c:v>
                </c:pt>
                <c:pt idx="9">
                  <c:v>2.2260553979065509</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606716</xdr:colOff>
      <xdr:row>3</xdr:row>
      <xdr:rowOff>41648</xdr:rowOff>
    </xdr:from>
    <xdr:to>
      <xdr:col>12</xdr:col>
      <xdr:colOff>473285</xdr:colOff>
      <xdr:row>9</xdr:row>
      <xdr:rowOff>92360</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6136819" y="579530"/>
          <a:ext cx="4752334" cy="4286536"/>
        </a:xfrm>
        <a:prstGeom prst="rect">
          <a:avLst/>
        </a:prstGeom>
        <a:ln w="12700">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59"/>
  <sheetViews>
    <sheetView topLeftCell="A28" zoomScale="150" zoomScaleNormal="150" workbookViewId="0">
      <selection activeCell="C39" sqref="C39"/>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218</v>
      </c>
      <c r="B1" s="1"/>
      <c r="C1" s="2"/>
      <c r="D1"/>
    </row>
    <row r="2" spans="1:12" x14ac:dyDescent="0.35">
      <c r="A2" s="1"/>
      <c r="B2" s="1"/>
      <c r="C2" s="2"/>
      <c r="D2"/>
    </row>
    <row r="3" spans="1:12" x14ac:dyDescent="0.35">
      <c r="A3" s="1" t="s">
        <v>251</v>
      </c>
      <c r="B3" s="1"/>
      <c r="C3" s="2"/>
      <c r="D3"/>
    </row>
    <row r="4" spans="1:12" s="109" customFormat="1" ht="79.5" customHeight="1" x14ac:dyDescent="0.35">
      <c r="A4" s="127" t="s">
        <v>294</v>
      </c>
      <c r="B4" s="127"/>
      <c r="C4" s="127"/>
      <c r="D4" s="127"/>
      <c r="E4" s="127"/>
      <c r="F4" s="127"/>
      <c r="G4" s="127"/>
      <c r="H4" s="127"/>
      <c r="I4" s="127"/>
      <c r="J4" s="127"/>
      <c r="K4" s="127"/>
      <c r="L4" s="127"/>
    </row>
    <row r="5" spans="1:12" s="32" customFormat="1" ht="16" customHeight="1" x14ac:dyDescent="0.35">
      <c r="A5" s="116" t="s">
        <v>295</v>
      </c>
      <c r="B5" s="116"/>
      <c r="C5" s="116"/>
      <c r="D5" s="116"/>
      <c r="E5" s="116"/>
      <c r="F5" s="116"/>
      <c r="G5" s="116"/>
      <c r="H5" s="116"/>
      <c r="I5" s="116"/>
      <c r="J5" s="116"/>
      <c r="K5" s="116"/>
      <c r="L5" s="116"/>
    </row>
    <row r="6" spans="1:12" s="32" customFormat="1" ht="32.5" customHeight="1" x14ac:dyDescent="0.35">
      <c r="A6" s="116" t="s">
        <v>244</v>
      </c>
      <c r="B6" s="116"/>
      <c r="C6" s="116"/>
      <c r="D6" s="116"/>
      <c r="E6" s="116"/>
      <c r="F6" s="116"/>
      <c r="G6" s="116"/>
      <c r="H6" s="116"/>
      <c r="I6" s="116"/>
      <c r="J6" s="116"/>
      <c r="K6" s="116"/>
      <c r="L6" s="116"/>
    </row>
    <row r="7" spans="1:12" s="32" customFormat="1" ht="32.5" customHeight="1" x14ac:dyDescent="0.35">
      <c r="A7" s="116" t="s">
        <v>246</v>
      </c>
      <c r="B7" s="116"/>
      <c r="C7" s="116"/>
      <c r="D7" s="116"/>
      <c r="E7" s="116"/>
      <c r="F7" s="116"/>
      <c r="G7" s="116"/>
      <c r="H7" s="116"/>
      <c r="I7" s="116"/>
      <c r="J7" s="116"/>
      <c r="K7" s="116"/>
      <c r="L7" s="116"/>
    </row>
    <row r="8" spans="1:12" s="32" customFormat="1" ht="16.5" customHeight="1" x14ac:dyDescent="0.35">
      <c r="A8" s="116" t="s">
        <v>247</v>
      </c>
      <c r="B8" s="116"/>
      <c r="C8" s="116"/>
      <c r="D8" s="116"/>
      <c r="E8" s="116"/>
      <c r="F8" s="116"/>
      <c r="G8" s="116"/>
      <c r="H8" s="116"/>
      <c r="I8" s="116"/>
      <c r="J8" s="116"/>
      <c r="K8" s="116"/>
      <c r="L8" s="116"/>
    </row>
    <row r="9" spans="1:12" s="32" customFormat="1" ht="15" customHeight="1" x14ac:dyDescent="0.35">
      <c r="A9" s="116" t="s">
        <v>252</v>
      </c>
      <c r="B9" s="116"/>
      <c r="C9" s="116"/>
      <c r="D9" s="116"/>
      <c r="E9" s="116"/>
      <c r="F9" s="116"/>
      <c r="G9" s="116"/>
      <c r="H9" s="116"/>
      <c r="I9" s="116"/>
      <c r="J9" s="116"/>
      <c r="K9" s="116"/>
      <c r="L9" s="116"/>
    </row>
    <row r="10" spans="1:12" s="32" customFormat="1" ht="30" customHeight="1" x14ac:dyDescent="0.35">
      <c r="A10" s="116" t="s">
        <v>248</v>
      </c>
      <c r="B10" s="116"/>
      <c r="C10" s="116"/>
      <c r="D10" s="116"/>
      <c r="E10" s="116"/>
      <c r="F10" s="116"/>
      <c r="G10" s="116"/>
      <c r="H10" s="116"/>
      <c r="I10" s="116"/>
      <c r="J10" s="116"/>
      <c r="K10" s="116"/>
      <c r="L10" s="116"/>
    </row>
    <row r="11" spans="1:12" ht="69" customHeight="1" x14ac:dyDescent="0.35">
      <c r="A11" s="116" t="s">
        <v>249</v>
      </c>
      <c r="B11" s="116"/>
      <c r="C11" s="116"/>
      <c r="D11" s="116"/>
      <c r="E11" s="116"/>
      <c r="F11" s="116"/>
      <c r="G11" s="116"/>
      <c r="H11" s="116"/>
      <c r="I11" s="116"/>
      <c r="J11" s="116"/>
      <c r="K11" s="116"/>
      <c r="L11" s="116"/>
    </row>
    <row r="12" spans="1:12" ht="50.5" customHeight="1" x14ac:dyDescent="0.35">
      <c r="A12" s="116" t="s">
        <v>210</v>
      </c>
      <c r="B12" s="116"/>
      <c r="C12" s="116"/>
      <c r="D12" s="116"/>
      <c r="E12" s="116"/>
      <c r="F12" s="116"/>
      <c r="G12" s="116"/>
      <c r="H12" s="116"/>
      <c r="I12" s="116"/>
      <c r="J12" s="116"/>
      <c r="K12" s="116"/>
      <c r="L12" s="116"/>
    </row>
    <row r="13" spans="1:12" ht="48.5" customHeight="1" x14ac:dyDescent="0.35">
      <c r="A13" s="116" t="s">
        <v>211</v>
      </c>
      <c r="B13" s="116"/>
      <c r="C13" s="116"/>
      <c r="D13" s="116"/>
      <c r="E13" s="116"/>
      <c r="F13" s="116"/>
      <c r="G13" s="116"/>
      <c r="H13" s="116"/>
      <c r="I13" s="116"/>
      <c r="J13" s="116"/>
      <c r="K13" s="116"/>
      <c r="L13" s="116"/>
    </row>
    <row r="14" spans="1:12" ht="15.5" customHeight="1" x14ac:dyDescent="0.35">
      <c r="A14" s="116" t="s">
        <v>285</v>
      </c>
      <c r="B14" s="116"/>
      <c r="C14" s="116"/>
      <c r="D14" s="116"/>
      <c r="E14" s="116"/>
      <c r="F14" s="116"/>
      <c r="G14" s="116"/>
      <c r="H14" s="116"/>
      <c r="I14" s="116"/>
      <c r="J14" s="116"/>
      <c r="K14" s="116"/>
      <c r="L14" s="116"/>
    </row>
    <row r="15" spans="1:12" x14ac:dyDescent="0.35">
      <c r="B15" s="15"/>
      <c r="C15" s="15"/>
      <c r="D15" s="15"/>
      <c r="E15" s="15"/>
      <c r="F15" s="15"/>
      <c r="G15" s="15"/>
      <c r="H15" s="15"/>
      <c r="I15" s="15"/>
      <c r="J15" s="15"/>
      <c r="K15" s="15"/>
      <c r="L15" s="15"/>
    </row>
    <row r="16" spans="1:12" ht="16.5" customHeight="1" x14ac:dyDescent="0.35">
      <c r="A16" s="118" t="s">
        <v>212</v>
      </c>
      <c r="B16" s="119"/>
      <c r="C16" s="119"/>
      <c r="D16" s="119"/>
      <c r="E16" s="119"/>
      <c r="F16" s="119"/>
      <c r="G16" s="119"/>
      <c r="H16" s="119"/>
      <c r="I16" s="119"/>
      <c r="J16" s="119"/>
      <c r="K16" s="119"/>
      <c r="L16" s="120"/>
    </row>
    <row r="17" spans="1:12" ht="16.5" customHeight="1" x14ac:dyDescent="0.35">
      <c r="A17" s="28">
        <v>1</v>
      </c>
      <c r="B17" s="121" t="s">
        <v>142</v>
      </c>
      <c r="C17" s="121"/>
      <c r="D17" s="121"/>
      <c r="E17" s="121"/>
      <c r="F17" s="121"/>
      <c r="G17" s="121"/>
      <c r="H17" s="121"/>
      <c r="I17" s="121"/>
      <c r="J17" s="121"/>
      <c r="K17" s="121"/>
      <c r="L17" s="122"/>
    </row>
    <row r="18" spans="1:12" ht="16.5" customHeight="1" x14ac:dyDescent="0.35">
      <c r="A18" s="28">
        <v>2</v>
      </c>
      <c r="B18" s="121" t="s">
        <v>213</v>
      </c>
      <c r="C18" s="121"/>
      <c r="D18" s="121"/>
      <c r="E18" s="121"/>
      <c r="F18" s="121"/>
      <c r="G18" s="121"/>
      <c r="H18" s="121"/>
      <c r="I18" s="121"/>
      <c r="J18" s="121"/>
      <c r="K18" s="121"/>
      <c r="L18" s="122"/>
    </row>
    <row r="19" spans="1:12" ht="16.5" customHeight="1" x14ac:dyDescent="0.35">
      <c r="A19" s="28">
        <v>3</v>
      </c>
      <c r="B19" s="121" t="s">
        <v>92</v>
      </c>
      <c r="C19" s="121"/>
      <c r="D19" s="121"/>
      <c r="E19" s="121"/>
      <c r="F19" s="121"/>
      <c r="G19" s="121"/>
      <c r="H19" s="121"/>
      <c r="I19" s="121"/>
      <c r="J19" s="121"/>
      <c r="K19" s="121"/>
      <c r="L19" s="122"/>
    </row>
    <row r="20" spans="1:12" ht="32.5" customHeight="1" x14ac:dyDescent="0.35">
      <c r="A20" s="28">
        <v>4</v>
      </c>
      <c r="B20" s="121" t="s">
        <v>286</v>
      </c>
      <c r="C20" s="121"/>
      <c r="D20" s="121"/>
      <c r="E20" s="121"/>
      <c r="F20" s="121"/>
      <c r="G20" s="121"/>
      <c r="H20" s="121"/>
      <c r="I20" s="121"/>
      <c r="J20" s="121"/>
      <c r="K20" s="121"/>
      <c r="L20" s="122"/>
    </row>
    <row r="21" spans="1:12" ht="29" customHeight="1" x14ac:dyDescent="0.35">
      <c r="A21" s="28">
        <v>5</v>
      </c>
      <c r="B21" s="121" t="s">
        <v>287</v>
      </c>
      <c r="C21" s="121"/>
      <c r="D21" s="121"/>
      <c r="E21" s="121"/>
      <c r="F21" s="121"/>
      <c r="G21" s="121"/>
      <c r="H21" s="121"/>
      <c r="I21" s="121"/>
      <c r="J21" s="121"/>
      <c r="K21" s="121"/>
      <c r="L21" s="122"/>
    </row>
    <row r="22" spans="1:12" ht="16.5" customHeight="1" x14ac:dyDescent="0.35">
      <c r="A22" s="28">
        <v>6</v>
      </c>
      <c r="B22" s="121" t="s">
        <v>214</v>
      </c>
      <c r="C22" s="121"/>
      <c r="D22" s="121"/>
      <c r="E22" s="121"/>
      <c r="F22" s="121"/>
      <c r="G22" s="121"/>
      <c r="H22" s="121"/>
      <c r="I22" s="121"/>
      <c r="J22" s="121"/>
      <c r="K22" s="121"/>
      <c r="L22" s="122"/>
    </row>
    <row r="23" spans="1:12" ht="17.5" customHeight="1" x14ac:dyDescent="0.35">
      <c r="A23" s="28">
        <v>7</v>
      </c>
      <c r="B23" s="121" t="s">
        <v>288</v>
      </c>
      <c r="C23" s="121"/>
      <c r="D23" s="121"/>
      <c r="E23" s="121"/>
      <c r="F23" s="121"/>
      <c r="G23" s="121"/>
      <c r="H23" s="121"/>
      <c r="I23" s="121"/>
      <c r="J23" s="121"/>
      <c r="K23" s="121"/>
      <c r="L23" s="122"/>
    </row>
    <row r="24" spans="1:12" ht="31.5" customHeight="1" x14ac:dyDescent="0.35">
      <c r="A24" s="28">
        <v>8</v>
      </c>
      <c r="B24" s="121" t="s">
        <v>289</v>
      </c>
      <c r="C24" s="121"/>
      <c r="D24" s="121"/>
      <c r="E24" s="121"/>
      <c r="F24" s="121"/>
      <c r="G24" s="121"/>
      <c r="H24" s="121"/>
      <c r="I24" s="121"/>
      <c r="J24" s="121"/>
      <c r="K24" s="121"/>
      <c r="L24" s="122"/>
    </row>
    <row r="25" spans="1:12" ht="60.5" customHeight="1" x14ac:dyDescent="0.35">
      <c r="A25" s="28">
        <v>10</v>
      </c>
      <c r="B25" s="121" t="s">
        <v>290</v>
      </c>
      <c r="C25" s="121"/>
      <c r="D25" s="121"/>
      <c r="E25" s="121"/>
      <c r="F25" s="121"/>
      <c r="G25" s="121"/>
      <c r="H25" s="121"/>
      <c r="I25" s="121"/>
      <c r="J25" s="121"/>
      <c r="K25" s="121"/>
      <c r="L25" s="122"/>
    </row>
    <row r="26" spans="1:12" ht="16.5" customHeight="1" x14ac:dyDescent="0.35">
      <c r="A26" s="28">
        <v>11</v>
      </c>
      <c r="B26" s="121" t="s">
        <v>215</v>
      </c>
      <c r="C26" s="121"/>
      <c r="D26" s="121"/>
      <c r="E26" s="121"/>
      <c r="F26" s="121"/>
      <c r="G26" s="121"/>
      <c r="H26" s="121"/>
      <c r="I26" s="121"/>
      <c r="J26" s="121"/>
      <c r="K26" s="121"/>
      <c r="L26" s="122"/>
    </row>
    <row r="27" spans="1:12" ht="16.5" customHeight="1" x14ac:dyDescent="0.35">
      <c r="A27" s="28">
        <v>12</v>
      </c>
      <c r="B27" s="121" t="s">
        <v>291</v>
      </c>
      <c r="C27" s="121"/>
      <c r="D27" s="121"/>
      <c r="E27" s="121"/>
      <c r="F27" s="121"/>
      <c r="G27" s="121"/>
      <c r="H27" s="121"/>
      <c r="I27" s="121"/>
      <c r="J27" s="121"/>
      <c r="K27" s="121"/>
      <c r="L27" s="122"/>
    </row>
    <row r="28" spans="1:12" ht="32" customHeight="1" x14ac:dyDescent="0.35">
      <c r="A28" s="28">
        <v>13</v>
      </c>
      <c r="B28" s="121" t="s">
        <v>292</v>
      </c>
      <c r="C28" s="121"/>
      <c r="D28" s="121"/>
      <c r="E28" s="121"/>
      <c r="F28" s="121"/>
      <c r="G28" s="121"/>
      <c r="H28" s="121"/>
      <c r="I28" s="121"/>
      <c r="J28" s="121"/>
      <c r="K28" s="121"/>
      <c r="L28" s="122"/>
    </row>
    <row r="29" spans="1:12" ht="16.5" customHeight="1" x14ac:dyDescent="0.35">
      <c r="A29" s="28">
        <v>14</v>
      </c>
      <c r="B29" s="121" t="s">
        <v>293</v>
      </c>
      <c r="C29" s="121"/>
      <c r="D29" s="121"/>
      <c r="E29" s="121"/>
      <c r="F29" s="121"/>
      <c r="G29" s="121"/>
      <c r="H29" s="121"/>
      <c r="I29" s="121"/>
      <c r="J29" s="121"/>
      <c r="K29" s="121"/>
      <c r="L29" s="122"/>
    </row>
    <row r="30" spans="1:12" ht="16.5" customHeight="1" x14ac:dyDescent="0.35">
      <c r="A30" s="28">
        <v>15</v>
      </c>
      <c r="B30" s="123" t="s">
        <v>216</v>
      </c>
      <c r="C30" s="123"/>
      <c r="D30" s="123"/>
      <c r="E30" s="123"/>
      <c r="F30" s="123"/>
      <c r="G30" s="123"/>
      <c r="H30" s="123"/>
      <c r="I30" s="123"/>
      <c r="J30" s="123"/>
      <c r="K30" s="123"/>
      <c r="L30" s="124"/>
    </row>
    <row r="31" spans="1:12" ht="32" customHeight="1" x14ac:dyDescent="0.35">
      <c r="A31" s="28">
        <v>16</v>
      </c>
      <c r="B31" s="121" t="s">
        <v>217</v>
      </c>
      <c r="C31" s="121"/>
      <c r="D31" s="121"/>
      <c r="E31" s="121"/>
      <c r="F31" s="121"/>
      <c r="G31" s="121"/>
      <c r="H31" s="121"/>
      <c r="I31" s="121"/>
      <c r="J31" s="121"/>
      <c r="K31" s="121"/>
      <c r="L31" s="122"/>
    </row>
    <row r="32" spans="1:12" ht="31" customHeight="1" x14ac:dyDescent="0.35">
      <c r="A32" s="88">
        <v>17</v>
      </c>
      <c r="B32" s="125" t="s">
        <v>220</v>
      </c>
      <c r="C32" s="125"/>
      <c r="D32" s="125"/>
      <c r="E32" s="125"/>
      <c r="F32" s="125"/>
      <c r="G32" s="125"/>
      <c r="H32" s="125"/>
      <c r="I32" s="125"/>
      <c r="J32" s="125"/>
      <c r="K32" s="125"/>
      <c r="L32" s="126"/>
    </row>
    <row r="33" spans="1:12" x14ac:dyDescent="0.35">
      <c r="B33" s="26"/>
      <c r="C33" s="26"/>
      <c r="D33" s="26"/>
      <c r="E33" s="26"/>
      <c r="F33" s="26"/>
      <c r="G33" s="26"/>
      <c r="H33" s="26"/>
      <c r="I33" s="26"/>
      <c r="J33" s="26"/>
      <c r="K33" s="26"/>
      <c r="L33" s="26"/>
    </row>
    <row r="34" spans="1:12" x14ac:dyDescent="0.35">
      <c r="A34" s="1" t="s">
        <v>93</v>
      </c>
    </row>
    <row r="35" spans="1:12" x14ac:dyDescent="0.35">
      <c r="B35" s="2" t="s">
        <v>94</v>
      </c>
      <c r="C35" t="s">
        <v>158</v>
      </c>
    </row>
    <row r="36" spans="1:12" x14ac:dyDescent="0.35">
      <c r="B36" s="2" t="s">
        <v>161</v>
      </c>
      <c r="C36" t="s">
        <v>209</v>
      </c>
    </row>
    <row r="37" spans="1:12" x14ac:dyDescent="0.35">
      <c r="B37" s="2" t="s">
        <v>297</v>
      </c>
      <c r="C37" t="s">
        <v>300</v>
      </c>
    </row>
    <row r="38" spans="1:12" x14ac:dyDescent="0.35">
      <c r="B38" s="2" t="s">
        <v>298</v>
      </c>
      <c r="C38" t="s">
        <v>301</v>
      </c>
    </row>
    <row r="39" spans="1:12" x14ac:dyDescent="0.35">
      <c r="B39" s="2" t="s">
        <v>299</v>
      </c>
      <c r="C39" t="s">
        <v>296</v>
      </c>
    </row>
    <row r="40" spans="1:12" x14ac:dyDescent="0.35">
      <c r="B40" s="2" t="s">
        <v>232</v>
      </c>
      <c r="C40" t="s">
        <v>234</v>
      </c>
    </row>
    <row r="41" spans="1:12" x14ac:dyDescent="0.35">
      <c r="B41" s="2" t="s">
        <v>233</v>
      </c>
      <c r="C41" t="s">
        <v>143</v>
      </c>
    </row>
    <row r="42" spans="1:12" x14ac:dyDescent="0.35">
      <c r="B42" s="2" t="s">
        <v>159</v>
      </c>
      <c r="C42" t="s">
        <v>235</v>
      </c>
    </row>
    <row r="43" spans="1:12" x14ac:dyDescent="0.35">
      <c r="B43" s="2" t="s">
        <v>236</v>
      </c>
      <c r="C43" t="s">
        <v>237</v>
      </c>
    </row>
    <row r="44" spans="1:12" x14ac:dyDescent="0.35">
      <c r="B44" s="2" t="s">
        <v>270</v>
      </c>
      <c r="C44" t="s">
        <v>271</v>
      </c>
    </row>
    <row r="45" spans="1:12" x14ac:dyDescent="0.35">
      <c r="B45" s="2" t="s">
        <v>95</v>
      </c>
      <c r="C45" t="s">
        <v>96</v>
      </c>
    </row>
    <row r="46" spans="1:12" x14ac:dyDescent="0.35">
      <c r="B46" s="2" t="s">
        <v>97</v>
      </c>
      <c r="C46" t="s">
        <v>98</v>
      </c>
    </row>
    <row r="47" spans="1:12" x14ac:dyDescent="0.35">
      <c r="B47" s="2" t="s">
        <v>144</v>
      </c>
      <c r="C47" t="s">
        <v>145</v>
      </c>
    </row>
    <row r="49" spans="1:12" x14ac:dyDescent="0.35">
      <c r="A49" s="1" t="s">
        <v>222</v>
      </c>
    </row>
    <row r="50" spans="1:12" x14ac:dyDescent="0.35">
      <c r="A50" t="s">
        <v>223</v>
      </c>
    </row>
    <row r="51" spans="1:12" x14ac:dyDescent="0.35">
      <c r="A51" t="s">
        <v>224</v>
      </c>
    </row>
    <row r="52" spans="1:12" x14ac:dyDescent="0.35">
      <c r="A52" s="92" t="s">
        <v>225</v>
      </c>
    </row>
    <row r="53" spans="1:12" x14ac:dyDescent="0.35">
      <c r="A53" s="92" t="s">
        <v>227</v>
      </c>
    </row>
    <row r="54" spans="1:12" x14ac:dyDescent="0.35">
      <c r="A54" s="92"/>
    </row>
    <row r="55" spans="1:12" x14ac:dyDescent="0.35">
      <c r="A55" s="1" t="s">
        <v>226</v>
      </c>
    </row>
    <row r="56" spans="1:12" x14ac:dyDescent="0.35">
      <c r="A56" t="s">
        <v>250</v>
      </c>
    </row>
    <row r="58" spans="1:12" ht="16" customHeight="1" x14ac:dyDescent="0.35">
      <c r="A58" s="1" t="s">
        <v>49</v>
      </c>
    </row>
    <row r="59" spans="1:12" x14ac:dyDescent="0.35">
      <c r="A59" s="117" t="s">
        <v>245</v>
      </c>
      <c r="B59" s="117"/>
      <c r="C59" s="117"/>
      <c r="D59" s="117"/>
      <c r="E59" s="117"/>
      <c r="F59" s="117"/>
      <c r="G59" s="117"/>
      <c r="H59" s="117"/>
      <c r="I59" s="117"/>
      <c r="J59" s="117"/>
      <c r="K59" s="117"/>
      <c r="L59" s="117"/>
    </row>
  </sheetData>
  <mergeCells count="29">
    <mergeCell ref="A4:L4"/>
    <mergeCell ref="B18:L18"/>
    <mergeCell ref="B28:L28"/>
    <mergeCell ref="B20:L20"/>
    <mergeCell ref="B22:L22"/>
    <mergeCell ref="B23:L23"/>
    <mergeCell ref="B24:L24"/>
    <mergeCell ref="B27:L27"/>
    <mergeCell ref="A5:L5"/>
    <mergeCell ref="A11:L11"/>
    <mergeCell ref="A14:L14"/>
    <mergeCell ref="A13:L13"/>
    <mergeCell ref="A12:L12"/>
    <mergeCell ref="A6:L6"/>
    <mergeCell ref="A7:L7"/>
    <mergeCell ref="A8:L8"/>
    <mergeCell ref="A10:L10"/>
    <mergeCell ref="A9:L9"/>
    <mergeCell ref="A59:L59"/>
    <mergeCell ref="A16:L16"/>
    <mergeCell ref="B21:L21"/>
    <mergeCell ref="B17:L17"/>
    <mergeCell ref="B19:L19"/>
    <mergeCell ref="B25:L25"/>
    <mergeCell ref="B26:L26"/>
    <mergeCell ref="B29:L29"/>
    <mergeCell ref="B30:L30"/>
    <mergeCell ref="B32:L32"/>
    <mergeCell ref="B31:L31"/>
  </mergeCells>
  <hyperlinks>
    <hyperlink ref="A52" r:id="rId1" xr:uid="{6B934EC2-E381-41EE-938C-08FAF5E51BBE}"/>
    <hyperlink ref="A53" r:id="rId2" xr:uid="{785DB934-D308-4A7B-B51A-B3D1C1CB613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A6" workbookViewId="0">
      <selection activeCell="AM2" sqref="AM2"/>
    </sheetView>
  </sheetViews>
  <sheetFormatPr defaultRowHeight="14.5" x14ac:dyDescent="0.35"/>
  <cols>
    <col min="7" max="7" width="7.90625" customWidth="1"/>
  </cols>
  <sheetData>
    <row r="1" spans="7:36" ht="36" x14ac:dyDescent="0.8">
      <c r="G1" s="48" t="s">
        <v>39</v>
      </c>
      <c r="P1" s="137" t="s">
        <v>40</v>
      </c>
      <c r="Q1" s="137"/>
      <c r="R1" s="137"/>
      <c r="S1" s="137"/>
      <c r="T1" s="137"/>
      <c r="U1" s="137"/>
      <c r="V1" s="137"/>
      <c r="W1" s="137"/>
      <c r="X1" s="137"/>
      <c r="Y1" s="137"/>
      <c r="AA1" s="137" t="s">
        <v>221</v>
      </c>
      <c r="AB1" s="137"/>
      <c r="AC1" s="137"/>
      <c r="AD1" s="137"/>
      <c r="AE1" s="137"/>
      <c r="AF1" s="137"/>
      <c r="AG1" s="137"/>
      <c r="AH1" s="137"/>
      <c r="AI1" s="137"/>
      <c r="AJ1" s="137"/>
    </row>
  </sheetData>
  <mergeCells count="2">
    <mergeCell ref="P1:Y1"/>
    <mergeCell ref="AA1:AJ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4A81-E83C-49D4-AA4B-76A9D9F38F5D}">
  <dimension ref="A1:N140"/>
  <sheetViews>
    <sheetView topLeftCell="A116" zoomScale="150" zoomScaleNormal="150" workbookViewId="0">
      <selection activeCell="A134" sqref="A134"/>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32" t="s">
        <v>152</v>
      </c>
      <c r="B3" s="132"/>
      <c r="C3" s="132"/>
      <c r="D3" s="132"/>
      <c r="E3" s="132"/>
      <c r="F3" s="132"/>
      <c r="G3" s="132"/>
      <c r="H3" s="90"/>
      <c r="I3" s="90"/>
      <c r="J3" s="90"/>
      <c r="K3" s="90"/>
    </row>
    <row r="4" spans="1:11" x14ac:dyDescent="0.35">
      <c r="A4" s="59" t="s">
        <v>38</v>
      </c>
      <c r="B4" s="59" t="s">
        <v>42</v>
      </c>
      <c r="C4" s="133" t="s">
        <v>43</v>
      </c>
      <c r="D4" s="134"/>
      <c r="E4" s="134"/>
      <c r="F4" s="134"/>
      <c r="G4" s="135"/>
    </row>
    <row r="5" spans="1:11" x14ac:dyDescent="0.35">
      <c r="A5" s="91" t="s">
        <v>51</v>
      </c>
      <c r="B5" s="91"/>
      <c r="C5" s="136"/>
      <c r="D5" s="136"/>
      <c r="E5" s="136"/>
      <c r="F5" s="136"/>
      <c r="G5" s="136"/>
    </row>
    <row r="6" spans="1:11" x14ac:dyDescent="0.35">
      <c r="A6" s="89" t="s">
        <v>39</v>
      </c>
      <c r="B6" s="89" t="s">
        <v>156</v>
      </c>
      <c r="C6" s="138" t="s">
        <v>155</v>
      </c>
      <c r="D6" s="138"/>
      <c r="E6" s="138"/>
      <c r="F6" s="138"/>
      <c r="G6" s="138"/>
    </row>
    <row r="7" spans="1:11" x14ac:dyDescent="0.35">
      <c r="A7" s="89" t="s">
        <v>40</v>
      </c>
      <c r="B7" s="89" t="s">
        <v>156</v>
      </c>
      <c r="C7" s="138" t="s">
        <v>153</v>
      </c>
      <c r="D7" s="138"/>
      <c r="E7" s="138"/>
      <c r="F7" s="138"/>
      <c r="G7" s="138"/>
    </row>
    <row r="8" spans="1:11" x14ac:dyDescent="0.35">
      <c r="A8" s="89" t="s">
        <v>41</v>
      </c>
      <c r="B8" s="89" t="s">
        <v>156</v>
      </c>
      <c r="C8" s="138" t="s">
        <v>155</v>
      </c>
      <c r="D8" s="138"/>
      <c r="E8" s="138"/>
      <c r="F8" s="138"/>
      <c r="G8" s="138"/>
    </row>
    <row r="9" spans="1:11" x14ac:dyDescent="0.35">
      <c r="A9" s="89" t="s">
        <v>148</v>
      </c>
      <c r="B9" s="89" t="s">
        <v>156</v>
      </c>
      <c r="C9" s="138" t="s">
        <v>154</v>
      </c>
      <c r="D9" s="138"/>
      <c r="E9" s="138"/>
      <c r="F9" s="138"/>
      <c r="G9" s="138"/>
    </row>
    <row r="10" spans="1:11" x14ac:dyDescent="0.35">
      <c r="A10" s="89" t="s">
        <v>160</v>
      </c>
      <c r="B10" s="89" t="s">
        <v>156</v>
      </c>
      <c r="C10" s="131" t="s">
        <v>187</v>
      </c>
      <c r="D10" s="131"/>
      <c r="E10" s="131"/>
      <c r="F10" s="131"/>
      <c r="G10" s="131"/>
    </row>
    <row r="11" spans="1:11" x14ac:dyDescent="0.35">
      <c r="A11" s="89" t="s">
        <v>149</v>
      </c>
      <c r="B11" s="89" t="s">
        <v>156</v>
      </c>
      <c r="C11" s="131" t="s">
        <v>231</v>
      </c>
      <c r="D11" s="131"/>
      <c r="E11" s="131"/>
      <c r="F11" s="131"/>
      <c r="G11" s="131"/>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128" t="s">
        <v>228</v>
      </c>
      <c r="E18" s="129"/>
      <c r="F18" s="129"/>
      <c r="G18" s="129"/>
      <c r="H18" s="129"/>
      <c r="I18" s="129"/>
      <c r="J18" s="129"/>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19.771768986666689</v>
      </c>
      <c r="E29" s="14">
        <f t="shared" ref="E29:L29" ca="1" si="3">IF(E$27&lt;&gt;"",D127,"")</f>
        <v>18.484324782333928</v>
      </c>
      <c r="F29" s="14">
        <f t="shared" ca="1" si="3"/>
        <v>17.5836616499437</v>
      </c>
      <c r="G29" s="14">
        <f t="shared" ca="1" si="3"/>
        <v>16.771540952609193</v>
      </c>
      <c r="H29" s="14">
        <f t="shared" ca="1" si="3"/>
        <v>15.98554296977586</v>
      </c>
      <c r="I29" s="14">
        <f t="shared" ca="1" si="3"/>
        <v>15.163991819296657</v>
      </c>
      <c r="J29" s="14">
        <f t="shared" ca="1" si="3"/>
        <v>16.561472778363321</v>
      </c>
      <c r="K29" s="14">
        <f t="shared" ca="1" si="3"/>
        <v>17.782634352529389</v>
      </c>
      <c r="L29" s="14">
        <f t="shared" ca="1" si="3"/>
        <v>18.884480616196058</v>
      </c>
    </row>
    <row r="30" spans="1:14" x14ac:dyDescent="0.35">
      <c r="A30" t="str">
        <f t="shared" ref="A30:A35" si="4">IF(A6="","","    "&amp;A6&amp;" Balance")</f>
        <v xml:space="preserve">    Upper Basin Balance</v>
      </c>
      <c r="B30" s="53">
        <f>B22-B24</f>
        <v>5.0734237499999999</v>
      </c>
      <c r="C30" s="14">
        <f>IF(OR(C$27="",$A30=""),"",B30)</f>
        <v>5.0734237499999999</v>
      </c>
      <c r="D30" s="14">
        <f ca="1">IF(OR(D$27="",$A30=""),"",C121)</f>
        <v>4.5078027390425754</v>
      </c>
      <c r="E30" s="14">
        <f t="shared" ref="E30:L30" ca="1" si="5">IF(OR(E$27="",$A30=""),"",D121)</f>
        <v>3.9573078351600897</v>
      </c>
      <c r="F30" s="14">
        <f t="shared" ca="1" si="5"/>
        <v>3.4389821903902718</v>
      </c>
      <c r="G30" s="14">
        <f t="shared" ca="1" si="5"/>
        <v>2.9377826549145025</v>
      </c>
      <c r="H30" s="14">
        <f t="shared" ca="1" si="5"/>
        <v>2.4542687316613918</v>
      </c>
      <c r="I30" s="14">
        <f t="shared" ca="1" si="5"/>
        <v>1.9876101143666123</v>
      </c>
      <c r="J30" s="14">
        <f t="shared" ca="1" si="5"/>
        <v>3.5491605571142841</v>
      </c>
      <c r="K30" s="14">
        <f t="shared" ca="1" si="5"/>
        <v>5.0309240984465804</v>
      </c>
      <c r="L30" s="14">
        <f t="shared" ca="1" si="5"/>
        <v>6.4493659330682265</v>
      </c>
      <c r="N30" t="s">
        <v>180</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2.1006719213996234</v>
      </c>
      <c r="H31" s="14">
        <f t="shared" ca="1" si="7"/>
        <v>1.7901689165196828</v>
      </c>
      <c r="I31" s="14">
        <f t="shared" ca="1" si="7"/>
        <v>1.4880435097175759</v>
      </c>
      <c r="J31" s="14">
        <f t="shared" ca="1" si="7"/>
        <v>1.3137958665530114</v>
      </c>
      <c r="K31" s="14">
        <f t="shared" ca="1" si="7"/>
        <v>1.0433649911489704</v>
      </c>
      <c r="L31" s="14">
        <f t="shared" ca="1" si="7"/>
        <v>0.77729465184543134</v>
      </c>
      <c r="N31" t="s">
        <v>177</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0.13331228563432984</v>
      </c>
      <c r="G32" s="57">
        <f t="shared" ca="1" si="7"/>
        <v>0.12636157073951382</v>
      </c>
      <c r="H32" s="14">
        <f t="shared" ca="1" si="7"/>
        <v>0.11965104936100746</v>
      </c>
      <c r="I32" s="14">
        <f t="shared" ca="1" si="7"/>
        <v>9.7168945212467994E-2</v>
      </c>
      <c r="J32" s="14">
        <f t="shared" ca="1" si="7"/>
        <v>9.1791549140471718E-2</v>
      </c>
      <c r="K32" s="14">
        <f t="shared" ca="1" si="7"/>
        <v>8.689474423673893E-2</v>
      </c>
      <c r="L32" s="14">
        <f t="shared" ca="1" si="7"/>
        <v>6.6385387450480504E-2</v>
      </c>
      <c r="N32" t="s">
        <v>176</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179</v>
      </c>
    </row>
    <row r="35" spans="1:14" x14ac:dyDescent="0.35">
      <c r="A35" t="str">
        <f t="shared" si="4"/>
        <v xml:space="preserve">    Colorado River Delta Balance</v>
      </c>
      <c r="B35" s="54">
        <v>0</v>
      </c>
      <c r="C35" s="14">
        <f t="shared" si="6"/>
        <v>0</v>
      </c>
      <c r="D35" s="14">
        <f t="shared" ca="1" si="7"/>
        <v>1.5555555555555553E-2</v>
      </c>
      <c r="E35" s="14">
        <f t="shared" ca="1" si="7"/>
        <v>3.0339216362073578E-2</v>
      </c>
      <c r="F35" s="14">
        <f t="shared" ca="1" si="7"/>
        <v>0</v>
      </c>
      <c r="G35" s="14">
        <f t="shared" ca="1" si="7"/>
        <v>1.5555555555555553E-2</v>
      </c>
      <c r="H35" s="14">
        <f t="shared" ca="1" si="7"/>
        <v>3.028502223377922E-2</v>
      </c>
      <c r="I35" s="14">
        <f t="shared" ca="1" si="7"/>
        <v>0</v>
      </c>
      <c r="J35" s="14">
        <f t="shared" ca="1" si="7"/>
        <v>1.5555555555555553E-2</v>
      </c>
      <c r="K35" s="14">
        <f t="shared" ca="1" si="7"/>
        <v>3.0281268697098001E-2</v>
      </c>
      <c r="L35" s="14">
        <f t="shared" ca="1" si="7"/>
        <v>2.6539383191657995E-4</v>
      </c>
    </row>
    <row r="36" spans="1:14" x14ac:dyDescent="0.35">
      <c r="A36" s="1" t="s">
        <v>205</v>
      </c>
      <c r="C36"/>
    </row>
    <row r="37" spans="1:14" x14ac:dyDescent="0.35">
      <c r="A37" t="s">
        <v>113</v>
      </c>
      <c r="C37" s="14">
        <f>IF(C$27&lt;&gt;"",B22,"")</f>
        <v>11</v>
      </c>
      <c r="D37" s="14">
        <f ca="1">IF(D$27&lt;&gt;"",C129,"")</f>
        <v>9.8858844933333447</v>
      </c>
      <c r="E37" s="14">
        <f t="shared" ref="E37:L38" ca="1" si="8">IF(E$27&lt;&gt;"",D129,"")</f>
        <v>9.2421623911669641</v>
      </c>
      <c r="F37" s="14">
        <f t="shared" ca="1" si="8"/>
        <v>8.79183082497185</v>
      </c>
      <c r="G37" s="14">
        <f t="shared" ca="1" si="8"/>
        <v>8.3857704763045966</v>
      </c>
      <c r="H37" s="14">
        <f t="shared" ca="1" si="8"/>
        <v>7.9927714848879301</v>
      </c>
      <c r="I37" s="14">
        <f t="shared" ca="1" si="8"/>
        <v>7.5819959096483283</v>
      </c>
      <c r="J37" s="14">
        <f t="shared" ca="1" si="8"/>
        <v>8.2807363891816603</v>
      </c>
      <c r="K37" s="14">
        <f t="shared" ca="1" si="8"/>
        <v>8.8913171762646943</v>
      </c>
      <c r="L37" s="14">
        <f t="shared" ca="1" si="8"/>
        <v>9.4422403080980288</v>
      </c>
    </row>
    <row r="38" spans="1:14" x14ac:dyDescent="0.35">
      <c r="A38" t="s">
        <v>114</v>
      </c>
      <c r="C38" s="14">
        <f>IF(C$27&lt;&gt;"",C22,"")</f>
        <v>10.1</v>
      </c>
      <c r="D38" s="14">
        <f ca="1">IF(D$27&lt;&gt;"",C130,"")</f>
        <v>9.8858844933333447</v>
      </c>
      <c r="E38" s="14">
        <f t="shared" ca="1" si="8"/>
        <v>9.2421623911669641</v>
      </c>
      <c r="F38" s="14">
        <f t="shared" ca="1" si="8"/>
        <v>8.79183082497185</v>
      </c>
      <c r="G38" s="14">
        <f t="shared" ca="1" si="8"/>
        <v>8.3857704763045966</v>
      </c>
      <c r="H38" s="14">
        <f t="shared" ca="1" si="8"/>
        <v>7.9927714848879301</v>
      </c>
      <c r="I38" s="14">
        <f t="shared" ca="1" si="8"/>
        <v>7.5819959096483283</v>
      </c>
      <c r="J38" s="14">
        <f t="shared" ca="1" si="8"/>
        <v>8.2807363891816603</v>
      </c>
      <c r="K38" s="14">
        <f t="shared" ca="1" si="8"/>
        <v>8.8913171762646943</v>
      </c>
      <c r="L38" s="14">
        <f t="shared" ca="1" si="8"/>
        <v>9.4422403080980288</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0.916787364001173</v>
      </c>
      <c r="G39" s="14">
        <f ca="1">IF(G$27&lt;&gt;"",VLOOKUP(G37*1000000,'Powell-Elevation-Area'!$B$5:$D$689,3)*$B$21/1000000 + VLOOKUP(G38*1000000,'Mead-Elevation-Area'!$B$5:$D$676,3)*$C$21/1000000,"")</f>
        <v>0.89066464949999991</v>
      </c>
      <c r="H39" s="14">
        <f ca="1">IF(H$27&lt;&gt;"",VLOOKUP(H37*1000000,'Powell-Elevation-Area'!$B$5:$D$689,3)*$B$21/1000000 + VLOOKUP(H38*1000000,'Mead-Elevation-Area'!$B$5:$D$676,3)*$C$21/1000000,"")</f>
        <v>0.86601793260000004</v>
      </c>
      <c r="I39" s="14">
        <f ca="1">IF(I$27&lt;&gt;"",VLOOKUP(I37*1000000,'Powell-Elevation-Area'!$B$5:$D$689,3)*$B$21/1000000 + VLOOKUP(I38*1000000,'Mead-Elevation-Area'!$B$5:$D$676,3)*$C$21/1000000,"")</f>
        <v>0.8391857076</v>
      </c>
      <c r="J39" s="14">
        <f ca="1">IF(J$27&lt;&gt;"",VLOOKUP(J37*1000000,'Powell-Elevation-Area'!$B$5:$D$689,3)*$B$21/1000000 + VLOOKUP(J38*1000000,'Mead-Elevation-Area'!$B$5:$D$676,3)*$C$21/1000000,"")</f>
        <v>0.88350509250060005</v>
      </c>
      <c r="K39" s="14">
        <f ca="1">IF(K$27&lt;&gt;"",VLOOKUP(K37*1000000,'Powell-Elevation-Area'!$B$5:$D$689,3)*$B$21/1000000 + VLOOKUP(K38*1000000,'Mead-Elevation-Area'!$B$5:$D$676,3)*$C$21/1000000,"")</f>
        <v>0.92282040300000001</v>
      </c>
      <c r="L39" s="14">
        <f ca="1">IF(L$27&lt;&gt;"",VLOOKUP(L37*1000000,'Powell-Elevation-Area'!$B$5:$D$689,3)*$B$21/1000000 + VLOOKUP(L38*1000000,'Mead-Elevation-Area'!$B$5:$D$676,3)*$C$21/1000000,"")</f>
        <v>0.95702967600117295</v>
      </c>
    </row>
    <row r="40" spans="1:14" x14ac:dyDescent="0.35">
      <c r="A40" t="str">
        <f t="shared" ref="A40:A45" si="9">IF(A6="","","    "&amp;A6&amp;" Share")</f>
        <v xml:space="preserve">    Upper Basin Share</v>
      </c>
      <c r="B40" s="1"/>
      <c r="C40" s="14">
        <f>IF(OR(C$27="",$A40=""),"",C$39*C30/C$29)</f>
        <v>0.24571184643515467</v>
      </c>
      <c r="D40" s="14">
        <f t="shared" ref="D40:L40" ca="1" si="10">IF(OR(D$27="",$A40=""),"",D$39*D30/D$29)</f>
        <v>0.22368530982625426</v>
      </c>
      <c r="E40" s="14">
        <f t="shared" ca="1" si="10"/>
        <v>0.20231200525847401</v>
      </c>
      <c r="F40" s="14">
        <f t="shared" ca="1" si="10"/>
        <v>0.1793036899788715</v>
      </c>
      <c r="G40" s="14">
        <f t="shared" ca="1" si="10"/>
        <v>0.15601304412279041</v>
      </c>
      <c r="H40" s="14">
        <f t="shared" ca="1" si="10"/>
        <v>0.13296018390221903</v>
      </c>
      <c r="I40" s="14">
        <f t="shared" ca="1" si="10"/>
        <v>0.10999570694407214</v>
      </c>
      <c r="J40" s="14">
        <f t="shared" ca="1" si="10"/>
        <v>0.18933711199944506</v>
      </c>
      <c r="K40" s="14">
        <f t="shared" ca="1" si="10"/>
        <v>0.26107714481181576</v>
      </c>
      <c r="L40" s="14">
        <f t="shared" ca="1" si="10"/>
        <v>0.32684163863335169</v>
      </c>
    </row>
    <row r="41" spans="1:14" x14ac:dyDescent="0.35">
      <c r="A41" t="str">
        <f t="shared" si="9"/>
        <v xml:space="preserve">    Lower Basin Share</v>
      </c>
      <c r="B41" s="1"/>
      <c r="C41" s="14">
        <f t="shared" ref="C41:L45" si="11">IF(OR(C$27="",$A41=""),"",C$39*C31/C$29)</f>
        <v>0.20638492544244763</v>
      </c>
      <c r="D41" s="14">
        <f t="shared" ca="1" si="11"/>
        <v>0.17326289275518167</v>
      </c>
      <c r="E41" s="14">
        <f t="shared" ca="1" si="11"/>
        <v>0.14049552646009142</v>
      </c>
      <c r="F41" s="14">
        <f t="shared" ca="1" si="11"/>
        <v>0.12618571257813102</v>
      </c>
      <c r="G41" s="14">
        <f t="shared" ca="1" si="11"/>
        <v>0.11155768130517615</v>
      </c>
      <c r="H41" s="14">
        <f t="shared" ca="1" si="11"/>
        <v>9.6982528965101233E-2</v>
      </c>
      <c r="I41" s="14">
        <f t="shared" ca="1" si="11"/>
        <v>8.2349348411865031E-2</v>
      </c>
      <c r="J41" s="14">
        <f t="shared" ca="1" si="11"/>
        <v>7.0087084291336463E-2</v>
      </c>
      <c r="K41" s="14">
        <f t="shared" ca="1" si="11"/>
        <v>5.4144874292555586E-2</v>
      </c>
      <c r="L41" s="14">
        <f t="shared" ca="1" si="11"/>
        <v>3.9391819342655655E-2</v>
      </c>
    </row>
    <row r="42" spans="1:14" x14ac:dyDescent="0.35">
      <c r="A42" t="str">
        <f t="shared" si="9"/>
        <v xml:space="preserve">    Mexico Share</v>
      </c>
      <c r="B42" s="1"/>
      <c r="C42" s="14">
        <f t="shared" si="11"/>
        <v>8.4270235222746598E-3</v>
      </c>
      <c r="D42" s="14">
        <f t="shared" ca="1" si="11"/>
        <v>8.2160300009359536E-3</v>
      </c>
      <c r="E42" s="14">
        <f t="shared" ca="1" si="11"/>
        <v>8.044660842459259E-3</v>
      </c>
      <c r="F42" s="14">
        <f t="shared" ca="1" si="11"/>
        <v>6.9507148948160079E-3</v>
      </c>
      <c r="G42" s="14">
        <f t="shared" ca="1" si="11"/>
        <v>6.7105213785063362E-3</v>
      </c>
      <c r="H42" s="14">
        <f t="shared" ca="1" si="11"/>
        <v>6.48210414853948E-3</v>
      </c>
      <c r="I42" s="14">
        <f t="shared" ca="1" si="11"/>
        <v>5.3773960719963468E-3</v>
      </c>
      <c r="J42" s="14">
        <f t="shared" ca="1" si="11"/>
        <v>4.8968049037327434E-3</v>
      </c>
      <c r="K42" s="14">
        <f t="shared" ca="1" si="11"/>
        <v>4.5093567862583553E-3</v>
      </c>
      <c r="L42" s="14">
        <f t="shared" ca="1" si="11"/>
        <v>3.3642855810637191E-3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0.57517474366801769</v>
      </c>
      <c r="E44" s="14">
        <f t="shared" ca="1" si="11"/>
        <v>0.59258283457824457</v>
      </c>
      <c r="F44" s="14">
        <f t="shared" ca="1" si="11"/>
        <v>0.60434724654935446</v>
      </c>
      <c r="G44" s="14">
        <f t="shared" ca="1" si="11"/>
        <v>0.61555731381619527</v>
      </c>
      <c r="H44" s="14">
        <f t="shared" ca="1" si="11"/>
        <v>0.62795242234067461</v>
      </c>
      <c r="I44" s="14">
        <f t="shared" ca="1" si="11"/>
        <v>0.64146325617206645</v>
      </c>
      <c r="J44" s="14">
        <f t="shared" ca="1" si="11"/>
        <v>0.6183542488920728</v>
      </c>
      <c r="K44" s="14">
        <f t="shared" ca="1" si="11"/>
        <v>0.60151759668863336</v>
      </c>
      <c r="L44" s="14">
        <f t="shared" ca="1" si="11"/>
        <v>0.58741848278783981</v>
      </c>
    </row>
    <row r="45" spans="1:14" x14ac:dyDescent="0.35">
      <c r="A45" t="str">
        <f t="shared" si="9"/>
        <v xml:space="preserve">    Colorado River Delta Share</v>
      </c>
      <c r="B45" s="1"/>
      <c r="C45" s="14">
        <f t="shared" si="11"/>
        <v>0</v>
      </c>
      <c r="D45" s="14">
        <f t="shared" ca="1" si="11"/>
        <v>7.7189474903752902E-4</v>
      </c>
      <c r="E45" s="14">
        <f t="shared" ca="1" si="11"/>
        <v>1.5510513601309217E-3</v>
      </c>
      <c r="F45" s="14">
        <f t="shared" ca="1" si="11"/>
        <v>0</v>
      </c>
      <c r="G45" s="14">
        <f t="shared" ca="1" si="11"/>
        <v>8.2608887733188509E-4</v>
      </c>
      <c r="H45" s="14">
        <f t="shared" ca="1" si="11"/>
        <v>1.6406932434657401E-3</v>
      </c>
      <c r="I45" s="14">
        <f t="shared" ca="1" si="11"/>
        <v>0</v>
      </c>
      <c r="J45" s="14">
        <f t="shared" ca="1" si="11"/>
        <v>8.298424140131043E-4</v>
      </c>
      <c r="K45" s="14">
        <f t="shared" ca="1" si="11"/>
        <v>1.5714304207369873E-3</v>
      </c>
      <c r="L45" s="14">
        <f t="shared" ca="1" si="11"/>
        <v>1.3449656261872664E-5</v>
      </c>
    </row>
    <row r="46" spans="1:14" x14ac:dyDescent="0.35">
      <c r="A46" s="1" t="s">
        <v>272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189</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147</v>
      </c>
      <c r="C48" s="14">
        <f>IF(OR(C$27="",$A48=""),"",IF(C$47&gt;SUM(C49:C53),C$47-SUM(C49:C53),0))</f>
        <v>3.8800908354777306</v>
      </c>
      <c r="D48" s="14">
        <f t="shared" ref="D48:L48" ca="1" si="13">IF(OR(D$27="",$A48=""),"",IF(D$47&gt;SUM(D49:D53),D$47-SUM(D49:D53),0))</f>
        <v>3.8731904059437685</v>
      </c>
      <c r="E48" s="14">
        <f t="shared" ca="1" si="13"/>
        <v>3.883986360488656</v>
      </c>
      <c r="F48" s="14">
        <f t="shared" ca="1" si="13"/>
        <v>3.8781041545031023</v>
      </c>
      <c r="G48" s="14">
        <f t="shared" ca="1" si="13"/>
        <v>3.87249912086968</v>
      </c>
      <c r="H48" s="14">
        <f t="shared" ca="1" si="13"/>
        <v>3.8663015666074401</v>
      </c>
      <c r="I48" s="14">
        <f t="shared" ca="1" si="13"/>
        <v>5.8715461496917438</v>
      </c>
      <c r="J48" s="14">
        <f t="shared" ca="1" si="13"/>
        <v>5.8711006533317409</v>
      </c>
      <c r="K48" s="14">
        <f t="shared" ca="1" si="13"/>
        <v>5.8795189794334615</v>
      </c>
      <c r="L48" s="14">
        <f t="shared" ca="1" si="13"/>
        <v>5.8865685363838587</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6.6936597100586566</v>
      </c>
      <c r="G49" s="14">
        <f t="shared" ca="1" si="15"/>
        <v>6.688054676425236</v>
      </c>
      <c r="H49" s="14">
        <f ca="1">IF(OR(H$27="",$A49=""),"",H28-H52/2-H51-H50/2+MIN($B49,H27-H50/2-H52/2))</f>
        <v>6.6818571221629961</v>
      </c>
      <c r="I49" s="14">
        <f t="shared" ref="I49:L49" ca="1" si="16">IF(OR(I$27="",$A49=""),"",I28-I52/2-I51-I50/2+MIN($B49,I27-I50/2-I52/2))</f>
        <v>6.6871017052473007</v>
      </c>
      <c r="J49" s="14">
        <f t="shared" ca="1" si="16"/>
        <v>6.6866562088872969</v>
      </c>
      <c r="K49" s="14">
        <f t="shared" ca="1" si="16"/>
        <v>6.6950745349890166</v>
      </c>
      <c r="L49" s="14">
        <f t="shared" ca="1" si="16"/>
        <v>6.7021240919394138</v>
      </c>
      <c r="M49" s="29"/>
      <c r="N49" s="29"/>
    </row>
    <row r="50" spans="1:14" x14ac:dyDescent="0.35">
      <c r="A50" t="str">
        <f t="shared" si="14"/>
        <v xml:space="preserve">    To Mexico</v>
      </c>
      <c r="B50" s="44" t="s">
        <v>191</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190</v>
      </c>
      <c r="C52" s="14">
        <f>IF(OR(C$27="",$A52=""),"",IF(C$47&gt;C44,C44,C$47))</f>
        <v>0.56137388460009618</v>
      </c>
      <c r="D52" s="14">
        <f t="shared" ref="D52:L52" ca="1" si="19">IF(OR(D$27="",$A52=""),"",IF(D$47&gt;D44,D44,D$47))</f>
        <v>0.57517474366801769</v>
      </c>
      <c r="E52" s="14">
        <f t="shared" ca="1" si="19"/>
        <v>0.59258283457824457</v>
      </c>
      <c r="F52" s="14">
        <f t="shared" ca="1" si="19"/>
        <v>0.60434724654935446</v>
      </c>
      <c r="G52" s="14">
        <f t="shared" ca="1" si="19"/>
        <v>0.61555731381619527</v>
      </c>
      <c r="H52" s="14">
        <f t="shared" ca="1" si="19"/>
        <v>0.62795242234067461</v>
      </c>
      <c r="I52" s="14">
        <f t="shared" ca="1" si="19"/>
        <v>0.64146325617206645</v>
      </c>
      <c r="J52" s="14">
        <f t="shared" ca="1" si="19"/>
        <v>0.6183542488920728</v>
      </c>
      <c r="K52" s="14">
        <f t="shared" ca="1" si="19"/>
        <v>0.60151759668863336</v>
      </c>
      <c r="L52" s="14">
        <f t="shared" ca="1" si="19"/>
        <v>0.58741848278783981</v>
      </c>
      <c r="M52" s="29"/>
      <c r="N52" s="29"/>
    </row>
    <row r="53" spans="1:14" x14ac:dyDescent="0.35">
      <c r="A53" t="str">
        <f t="shared" si="14"/>
        <v xml:space="preserve">    To Colorado River Delta</v>
      </c>
      <c r="B53" s="61">
        <f>0.21/9*(2/3)</f>
        <v>1.5555555555555553E-2</v>
      </c>
      <c r="C53" s="58">
        <f t="shared" ref="C53:L53" si="20">IF(OR(C$27="",$A53=""),"",IF(C$27&gt;$B53,$B53,C$27))</f>
        <v>1.5555555555555553E-2</v>
      </c>
      <c r="D53" s="58">
        <f t="shared" si="20"/>
        <v>1.5555555555555553E-2</v>
      </c>
      <c r="E53" s="58">
        <f t="shared" si="20"/>
        <v>1.5555555555555553E-2</v>
      </c>
      <c r="F53" s="58">
        <f t="shared" si="20"/>
        <v>1.5555555555555553E-2</v>
      </c>
      <c r="G53" s="58">
        <f t="shared" si="20"/>
        <v>1.5555555555555553E-2</v>
      </c>
      <c r="H53" s="58">
        <f t="shared" si="20"/>
        <v>1.5555555555555553E-2</v>
      </c>
      <c r="I53" s="58">
        <f t="shared" si="20"/>
        <v>1.5555555555555553E-2</v>
      </c>
      <c r="J53" s="58">
        <f t="shared" si="20"/>
        <v>1.5555555555555553E-2</v>
      </c>
      <c r="K53" s="58">
        <f t="shared" si="20"/>
        <v>1.5555555555555553E-2</v>
      </c>
      <c r="L53" s="58">
        <f t="shared" si="20"/>
        <v>1.5555555555555553E-2</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1">IF(OR(C$27="",$A59=""),"",C$112)</f>
        <v>0</v>
      </c>
      <c r="D59" s="78">
        <f t="shared" ca="1" si="21"/>
        <v>0</v>
      </c>
      <c r="E59" s="78">
        <f t="shared" ca="1" si="21"/>
        <v>0</v>
      </c>
      <c r="F59" s="78">
        <f t="shared" ca="1" si="21"/>
        <v>0</v>
      </c>
      <c r="G59" s="78">
        <f t="shared" ca="1" si="21"/>
        <v>0</v>
      </c>
      <c r="H59" s="78">
        <f t="shared" ca="1" si="21"/>
        <v>0</v>
      </c>
      <c r="I59" s="78">
        <f t="shared" ca="1" si="21"/>
        <v>0</v>
      </c>
      <c r="J59" s="78">
        <f t="shared" ca="1" si="21"/>
        <v>0</v>
      </c>
      <c r="K59" s="78">
        <f t="shared" ca="1" si="21"/>
        <v>0</v>
      </c>
      <c r="L59" s="78">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IF(OR(C$27="",$A60=""),"",C30+C48-C40-C57)</f>
        <v>8.7078027390425756</v>
      </c>
      <c r="D60" s="14">
        <f t="shared" ref="D60:L60" ca="1" si="22">IF(OR(D$27="",$A60=""),"",D30+D48-D40-D57)</f>
        <v>8.1573078351600898</v>
      </c>
      <c r="E60" s="14">
        <f t="shared" ca="1" si="22"/>
        <v>7.6389821903902719</v>
      </c>
      <c r="F60" s="14">
        <f t="shared" ca="1" si="22"/>
        <v>7.1377826549145027</v>
      </c>
      <c r="G60" s="14">
        <f t="shared" ca="1" si="22"/>
        <v>6.654268731661392</v>
      </c>
      <c r="H60" s="14">
        <f t="shared" ca="1" si="22"/>
        <v>6.1876101143666125</v>
      </c>
      <c r="I60" s="14">
        <f t="shared" ca="1" si="22"/>
        <v>7.7491605571142843</v>
      </c>
      <c r="J60" s="14">
        <f t="shared" ca="1" si="22"/>
        <v>9.2309240984465806</v>
      </c>
      <c r="K60" s="14">
        <f t="shared" ca="1" si="22"/>
        <v>10.649365933068227</v>
      </c>
      <c r="L60" s="14">
        <f t="shared" ca="1" si="22"/>
        <v>12.009092830818732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3">IF(D60&gt;4.2,4.2,MAX(D60,0))</f>
        <v>4.2</v>
      </c>
      <c r="E61" s="43">
        <f t="shared" ca="1" si="23"/>
        <v>4.2</v>
      </c>
      <c r="F61" s="43">
        <f t="shared" ca="1" si="23"/>
        <v>4.2</v>
      </c>
      <c r="G61" s="43">
        <f t="shared" ca="1" si="23"/>
        <v>4.2</v>
      </c>
      <c r="H61" s="43">
        <f t="shared" ca="1" si="23"/>
        <v>4.2</v>
      </c>
      <c r="I61" s="43">
        <f t="shared" ca="1" si="23"/>
        <v>4.2</v>
      </c>
      <c r="J61" s="43">
        <f t="shared" ca="1" si="23"/>
        <v>4.2</v>
      </c>
      <c r="K61" s="43">
        <f t="shared" ca="1" si="23"/>
        <v>4.2</v>
      </c>
      <c r="L61" s="43">
        <f t="shared" ca="1" si="23"/>
        <v>4.2</v>
      </c>
      <c r="N61" t="str">
        <f>IF(A61="","","Must be less than Available water")</f>
        <v>Must be less than Available water</v>
      </c>
    </row>
    <row r="62" spans="1:14" x14ac:dyDescent="0.35">
      <c r="A62" s="32" t="str">
        <f>IF(A61="","","   End of Year Balance [maf]")</f>
        <v xml:space="preserve">   End of Year Balance [maf]</v>
      </c>
      <c r="C62" s="77">
        <f>IF(OR(C$27="",$A62=""),"",C60-C61)</f>
        <v>4.5078027390425754</v>
      </c>
      <c r="D62" s="77">
        <f t="shared" ref="D62:L62" ca="1" si="24">IF(OR(D$27="",$A62=""),"",D60-D61)</f>
        <v>3.9573078351600897</v>
      </c>
      <c r="E62" s="77">
        <f t="shared" ca="1" si="24"/>
        <v>3.4389821903902718</v>
      </c>
      <c r="F62" s="77">
        <f t="shared" ca="1" si="24"/>
        <v>2.9377826549145025</v>
      </c>
      <c r="G62" s="77">
        <f t="shared" ca="1" si="24"/>
        <v>2.4542687316613918</v>
      </c>
      <c r="H62" s="77">
        <f t="shared" ca="1" si="24"/>
        <v>1.9876101143666123</v>
      </c>
      <c r="I62" s="77">
        <f t="shared" ca="1" si="24"/>
        <v>3.5491605571142841</v>
      </c>
      <c r="J62" s="77">
        <f t="shared" ca="1" si="24"/>
        <v>5.0309240984465804</v>
      </c>
      <c r="K62" s="77">
        <f t="shared" ca="1" si="24"/>
        <v>6.4493659330682265</v>
      </c>
      <c r="L62" s="77">
        <f t="shared" ca="1" si="24"/>
        <v>7.8090928308187317</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c r="J65" s="25"/>
      <c r="K65" s="25">
        <v>0.02</v>
      </c>
      <c r="L65" s="25"/>
      <c r="M65" s="78">
        <f>SUM(C65:L65)</f>
        <v>0.02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f>350*K65</f>
        <v>7</v>
      </c>
      <c r="L66" s="76"/>
      <c r="M66" s="75">
        <f>SUM(C66:L66)</f>
        <v>7</v>
      </c>
      <c r="N66" t="str">
        <f t="shared" ref="N66:N70" si="25">IF(A66="","",N58)</f>
        <v>Add if multiple transactions, e.g.: $350*0.5 + $450*0.25</v>
      </c>
    </row>
    <row r="67" spans="1:14" x14ac:dyDescent="0.35">
      <c r="A67" s="32" t="str">
        <f>IF(A66="","","   Volume all players (should be zero)")</f>
        <v xml:space="preserve">   Volume all players (should be zero)</v>
      </c>
      <c r="C67" s="78">
        <f t="shared" ref="C67:M67" ca="1" si="26">IF(OR(C$27="",$A67=""),"",C$112)</f>
        <v>0</v>
      </c>
      <c r="D67" s="78">
        <f t="shared" ca="1" si="26"/>
        <v>0</v>
      </c>
      <c r="E67" s="78">
        <f t="shared" ca="1" si="26"/>
        <v>0</v>
      </c>
      <c r="F67" s="78">
        <f t="shared" ca="1" si="26"/>
        <v>0</v>
      </c>
      <c r="G67" s="78">
        <f t="shared" ca="1" si="26"/>
        <v>0</v>
      </c>
      <c r="H67" s="78">
        <f t="shared" ca="1" si="26"/>
        <v>0</v>
      </c>
      <c r="I67" s="78">
        <f t="shared" ca="1" si="26"/>
        <v>0</v>
      </c>
      <c r="J67" s="78">
        <f t="shared" ca="1" si="26"/>
        <v>0</v>
      </c>
      <c r="K67" s="78">
        <f t="shared" ca="1" si="26"/>
        <v>0</v>
      </c>
      <c r="L67" s="78">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IF(OR(C$27="",$A68=""),"",C31+C49-C41-C65)</f>
        <v>10.750668465590836</v>
      </c>
      <c r="D68" s="14">
        <f t="shared" ca="1" si="27"/>
        <v>10.007151534334978</v>
      </c>
      <c r="E68" s="14">
        <f t="shared" ca="1" si="27"/>
        <v>9.3071979239190981</v>
      </c>
      <c r="F68" s="14">
        <f t="shared" ca="1" si="27"/>
        <v>8.9876719213996239</v>
      </c>
      <c r="G68" s="14">
        <f t="shared" ca="1" si="27"/>
        <v>8.6771689165196833</v>
      </c>
      <c r="H68" s="14">
        <f t="shared" ca="1" si="27"/>
        <v>8.3750435097175764</v>
      </c>
      <c r="I68" s="14">
        <f t="shared" ca="1" si="27"/>
        <v>8.0927958665530113</v>
      </c>
      <c r="J68" s="14">
        <f t="shared" ca="1" si="27"/>
        <v>7.9303649911489709</v>
      </c>
      <c r="K68" s="14">
        <f t="shared" ca="1" si="27"/>
        <v>7.6642946518454318</v>
      </c>
      <c r="L68" s="14">
        <f t="shared" ca="1" si="27"/>
        <v>7.4400269244421899</v>
      </c>
      <c r="N68" t="str">
        <f t="shared" si="25"/>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5"/>
        <v>Must be less than Available water</v>
      </c>
    </row>
    <row r="70" spans="1:14" x14ac:dyDescent="0.35">
      <c r="A70" s="32" t="str">
        <f>IF(A69="","","   End of Year Balance [maf]")</f>
        <v xml:space="preserve">   End of Year Balance [maf]</v>
      </c>
      <c r="C70" s="77">
        <f>IF(OR(C$27="",$A70=""),"",C68-C69)</f>
        <v>3.4916684655908359</v>
      </c>
      <c r="D70" s="77">
        <f t="shared" ref="D70:L70" ca="1" si="28">IF(OR(D$27="",$A70=""),"",D68-D69)</f>
        <v>2.7481515343349781</v>
      </c>
      <c r="E70" s="77">
        <f t="shared" ca="1" si="28"/>
        <v>2.4201979239190976</v>
      </c>
      <c r="F70" s="77">
        <f t="shared" ca="1" si="28"/>
        <v>2.1006719213996234</v>
      </c>
      <c r="G70" s="77">
        <f t="shared" ca="1" si="28"/>
        <v>1.7901689165196828</v>
      </c>
      <c r="H70" s="77">
        <f t="shared" ca="1" si="28"/>
        <v>1.4880435097175759</v>
      </c>
      <c r="I70" s="77">
        <f t="shared" ca="1" si="28"/>
        <v>1.3137958665530114</v>
      </c>
      <c r="J70" s="77">
        <f t="shared" ca="1" si="28"/>
        <v>1.0433649911489704</v>
      </c>
      <c r="K70" s="77">
        <f t="shared" ca="1" si="28"/>
        <v>0.77729465184543134</v>
      </c>
      <c r="L70" s="77">
        <f t="shared" ca="1" si="28"/>
        <v>0.55302692444218948</v>
      </c>
      <c r="N70" t="str">
        <f t="shared" si="2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v>1.6E-2</v>
      </c>
      <c r="F73" s="25"/>
      <c r="G73" s="25"/>
      <c r="H73" s="25">
        <f>E73</f>
        <v>1.6E-2</v>
      </c>
      <c r="I73" s="25"/>
      <c r="J73" s="25"/>
      <c r="K73" s="25">
        <v>1.6E-2</v>
      </c>
      <c r="L73" s="25"/>
      <c r="M73" s="78">
        <f>SUM(C73:L73)</f>
        <v>4.8000000000000001E-2</v>
      </c>
      <c r="N73" t="str">
        <f>IF(A73="","",N65)</f>
        <v>Add if multiple transactions, e.g.: 0.5 + 0.25</v>
      </c>
    </row>
    <row r="74" spans="1:14" x14ac:dyDescent="0.35">
      <c r="A74" s="32" t="str">
        <f>IF(A73="","","   Cash Intake(+) and Payments(-) [$ Mill]")</f>
        <v xml:space="preserve">   Cash Intake(+) and Payments(-) [$ Mill]</v>
      </c>
      <c r="C74" s="76"/>
      <c r="D74" s="76"/>
      <c r="E74" s="76">
        <f>350*E73</f>
        <v>5.6000000000000005</v>
      </c>
      <c r="F74" s="76"/>
      <c r="G74" s="76"/>
      <c r="H74" s="76">
        <f>350*H73</f>
        <v>5.6000000000000005</v>
      </c>
      <c r="I74" s="76"/>
      <c r="J74" s="76"/>
      <c r="K74" s="76">
        <f>350*K73</f>
        <v>5.6000000000000005</v>
      </c>
      <c r="L74" s="76"/>
      <c r="M74" s="75">
        <f>SUM(C74:L74)</f>
        <v>16.8</v>
      </c>
      <c r="N74" t="str">
        <f t="shared" ref="N74:N78" si="29">IF(A74="","",N66)</f>
        <v>Add if multiple transactions, e.g.: $350*0.5 + $450*0.25</v>
      </c>
    </row>
    <row r="75" spans="1:14" x14ac:dyDescent="0.35">
      <c r="A75" s="32" t="str">
        <f>IF(A74="","","   Volume all players (should be zero)")</f>
        <v xml:space="preserve">   Volume all players (should be zero)</v>
      </c>
      <c r="C75" s="78">
        <f t="shared" ref="C75:M75" ca="1" si="30">IF(OR(C$27="",$A75=""),"",C$112)</f>
        <v>0</v>
      </c>
      <c r="D75" s="78">
        <f t="shared" ca="1" si="30"/>
        <v>0</v>
      </c>
      <c r="E75" s="78">
        <f t="shared" ca="1" si="30"/>
        <v>0</v>
      </c>
      <c r="F75" s="78">
        <f t="shared" ca="1" si="30"/>
        <v>0</v>
      </c>
      <c r="G75" s="78">
        <f t="shared" ca="1" si="30"/>
        <v>0</v>
      </c>
      <c r="H75" s="78">
        <f t="shared" ca="1" si="30"/>
        <v>0</v>
      </c>
      <c r="I75" s="78">
        <f t="shared" ca="1" si="30"/>
        <v>0</v>
      </c>
      <c r="J75" s="78">
        <f t="shared" ca="1" si="30"/>
        <v>0</v>
      </c>
      <c r="K75" s="78">
        <f t="shared" ca="1" si="30"/>
        <v>0</v>
      </c>
      <c r="L75" s="78">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IF(OR(C$27="",$A76=""),"",C32+C50-C42-C73)</f>
        <v>1.6129063098110585</v>
      </c>
      <c r="D76" s="14">
        <f t="shared" ca="1" si="31"/>
        <v>1.6046902798101226</v>
      </c>
      <c r="E76" s="14">
        <f t="shared" ca="1" si="31"/>
        <v>1.5416456189676631</v>
      </c>
      <c r="F76" s="14">
        <f ca="1">IF(OR(F$27="",$A76=""),"",F32+F50-F42-F73)</f>
        <v>1.534694904072847</v>
      </c>
      <c r="G76" s="14">
        <f t="shared" ca="1" si="31"/>
        <v>1.5279843826943407</v>
      </c>
      <c r="H76" s="14">
        <f t="shared" ca="1" si="31"/>
        <v>1.5055022785458012</v>
      </c>
      <c r="I76" s="14">
        <f t="shared" ca="1" si="31"/>
        <v>1.4761248824738049</v>
      </c>
      <c r="J76" s="14">
        <f t="shared" ca="1" si="31"/>
        <v>1.4952280775700721</v>
      </c>
      <c r="K76" s="14">
        <f t="shared" ca="1" si="31"/>
        <v>1.4747187207838137</v>
      </c>
      <c r="L76" s="14">
        <f t="shared" ca="1" si="31"/>
        <v>1.4713544352027501</v>
      </c>
      <c r="N76" t="str">
        <f t="shared" si="29"/>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2">D46</f>
        <v>1.4473333333333334</v>
      </c>
      <c r="E77" s="50">
        <f t="shared" ca="1" si="32"/>
        <v>1.4083333333333332</v>
      </c>
      <c r="F77" s="50">
        <f t="shared" ca="1" si="32"/>
        <v>1.4083333333333332</v>
      </c>
      <c r="G77" s="50">
        <f t="shared" ca="1" si="32"/>
        <v>1.4083333333333332</v>
      </c>
      <c r="H77" s="50">
        <f t="shared" ca="1" si="32"/>
        <v>1.4083333333333332</v>
      </c>
      <c r="I77" s="50">
        <f t="shared" ca="1" si="32"/>
        <v>1.3843333333333332</v>
      </c>
      <c r="J77" s="50">
        <f t="shared" ca="1" si="32"/>
        <v>1.4083333333333332</v>
      </c>
      <c r="K77" s="50">
        <f t="shared" ca="1" si="32"/>
        <v>1.4083333333333332</v>
      </c>
      <c r="L77" s="50">
        <f t="shared" ca="1" si="32"/>
        <v>1.4083333333333332</v>
      </c>
      <c r="N77" t="str">
        <f t="shared" si="29"/>
        <v>Must be less than Available water</v>
      </c>
    </row>
    <row r="78" spans="1:14" x14ac:dyDescent="0.35">
      <c r="A78" s="32" t="str">
        <f>IF(A77="","","   End of Year Balance [maf]")</f>
        <v xml:space="preserve">   End of Year Balance [maf]</v>
      </c>
      <c r="C78" s="77">
        <f>IF(OR(C$27="",$A78=""),"",C76-C77)</f>
        <v>0.16557297647772518</v>
      </c>
      <c r="D78" s="77">
        <f t="shared" ref="D78:L78" ca="1" si="33">IF(OR(D$27="",$A78=""),"",D76-D77)</f>
        <v>0.15735694647678922</v>
      </c>
      <c r="E78" s="77">
        <f t="shared" ca="1" si="33"/>
        <v>0.13331228563432984</v>
      </c>
      <c r="F78" s="77">
        <f t="shared" ca="1" si="33"/>
        <v>0.12636157073951382</v>
      </c>
      <c r="G78" s="77">
        <f t="shared" ca="1" si="33"/>
        <v>0.11965104936100746</v>
      </c>
      <c r="H78" s="77">
        <f t="shared" ca="1" si="33"/>
        <v>9.7168945212467994E-2</v>
      </c>
      <c r="I78" s="77">
        <f t="shared" ca="1" si="33"/>
        <v>9.1791549140471718E-2</v>
      </c>
      <c r="J78" s="77">
        <f t="shared" ca="1" si="33"/>
        <v>8.689474423673893E-2</v>
      </c>
      <c r="K78" s="77">
        <f t="shared" ca="1" si="33"/>
        <v>6.6385387450480504E-2</v>
      </c>
      <c r="L78" s="77">
        <f t="shared" ca="1" si="33"/>
        <v>6.3021101869416896E-2</v>
      </c>
      <c r="N78" t="str">
        <f t="shared" si="29"/>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4">IF(A82="","",N74)</f>
        <v>Add if multiple transactions, e.g.: $350*0.5 + $450*0.25</v>
      </c>
    </row>
    <row r="83" spans="1:14" x14ac:dyDescent="0.35">
      <c r="A83" s="32" t="str">
        <f>IF(A82="","","   Volume all players (should be zero)")</f>
        <v xml:space="preserve">   Volume all players (should be zero)</v>
      </c>
      <c r="C83" s="78">
        <f t="shared" ref="C83:M83" ca="1" si="35">IF(OR(C$27="",$A83=""),"",C$112)</f>
        <v>0</v>
      </c>
      <c r="D83" s="78">
        <f t="shared" ca="1" si="35"/>
        <v>0</v>
      </c>
      <c r="E83" s="78">
        <f t="shared" ca="1" si="35"/>
        <v>0</v>
      </c>
      <c r="F83" s="78">
        <f t="shared" ca="1" si="35"/>
        <v>0</v>
      </c>
      <c r="G83" s="78">
        <f t="shared" ca="1" si="35"/>
        <v>0</v>
      </c>
      <c r="H83" s="78">
        <f t="shared" ca="1" si="35"/>
        <v>0</v>
      </c>
      <c r="I83" s="78">
        <f t="shared" ca="1" si="35"/>
        <v>0</v>
      </c>
      <c r="J83" s="78">
        <f t="shared" ca="1" si="35"/>
        <v>0</v>
      </c>
      <c r="K83" s="78">
        <f t="shared" ca="1" si="35"/>
        <v>0</v>
      </c>
      <c r="L83" s="78">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IF(OR(C$27="",$A84=""),"",C33+C51-C43-C81)</f>
        <v>0.6</v>
      </c>
      <c r="D84" s="14">
        <f t="shared" ca="1" si="36"/>
        <v>0.6</v>
      </c>
      <c r="E84" s="14">
        <f t="shared" ca="1" si="36"/>
        <v>0.6</v>
      </c>
      <c r="F84" s="14">
        <f t="shared" ca="1" si="36"/>
        <v>0.6</v>
      </c>
      <c r="G84" s="14">
        <f t="shared" ca="1" si="36"/>
        <v>0.6</v>
      </c>
      <c r="H84" s="14">
        <f t="shared" ca="1" si="36"/>
        <v>0.6</v>
      </c>
      <c r="I84" s="14">
        <f t="shared" ca="1" si="36"/>
        <v>0.6</v>
      </c>
      <c r="J84" s="14">
        <f t="shared" ca="1" si="36"/>
        <v>0.6</v>
      </c>
      <c r="K84" s="14">
        <f t="shared" ca="1" si="36"/>
        <v>0.6</v>
      </c>
      <c r="L84" s="14">
        <f t="shared" ca="1" si="36"/>
        <v>0.6</v>
      </c>
      <c r="N84" t="str">
        <f t="shared" si="34"/>
        <v>Available water = Account Balance + Available Inflow - Evaporation + Sales - Purchases</v>
      </c>
    </row>
    <row r="85" spans="1:14" x14ac:dyDescent="0.35">
      <c r="A85" s="1" t="str">
        <f>IF(A84="","","   Account Withdraw [maf]")</f>
        <v xml:space="preserve">   Account Withdraw [maf]</v>
      </c>
      <c r="C85" s="43">
        <f>C84</f>
        <v>0.6</v>
      </c>
      <c r="D85" s="43">
        <f t="shared" ref="D85:L85" ca="1" si="37">D84</f>
        <v>0.6</v>
      </c>
      <c r="E85" s="43">
        <f t="shared" ca="1" si="37"/>
        <v>0.6</v>
      </c>
      <c r="F85" s="43">
        <f t="shared" ca="1" si="37"/>
        <v>0.6</v>
      </c>
      <c r="G85" s="43">
        <f t="shared" ca="1" si="37"/>
        <v>0.6</v>
      </c>
      <c r="H85" s="43">
        <f t="shared" ca="1" si="37"/>
        <v>0.6</v>
      </c>
      <c r="I85" s="43">
        <f t="shared" ca="1" si="37"/>
        <v>0.6</v>
      </c>
      <c r="J85" s="43">
        <f t="shared" ca="1" si="37"/>
        <v>0.6</v>
      </c>
      <c r="K85" s="43">
        <f t="shared" ca="1" si="37"/>
        <v>0.6</v>
      </c>
      <c r="L85" s="43">
        <f t="shared" ca="1" si="37"/>
        <v>0.6</v>
      </c>
      <c r="N85" t="str">
        <f t="shared" si="34"/>
        <v>Must be less than Available water</v>
      </c>
    </row>
    <row r="86" spans="1:14" x14ac:dyDescent="0.35">
      <c r="A86" s="32" t="str">
        <f>IF(A85="","","   End of Year Balance [maf]")</f>
        <v xml:space="preserve">   End of Year Balance [maf]</v>
      </c>
      <c r="C86" s="77">
        <f>IF(OR(C$27="",$A86=""),"",C84-C85)</f>
        <v>0</v>
      </c>
      <c r="D86" s="77">
        <f t="shared" ref="D86:L86" ca="1" si="38">IF(OR(D$27="",$A86=""),"",D84-D85)</f>
        <v>0</v>
      </c>
      <c r="E86" s="77">
        <f t="shared" ca="1" si="38"/>
        <v>0</v>
      </c>
      <c r="F86" s="77">
        <f t="shared" ca="1" si="38"/>
        <v>0</v>
      </c>
      <c r="G86" s="77">
        <f t="shared" ca="1" si="38"/>
        <v>0</v>
      </c>
      <c r="H86" s="77">
        <f t="shared" ca="1" si="38"/>
        <v>0</v>
      </c>
      <c r="I86" s="77">
        <f t="shared" ca="1" si="38"/>
        <v>0</v>
      </c>
      <c r="J86" s="77">
        <f t="shared" ca="1" si="38"/>
        <v>0</v>
      </c>
      <c r="K86" s="77">
        <f t="shared" ca="1" si="38"/>
        <v>0</v>
      </c>
      <c r="L86" s="77">
        <f t="shared" ca="1" si="38"/>
        <v>0</v>
      </c>
      <c r="N86" t="str">
        <f t="shared" si="3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9">IF(A90="","",N82)</f>
        <v>Add if multiple transactions, e.g.: $350*0.5 + $450*0.25</v>
      </c>
    </row>
    <row r="91" spans="1:14" x14ac:dyDescent="0.35">
      <c r="A91" s="32" t="str">
        <f>IF(A90="","","   Volume all players (should be zero)")</f>
        <v xml:space="preserve">   Volume all players (should be zero)</v>
      </c>
      <c r="C91" s="78">
        <f t="shared" ref="C91:M91" ca="1" si="40">IF(OR(C$27="",$A91=""),"",C$112)</f>
        <v>0</v>
      </c>
      <c r="D91" s="78">
        <f t="shared" ca="1" si="40"/>
        <v>0</v>
      </c>
      <c r="E91" s="78">
        <f t="shared" ca="1" si="40"/>
        <v>0</v>
      </c>
      <c r="F91" s="78">
        <f t="shared" ca="1" si="40"/>
        <v>0</v>
      </c>
      <c r="G91" s="78">
        <f t="shared" ca="1" si="40"/>
        <v>0</v>
      </c>
      <c r="H91" s="78">
        <f t="shared" ca="1" si="40"/>
        <v>0</v>
      </c>
      <c r="I91" s="78">
        <f t="shared" ca="1" si="40"/>
        <v>0</v>
      </c>
      <c r="J91" s="78">
        <f t="shared" ca="1" si="40"/>
        <v>0</v>
      </c>
      <c r="K91" s="78">
        <f t="shared" ca="1" si="40"/>
        <v>0</v>
      </c>
      <c r="L91" s="78">
        <f t="shared" ca="1" si="40"/>
        <v>0</v>
      </c>
      <c r="M91" t="str">
        <f t="shared" si="40"/>
        <v/>
      </c>
      <c r="N91" t="str">
        <f t="shared" si="39"/>
        <v>If non-zero, players need to change amount(s)</v>
      </c>
    </row>
    <row r="92" spans="1:14" x14ac:dyDescent="0.35">
      <c r="A92" s="1" t="str">
        <f>IF(A90="","","   Available Water [maf]")</f>
        <v xml:space="preserve">   Available Water [maf]</v>
      </c>
      <c r="C92" s="14">
        <f t="shared" ref="C92:L92" si="41">IF(OR(C$27="",$A92=""),"",C34+C52-C44-C89)</f>
        <v>11.59116925</v>
      </c>
      <c r="D92" s="14">
        <f t="shared" ca="1" si="41"/>
        <v>11.59116925</v>
      </c>
      <c r="E92" s="14">
        <f t="shared" ca="1" si="41"/>
        <v>11.59116925</v>
      </c>
      <c r="F92" s="14">
        <f t="shared" ca="1" si="41"/>
        <v>11.59116925</v>
      </c>
      <c r="G92" s="14">
        <f t="shared" ca="1" si="41"/>
        <v>11.59116925</v>
      </c>
      <c r="H92" s="14">
        <f t="shared" ca="1" si="41"/>
        <v>11.59116925</v>
      </c>
      <c r="I92" s="14">
        <f t="shared" ca="1" si="41"/>
        <v>11.59116925</v>
      </c>
      <c r="J92" s="14">
        <f t="shared" ca="1" si="41"/>
        <v>11.59116925</v>
      </c>
      <c r="K92" s="14">
        <f t="shared" ca="1" si="41"/>
        <v>11.59116925</v>
      </c>
      <c r="L92" s="14">
        <f t="shared" ca="1" si="41"/>
        <v>11.59116925</v>
      </c>
      <c r="N92" t="str">
        <f t="shared" si="3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9"/>
        <v>Must be less than Available water</v>
      </c>
    </row>
    <row r="94" spans="1:14" x14ac:dyDescent="0.35">
      <c r="A94" s="32" t="str">
        <f>IF(A93="","","   End of Year Balance [maf]")</f>
        <v xml:space="preserve">   End of Year Balance [maf]</v>
      </c>
      <c r="C94" s="77">
        <f>IF(OR(C$27="",$A94=""),"",C92-C93)</f>
        <v>11.59116925</v>
      </c>
      <c r="D94" s="77">
        <f t="shared" ref="D94:L94" ca="1" si="42">IF(OR(D$27="",$A94=""),"",D92-D93)</f>
        <v>11.59116925</v>
      </c>
      <c r="E94" s="77">
        <f t="shared" ca="1" si="42"/>
        <v>11.59116925</v>
      </c>
      <c r="F94" s="77">
        <f t="shared" ca="1" si="42"/>
        <v>11.59116925</v>
      </c>
      <c r="G94" s="77">
        <f t="shared" ca="1" si="42"/>
        <v>11.59116925</v>
      </c>
      <c r="H94" s="77">
        <f t="shared" ca="1" si="42"/>
        <v>11.59116925</v>
      </c>
      <c r="I94" s="77">
        <f t="shared" ca="1" si="42"/>
        <v>11.59116925</v>
      </c>
      <c r="J94" s="77">
        <f t="shared" ca="1" si="42"/>
        <v>11.59116925</v>
      </c>
      <c r="K94" s="77">
        <f t="shared" ca="1" si="42"/>
        <v>11.59116925</v>
      </c>
      <c r="L94" s="77">
        <f t="shared" ca="1" si="42"/>
        <v>11.59116925</v>
      </c>
      <c r="N94" t="str">
        <f t="shared" si="39"/>
        <v>Available water - Account Withdraw</v>
      </c>
    </row>
    <row r="95" spans="1:14" x14ac:dyDescent="0.35">
      <c r="C95"/>
    </row>
    <row r="96" spans="1:14" x14ac:dyDescent="0.35">
      <c r="A96" s="79" t="str">
        <f>IF(A$11="","[Unused]",A11)</f>
        <v>Colorado River Delta</v>
      </c>
      <c r="B96" s="80"/>
      <c r="C96" s="80"/>
      <c r="D96" s="80"/>
      <c r="E96" s="80"/>
      <c r="F96" s="80"/>
      <c r="G96" s="80"/>
      <c r="H96" s="80"/>
      <c r="I96" s="80"/>
      <c r="J96" s="80"/>
      <c r="K96" s="80"/>
      <c r="L96" s="80"/>
      <c r="M96" s="81" t="s">
        <v>107</v>
      </c>
      <c r="N96" s="79" t="s">
        <v>175</v>
      </c>
    </row>
    <row r="97" spans="1:14" x14ac:dyDescent="0.35">
      <c r="A97" s="32" t="str">
        <f>IF(A96="[Unused]","","   Volume of Sales(+) and Purchases(-) [maf]")</f>
        <v xml:space="preserve">   Volume of Sales(+) and Purchases(-) [maf]</v>
      </c>
      <c r="C97" s="25"/>
      <c r="D97" s="25"/>
      <c r="E97" s="25">
        <f>-E73</f>
        <v>-1.6E-2</v>
      </c>
      <c r="F97" s="25"/>
      <c r="G97" s="25"/>
      <c r="H97" s="25">
        <f>E97</f>
        <v>-1.6E-2</v>
      </c>
      <c r="I97" s="25"/>
      <c r="J97" s="25"/>
      <c r="K97" s="25">
        <f>-(K65+K73)</f>
        <v>-3.6000000000000004E-2</v>
      </c>
      <c r="L97" s="25"/>
      <c r="M97" s="78">
        <f>SUM(C97:L97)</f>
        <v>-6.8000000000000005E-2</v>
      </c>
      <c r="N97" t="str">
        <f>IF(A97="","",N89)</f>
        <v>Add if multiple transactions, e.g.: 0.5 + 0.25</v>
      </c>
    </row>
    <row r="98" spans="1:14" x14ac:dyDescent="0.35">
      <c r="A98" s="32" t="str">
        <f>IF(A97="","","   Cash Intake(+) and Payments(-) [$ Mill]")</f>
        <v xml:space="preserve">   Cash Intake(+) and Payments(-) [$ Mill]</v>
      </c>
      <c r="C98" s="76"/>
      <c r="D98" s="76"/>
      <c r="E98" s="25">
        <f>-E74</f>
        <v>-5.6000000000000005</v>
      </c>
      <c r="F98" s="76"/>
      <c r="G98" s="76"/>
      <c r="H98" s="25">
        <f>E98</f>
        <v>-5.6000000000000005</v>
      </c>
      <c r="I98" s="76"/>
      <c r="J98" s="76"/>
      <c r="K98" s="76">
        <f>350*K97</f>
        <v>-12.600000000000001</v>
      </c>
      <c r="L98" s="76"/>
      <c r="M98" s="75">
        <f>SUM(C98:L98)</f>
        <v>-23.800000000000004</v>
      </c>
      <c r="N98" t="str">
        <f t="shared" ref="N98:N102" si="43">IF(A98="","",N90)</f>
        <v>Add if multiple transactions, e.g.: $350*0.5 + $450*0.25</v>
      </c>
    </row>
    <row r="99" spans="1:14" x14ac:dyDescent="0.35">
      <c r="A99" s="32" t="str">
        <f>IF(A98="","","   Volume all players (should be zero)")</f>
        <v xml:space="preserve">   Volume all players (should be zero)</v>
      </c>
      <c r="C99" s="78">
        <f t="shared" ref="C99:M99" ca="1" si="44">IF(OR(C$27="",$A99=""),"",C$112)</f>
        <v>0</v>
      </c>
      <c r="D99" s="78">
        <f t="shared" ca="1" si="44"/>
        <v>0</v>
      </c>
      <c r="E99" s="78">
        <f t="shared" ca="1" si="44"/>
        <v>0</v>
      </c>
      <c r="F99" s="78">
        <f t="shared" ca="1" si="44"/>
        <v>0</v>
      </c>
      <c r="G99" s="78">
        <f t="shared" ca="1" si="44"/>
        <v>0</v>
      </c>
      <c r="H99" s="78">
        <f t="shared" ca="1" si="44"/>
        <v>0</v>
      </c>
      <c r="I99" s="78">
        <f t="shared" ca="1" si="44"/>
        <v>0</v>
      </c>
      <c r="J99" s="78">
        <f t="shared" ca="1" si="44"/>
        <v>0</v>
      </c>
      <c r="K99" s="78">
        <f t="shared" ca="1" si="44"/>
        <v>0</v>
      </c>
      <c r="L99" s="78">
        <f t="shared" ca="1" si="44"/>
        <v>0</v>
      </c>
      <c r="M99" t="str">
        <f t="shared" si="44"/>
        <v/>
      </c>
      <c r="N99" t="str">
        <f t="shared" si="43"/>
        <v>If non-zero, players need to change amount(s)</v>
      </c>
    </row>
    <row r="100" spans="1:14" x14ac:dyDescent="0.35">
      <c r="A100" s="1" t="str">
        <f>IF(A98="","","   Available Water [maf]")</f>
        <v xml:space="preserve">   Available Water [maf]</v>
      </c>
      <c r="C100" s="57">
        <f t="shared" ref="C100:L100" si="45">IF(OR(C$27="",$A100=""),"",C35+C53-C45-C97)</f>
        <v>1.5555555555555553E-2</v>
      </c>
      <c r="D100" s="57">
        <f t="shared" ca="1" si="45"/>
        <v>3.0339216362073578E-2</v>
      </c>
      <c r="E100" s="57">
        <f t="shared" ca="1" si="45"/>
        <v>6.0343720557498211E-2</v>
      </c>
      <c r="F100" s="57">
        <f t="shared" ca="1" si="45"/>
        <v>1.5555555555555553E-2</v>
      </c>
      <c r="G100" s="57">
        <f t="shared" ca="1" si="45"/>
        <v>3.028502223377922E-2</v>
      </c>
      <c r="H100" s="57">
        <f t="shared" ca="1" si="45"/>
        <v>6.0199884545869033E-2</v>
      </c>
      <c r="I100" s="57">
        <f t="shared" ca="1" si="45"/>
        <v>1.5555555555555553E-2</v>
      </c>
      <c r="J100" s="57">
        <f t="shared" ca="1" si="45"/>
        <v>3.0281268697098001E-2</v>
      </c>
      <c r="K100" s="57">
        <f t="shared" ca="1" si="45"/>
        <v>8.0265393831916582E-2</v>
      </c>
      <c r="L100" s="57">
        <f t="shared" ca="1" si="45"/>
        <v>1.5807499731210258E-2</v>
      </c>
      <c r="N100" t="str">
        <f t="shared" si="43"/>
        <v>Available water = Account Balance + Available Inflow - Evaporation + Sales - Purchases</v>
      </c>
    </row>
    <row r="101" spans="1:14" x14ac:dyDescent="0.35">
      <c r="A101" s="1" t="str">
        <f>IF(A100="","","   Account Withdraw [maf]")</f>
        <v xml:space="preserve">   Account Withdraw [maf]</v>
      </c>
      <c r="C101" s="43"/>
      <c r="D101" s="43"/>
      <c r="E101" s="50">
        <f ca="1">E100</f>
        <v>6.0343720557498211E-2</v>
      </c>
      <c r="F101" s="43"/>
      <c r="G101" s="43"/>
      <c r="H101" s="50">
        <f ca="1">H100</f>
        <v>6.0199884545869033E-2</v>
      </c>
      <c r="I101" s="43"/>
      <c r="J101" s="43"/>
      <c r="K101" s="50">
        <v>0.08</v>
      </c>
      <c r="L101" s="43"/>
      <c r="N101" t="str">
        <f t="shared" si="43"/>
        <v>Must be less than Available water</v>
      </c>
    </row>
    <row r="102" spans="1:14" x14ac:dyDescent="0.35">
      <c r="A102" s="32" t="str">
        <f>IF(A101="","","   End of Year Balance [maf]")</f>
        <v xml:space="preserve">   End of Year Balance [maf]</v>
      </c>
      <c r="C102" s="77">
        <f>IF(OR(C$27="",$A102=""),"",C100-C101)</f>
        <v>1.5555555555555553E-2</v>
      </c>
      <c r="D102" s="77">
        <f t="shared" ref="D102:L102" ca="1" si="46">IF(OR(D$27="",$A102=""),"",D100-D101)</f>
        <v>3.0339216362073578E-2</v>
      </c>
      <c r="E102" s="77">
        <f t="shared" ca="1" si="46"/>
        <v>0</v>
      </c>
      <c r="F102" s="77">
        <f t="shared" ca="1" si="46"/>
        <v>1.5555555555555553E-2</v>
      </c>
      <c r="G102" s="77">
        <f t="shared" ca="1" si="46"/>
        <v>3.028502223377922E-2</v>
      </c>
      <c r="H102" s="77">
        <f t="shared" ca="1" si="46"/>
        <v>0</v>
      </c>
      <c r="I102" s="77">
        <f t="shared" ca="1" si="46"/>
        <v>1.5555555555555553E-2</v>
      </c>
      <c r="J102" s="77">
        <f t="shared" ca="1" si="46"/>
        <v>3.0281268697098001E-2</v>
      </c>
      <c r="K102" s="77">
        <f t="shared" ca="1" si="46"/>
        <v>2.6539383191657995E-4</v>
      </c>
      <c r="L102" s="77">
        <f t="shared" ca="1" si="46"/>
        <v>1.5807499731210258E-2</v>
      </c>
      <c r="N102" t="str">
        <f t="shared" si="43"/>
        <v>Available water - Account Withdraw</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47">IF(A6="","","    "&amp;A6)</f>
        <v xml:space="preserve">    Upper Basin</v>
      </c>
      <c r="B106" s="1"/>
      <c r="C106" s="78">
        <f t="shared" ref="C106:L111" ca="1" si="48">IF(OR(C$27="",$A106=""),"",OFFSET(C$57,8*(ROW(B106)-ROW(B$106)),0))</f>
        <v>0</v>
      </c>
      <c r="D106" s="78">
        <f t="shared" ca="1" si="48"/>
        <v>0</v>
      </c>
      <c r="E106" s="78">
        <f t="shared" ca="1" si="48"/>
        <v>0</v>
      </c>
      <c r="F106" s="78">
        <f t="shared" ca="1" si="48"/>
        <v>0</v>
      </c>
      <c r="G106" s="78">
        <f t="shared" ca="1" si="48"/>
        <v>0</v>
      </c>
      <c r="H106" s="78">
        <f t="shared" ca="1" si="48"/>
        <v>0</v>
      </c>
      <c r="I106" s="78">
        <f t="shared" ca="1" si="48"/>
        <v>0</v>
      </c>
      <c r="J106" s="78">
        <f t="shared" ca="1" si="48"/>
        <v>0</v>
      </c>
      <c r="K106" s="78">
        <f t="shared" ca="1" si="48"/>
        <v>0</v>
      </c>
      <c r="L106" s="78">
        <f t="shared" ca="1" si="48"/>
        <v>0</v>
      </c>
      <c r="M106" s="78">
        <f ca="1">IF(OR($A106=""),"",SUM(C106:L106))</f>
        <v>0</v>
      </c>
      <c r="N106" s="75">
        <f>IF(OR($A106=""),"",M58)</f>
        <v>0</v>
      </c>
    </row>
    <row r="107" spans="1:14" x14ac:dyDescent="0.35">
      <c r="A107" t="str">
        <f t="shared" si="47"/>
        <v xml:space="preserve">    Lower Basin</v>
      </c>
      <c r="B107" s="1"/>
      <c r="C107" s="78">
        <f t="shared" ca="1" si="48"/>
        <v>0</v>
      </c>
      <c r="D107" s="78">
        <f t="shared" ca="1" si="48"/>
        <v>0</v>
      </c>
      <c r="E107" s="78">
        <f t="shared" ca="1" si="48"/>
        <v>0</v>
      </c>
      <c r="F107" s="78">
        <f t="shared" ca="1" si="48"/>
        <v>0</v>
      </c>
      <c r="G107" s="78">
        <f t="shared" ca="1" si="48"/>
        <v>0</v>
      </c>
      <c r="H107" s="78">
        <f t="shared" ca="1" si="48"/>
        <v>0</v>
      </c>
      <c r="I107" s="78">
        <f t="shared" ca="1" si="48"/>
        <v>0</v>
      </c>
      <c r="J107" s="78">
        <f t="shared" ca="1" si="48"/>
        <v>0</v>
      </c>
      <c r="K107" s="78">
        <f t="shared" ca="1" si="48"/>
        <v>0.02</v>
      </c>
      <c r="L107" s="78">
        <f t="shared" ca="1" si="48"/>
        <v>0</v>
      </c>
      <c r="M107" s="78">
        <f t="shared" ref="M107:M111" ca="1" si="49">IF(OR($A107=""),"",SUM(C107:L107))</f>
        <v>0.02</v>
      </c>
      <c r="N107" s="75">
        <f>IF(OR($A107=""),"",M66)</f>
        <v>7</v>
      </c>
    </row>
    <row r="108" spans="1:14" x14ac:dyDescent="0.35">
      <c r="A108" t="str">
        <f t="shared" si="47"/>
        <v xml:space="preserve">    Mexico</v>
      </c>
      <c r="B108" s="1"/>
      <c r="C108" s="78">
        <f t="shared" ca="1" si="48"/>
        <v>0</v>
      </c>
      <c r="D108" s="78">
        <f t="shared" ca="1" si="48"/>
        <v>0</v>
      </c>
      <c r="E108" s="78">
        <f t="shared" ca="1" si="48"/>
        <v>1.6E-2</v>
      </c>
      <c r="F108" s="78">
        <f t="shared" ca="1" si="48"/>
        <v>0</v>
      </c>
      <c r="G108" s="78">
        <f t="shared" ca="1" si="48"/>
        <v>0</v>
      </c>
      <c r="H108" s="78">
        <f t="shared" ca="1" si="48"/>
        <v>1.6E-2</v>
      </c>
      <c r="I108" s="78">
        <f t="shared" ca="1" si="48"/>
        <v>0</v>
      </c>
      <c r="J108" s="78">
        <f t="shared" ca="1" si="48"/>
        <v>0</v>
      </c>
      <c r="K108" s="78">
        <f t="shared" ca="1" si="48"/>
        <v>1.6E-2</v>
      </c>
      <c r="L108" s="78">
        <f t="shared" ca="1" si="48"/>
        <v>0</v>
      </c>
      <c r="M108" s="78">
        <f t="shared" ca="1" si="49"/>
        <v>4.8000000000000001E-2</v>
      </c>
      <c r="N108" s="75">
        <f>IF(OR($A108=""),"",M74)</f>
        <v>16.8</v>
      </c>
    </row>
    <row r="109" spans="1:14" x14ac:dyDescent="0.35">
      <c r="A109" t="str">
        <f t="shared" si="47"/>
        <v xml:space="preserve">    Mohave &amp; Havasu Evap &amp; ET</v>
      </c>
      <c r="B109" s="1"/>
      <c r="C109" s="78">
        <f t="shared" ca="1" si="48"/>
        <v>0</v>
      </c>
      <c r="D109" s="78">
        <f t="shared" ca="1" si="48"/>
        <v>0</v>
      </c>
      <c r="E109" s="78">
        <f t="shared" ca="1" si="48"/>
        <v>0</v>
      </c>
      <c r="F109" s="78">
        <f t="shared" ca="1" si="48"/>
        <v>0</v>
      </c>
      <c r="G109" s="78">
        <f t="shared" ca="1" si="48"/>
        <v>0</v>
      </c>
      <c r="H109" s="78">
        <f t="shared" ca="1" si="48"/>
        <v>0</v>
      </c>
      <c r="I109" s="78">
        <f t="shared" ca="1" si="48"/>
        <v>0</v>
      </c>
      <c r="J109" s="78">
        <f t="shared" ca="1" si="48"/>
        <v>0</v>
      </c>
      <c r="K109" s="78">
        <f t="shared" ca="1" si="48"/>
        <v>0</v>
      </c>
      <c r="L109" s="78">
        <f t="shared" ca="1" si="48"/>
        <v>0</v>
      </c>
      <c r="M109" s="78">
        <f t="shared" ca="1" si="49"/>
        <v>0</v>
      </c>
      <c r="N109" s="75">
        <f>IF(OR($A109=""),"",M82)</f>
        <v>0</v>
      </c>
    </row>
    <row r="110" spans="1:14" x14ac:dyDescent="0.35">
      <c r="A110" t="str">
        <f t="shared" si="47"/>
        <v xml:space="preserve">    Shared, Reserve</v>
      </c>
      <c r="B110" s="1"/>
      <c r="C110" s="78">
        <f t="shared" ca="1" si="48"/>
        <v>0</v>
      </c>
      <c r="D110" s="78">
        <f t="shared" ca="1" si="48"/>
        <v>0</v>
      </c>
      <c r="E110" s="78">
        <f t="shared" ca="1" si="48"/>
        <v>0</v>
      </c>
      <c r="F110" s="78">
        <f t="shared" ca="1" si="48"/>
        <v>0</v>
      </c>
      <c r="G110" s="78">
        <f t="shared" ca="1" si="48"/>
        <v>0</v>
      </c>
      <c r="H110" s="78">
        <f t="shared" ca="1" si="48"/>
        <v>0</v>
      </c>
      <c r="I110" s="78">
        <f t="shared" ca="1" si="48"/>
        <v>0</v>
      </c>
      <c r="J110" s="78">
        <f t="shared" ca="1" si="48"/>
        <v>0</v>
      </c>
      <c r="K110" s="78">
        <f t="shared" ca="1" si="48"/>
        <v>0</v>
      </c>
      <c r="L110" s="78">
        <f t="shared" ca="1" si="48"/>
        <v>0</v>
      </c>
      <c r="M110" s="78">
        <f t="shared" ca="1" si="49"/>
        <v>0</v>
      </c>
      <c r="N110" s="75">
        <f>IF(OR($A110=""),"",M90)</f>
        <v>0</v>
      </c>
    </row>
    <row r="111" spans="1:14" x14ac:dyDescent="0.35">
      <c r="A111" t="str">
        <f t="shared" si="47"/>
        <v xml:space="preserve">    Colorado River Delta</v>
      </c>
      <c r="B111" s="1"/>
      <c r="C111" s="78">
        <f t="shared" ca="1" si="48"/>
        <v>0</v>
      </c>
      <c r="D111" s="78">
        <f t="shared" ca="1" si="48"/>
        <v>0</v>
      </c>
      <c r="E111" s="78">
        <f t="shared" ca="1" si="48"/>
        <v>-1.6E-2</v>
      </c>
      <c r="F111" s="78">
        <f t="shared" ca="1" si="48"/>
        <v>0</v>
      </c>
      <c r="G111" s="78">
        <f t="shared" ca="1" si="48"/>
        <v>0</v>
      </c>
      <c r="H111" s="78">
        <f t="shared" ca="1" si="48"/>
        <v>-1.6E-2</v>
      </c>
      <c r="I111" s="78">
        <f t="shared" ca="1" si="48"/>
        <v>0</v>
      </c>
      <c r="J111" s="78">
        <f t="shared" ca="1" si="48"/>
        <v>0</v>
      </c>
      <c r="K111" s="78">
        <f t="shared" ca="1" si="48"/>
        <v>-3.6000000000000004E-2</v>
      </c>
      <c r="L111" s="78">
        <f t="shared" ca="1" si="48"/>
        <v>0</v>
      </c>
      <c r="M111" s="78">
        <f t="shared" ca="1" si="49"/>
        <v>-6.8000000000000005E-2</v>
      </c>
      <c r="N111" s="75">
        <f>IF(OR($A111=""),"",M98)</f>
        <v>-23.800000000000004</v>
      </c>
    </row>
    <row r="112" spans="1:14" x14ac:dyDescent="0.35">
      <c r="A112" t="s">
        <v>146</v>
      </c>
      <c r="B112" s="1"/>
      <c r="C112" s="52">
        <f ca="1">IF(C$27&lt;&gt;"",SUM(C106:C111),"")</f>
        <v>0</v>
      </c>
      <c r="D112" s="52">
        <f t="shared" ref="D112:L112" ca="1" si="50">IF(D$27&lt;&gt;"",SUM(D106:D111),"")</f>
        <v>0</v>
      </c>
      <c r="E112" s="52">
        <f t="shared" ca="1" si="50"/>
        <v>0</v>
      </c>
      <c r="F112" s="52">
        <f t="shared" ca="1" si="50"/>
        <v>0</v>
      </c>
      <c r="G112" s="52">
        <f t="shared" ca="1" si="50"/>
        <v>0</v>
      </c>
      <c r="H112" s="52">
        <f t="shared" ca="1" si="50"/>
        <v>0</v>
      </c>
      <c r="I112" s="52">
        <f t="shared" ca="1" si="50"/>
        <v>0</v>
      </c>
      <c r="J112" s="52">
        <f t="shared" ca="1" si="50"/>
        <v>0</v>
      </c>
      <c r="K112" s="52">
        <f t="shared" ca="1" si="50"/>
        <v>0</v>
      </c>
      <c r="L112" s="52">
        <f t="shared" ca="1" si="50"/>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1">IF(OR(C$27="",$A114=""),"",OFFSET(C$61,8*(ROW(B114)-ROW(B$114)),0))</f>
        <v>4.2</v>
      </c>
      <c r="D114" s="78">
        <f t="shared" ca="1" si="51"/>
        <v>4.2</v>
      </c>
      <c r="E114" s="78">
        <f t="shared" ca="1" si="51"/>
        <v>4.2</v>
      </c>
      <c r="F114" s="78">
        <f t="shared" ca="1" si="51"/>
        <v>4.2</v>
      </c>
      <c r="G114" s="78">
        <f t="shared" ca="1" si="51"/>
        <v>4.2</v>
      </c>
      <c r="H114" s="78">
        <f t="shared" ca="1" si="51"/>
        <v>4.2</v>
      </c>
      <c r="I114" s="78">
        <f t="shared" ca="1" si="51"/>
        <v>4.2</v>
      </c>
      <c r="J114" s="78">
        <f t="shared" ca="1" si="51"/>
        <v>4.2</v>
      </c>
      <c r="K114" s="78">
        <f t="shared" ca="1" si="51"/>
        <v>4.2</v>
      </c>
      <c r="L114" s="78">
        <f t="shared" ca="1" si="51"/>
        <v>4.2</v>
      </c>
    </row>
    <row r="115" spans="1:12" x14ac:dyDescent="0.35">
      <c r="A115" t="str">
        <f>IF(A7="","","    "&amp;A7&amp;" - Release from Mead")</f>
        <v xml:space="preserve">    Lower Basin - Release from Mead</v>
      </c>
      <c r="C115" s="78">
        <f t="shared" ca="1" si="51"/>
        <v>7.2590000000000003</v>
      </c>
      <c r="D115" s="78">
        <f t="shared" ca="1" si="51"/>
        <v>7.2590000000000003</v>
      </c>
      <c r="E115" s="78">
        <f t="shared" ca="1" si="51"/>
        <v>6.8870000000000005</v>
      </c>
      <c r="F115" s="78">
        <f t="shared" ca="1" si="51"/>
        <v>6.8870000000000005</v>
      </c>
      <c r="G115" s="78">
        <f t="shared" ca="1" si="51"/>
        <v>6.8870000000000005</v>
      </c>
      <c r="H115" s="78">
        <f t="shared" ca="1" si="51"/>
        <v>6.8870000000000005</v>
      </c>
      <c r="I115" s="78">
        <f t="shared" ca="1" si="51"/>
        <v>6.7789999999999999</v>
      </c>
      <c r="J115" s="78">
        <f t="shared" ca="1" si="51"/>
        <v>6.8870000000000005</v>
      </c>
      <c r="K115" s="78">
        <f t="shared" ca="1" si="51"/>
        <v>6.8870000000000005</v>
      </c>
      <c r="L115" s="78">
        <f t="shared" ca="1" si="51"/>
        <v>6.8870000000000005</v>
      </c>
    </row>
    <row r="116" spans="1:12" x14ac:dyDescent="0.35">
      <c r="A116" t="str">
        <f>IF(A8="","","    "&amp;A8&amp;" - Release from Mead")</f>
        <v xml:space="preserve">    Mexico - Release from Mead</v>
      </c>
      <c r="C116" s="78">
        <f t="shared" ca="1" si="51"/>
        <v>1.4473333333333334</v>
      </c>
      <c r="D116" s="78">
        <f t="shared" ca="1" si="51"/>
        <v>1.4473333333333334</v>
      </c>
      <c r="E116" s="78">
        <f t="shared" ca="1" si="51"/>
        <v>1.4083333333333332</v>
      </c>
      <c r="F116" s="78">
        <f t="shared" ca="1" si="51"/>
        <v>1.4083333333333332</v>
      </c>
      <c r="G116" s="78">
        <f t="shared" ca="1" si="51"/>
        <v>1.4083333333333332</v>
      </c>
      <c r="H116" s="78">
        <f t="shared" ca="1" si="51"/>
        <v>1.4083333333333332</v>
      </c>
      <c r="I116" s="78">
        <f t="shared" ca="1" si="51"/>
        <v>1.3843333333333332</v>
      </c>
      <c r="J116" s="78">
        <f t="shared" ca="1" si="51"/>
        <v>1.4083333333333332</v>
      </c>
      <c r="K116" s="78">
        <f t="shared" ca="1" si="51"/>
        <v>1.4083333333333332</v>
      </c>
      <c r="L116" s="78">
        <f t="shared" ca="1" si="51"/>
        <v>1.4083333333333332</v>
      </c>
    </row>
    <row r="117" spans="1:12" x14ac:dyDescent="0.35">
      <c r="A117" t="str">
        <f>IF(A9="","","    "&amp;A9&amp;" - Release from Mead")</f>
        <v xml:space="preserve">    Mohave &amp; Havasu Evap &amp; ET - Release from Mead</v>
      </c>
      <c r="C117" s="78">
        <f t="shared" ca="1" si="51"/>
        <v>0.6</v>
      </c>
      <c r="D117" s="78">
        <f t="shared" ca="1" si="51"/>
        <v>0.6</v>
      </c>
      <c r="E117" s="78">
        <f t="shared" ca="1" si="51"/>
        <v>0.6</v>
      </c>
      <c r="F117" s="78">
        <f t="shared" ca="1" si="51"/>
        <v>0.6</v>
      </c>
      <c r="G117" s="78">
        <f t="shared" ca="1" si="51"/>
        <v>0.6</v>
      </c>
      <c r="H117" s="78">
        <f t="shared" ca="1" si="51"/>
        <v>0.6</v>
      </c>
      <c r="I117" s="78">
        <f t="shared" ca="1" si="51"/>
        <v>0.6</v>
      </c>
      <c r="J117" s="78">
        <f t="shared" ca="1" si="51"/>
        <v>0.6</v>
      </c>
      <c r="K117" s="78">
        <f t="shared" ca="1" si="51"/>
        <v>0.6</v>
      </c>
      <c r="L117" s="78">
        <f t="shared" ca="1" si="51"/>
        <v>0.6</v>
      </c>
    </row>
    <row r="118" spans="1:12" x14ac:dyDescent="0.35">
      <c r="A118" t="str">
        <f>IF(A10="","","    "&amp;A10&amp;" - Release from Mead")</f>
        <v xml:space="preserve">    Shared, Reserve - Release from Mead</v>
      </c>
      <c r="C118" s="78">
        <f t="shared" ca="1" si="51"/>
        <v>0</v>
      </c>
      <c r="D118" s="78">
        <f t="shared" ca="1" si="51"/>
        <v>0</v>
      </c>
      <c r="E118" s="78">
        <f t="shared" ca="1" si="51"/>
        <v>0</v>
      </c>
      <c r="F118" s="78">
        <f t="shared" ca="1" si="51"/>
        <v>0</v>
      </c>
      <c r="G118" s="78">
        <f t="shared" ca="1" si="51"/>
        <v>0</v>
      </c>
      <c r="H118" s="78">
        <f t="shared" ca="1" si="51"/>
        <v>0</v>
      </c>
      <c r="I118" s="78">
        <f t="shared" ca="1" si="51"/>
        <v>0</v>
      </c>
      <c r="J118" s="78">
        <f t="shared" ca="1" si="51"/>
        <v>0</v>
      </c>
      <c r="K118" s="78">
        <f t="shared" ca="1" si="51"/>
        <v>0</v>
      </c>
      <c r="L118" s="78">
        <f t="shared" ca="1" si="51"/>
        <v>0</v>
      </c>
    </row>
    <row r="119" spans="1:12" x14ac:dyDescent="0.35">
      <c r="A119" t="str">
        <f>IF(A11="","","    "&amp;A11&amp;" - Release from Mead")</f>
        <v xml:space="preserve">    Colorado River Delta - Release from Mead</v>
      </c>
      <c r="C119" s="78">
        <f t="shared" ca="1" si="51"/>
        <v>0</v>
      </c>
      <c r="D119" s="78">
        <f t="shared" ca="1" si="51"/>
        <v>0</v>
      </c>
      <c r="E119" s="78">
        <f t="shared" ca="1" si="51"/>
        <v>6.0343720557498211E-2</v>
      </c>
      <c r="F119" s="78">
        <f t="shared" ca="1" si="51"/>
        <v>0</v>
      </c>
      <c r="G119" s="78">
        <f t="shared" ca="1" si="51"/>
        <v>0</v>
      </c>
      <c r="H119" s="78">
        <f t="shared" ca="1" si="51"/>
        <v>6.0199884545869033E-2</v>
      </c>
      <c r="I119" s="78">
        <f t="shared" ca="1" si="51"/>
        <v>0</v>
      </c>
      <c r="J119" s="78">
        <f t="shared" ca="1" si="51"/>
        <v>0</v>
      </c>
      <c r="K119" s="78">
        <f t="shared" ca="1" si="51"/>
        <v>0.08</v>
      </c>
      <c r="L119" s="78">
        <f t="shared" ca="1" si="51"/>
        <v>0</v>
      </c>
    </row>
    <row r="120" spans="1:12" x14ac:dyDescent="0.35">
      <c r="A120" s="1" t="s">
        <v>139</v>
      </c>
      <c r="B120" s="1"/>
      <c r="D120" s="2"/>
      <c r="E120" s="2"/>
      <c r="F120" s="2"/>
      <c r="G120" s="2"/>
      <c r="H120" s="2"/>
      <c r="I120" s="2"/>
      <c r="J120" s="2"/>
      <c r="K120" s="2"/>
      <c r="L120" s="2"/>
    </row>
    <row r="121" spans="1:12" x14ac:dyDescent="0.35">
      <c r="A121" t="str">
        <f t="shared" ref="A121:A126" si="52">IF(A6="","","    "&amp;A6)</f>
        <v xml:space="preserve">    Upper Basin</v>
      </c>
      <c r="C121" s="78">
        <f t="shared" ref="C121:L126" ca="1" si="53">IF(OR(C$27="",$A121=""),"",OFFSET(C$62,8*(ROW(B121)-ROW(B$121)),0))</f>
        <v>4.5078027390425754</v>
      </c>
      <c r="D121" s="78">
        <f t="shared" ca="1" si="53"/>
        <v>3.9573078351600897</v>
      </c>
      <c r="E121" s="78">
        <f t="shared" ca="1" si="53"/>
        <v>3.4389821903902718</v>
      </c>
      <c r="F121" s="78">
        <f t="shared" ca="1" si="53"/>
        <v>2.9377826549145025</v>
      </c>
      <c r="G121" s="78">
        <f t="shared" ca="1" si="53"/>
        <v>2.4542687316613918</v>
      </c>
      <c r="H121" s="78">
        <f t="shared" ca="1" si="53"/>
        <v>1.9876101143666123</v>
      </c>
      <c r="I121" s="78">
        <f t="shared" ca="1" si="53"/>
        <v>3.5491605571142841</v>
      </c>
      <c r="J121" s="78">
        <f t="shared" ca="1" si="53"/>
        <v>5.0309240984465804</v>
      </c>
      <c r="K121" s="78">
        <f t="shared" ca="1" si="53"/>
        <v>6.4493659330682265</v>
      </c>
      <c r="L121" s="78">
        <f t="shared" ca="1" si="53"/>
        <v>7.8090928308187317</v>
      </c>
    </row>
    <row r="122" spans="1:12" x14ac:dyDescent="0.35">
      <c r="A122" t="str">
        <f t="shared" si="52"/>
        <v xml:space="preserve">    Lower Basin</v>
      </c>
      <c r="C122" s="78">
        <f t="shared" ca="1" si="53"/>
        <v>3.4916684655908359</v>
      </c>
      <c r="D122" s="78">
        <f t="shared" ca="1" si="53"/>
        <v>2.7481515343349781</v>
      </c>
      <c r="E122" s="78">
        <f t="shared" ca="1" si="53"/>
        <v>2.4201979239190976</v>
      </c>
      <c r="F122" s="78">
        <f t="shared" ca="1" si="53"/>
        <v>2.1006719213996234</v>
      </c>
      <c r="G122" s="78">
        <f t="shared" ca="1" si="53"/>
        <v>1.7901689165196828</v>
      </c>
      <c r="H122" s="78">
        <f t="shared" ca="1" si="53"/>
        <v>1.4880435097175759</v>
      </c>
      <c r="I122" s="78">
        <f t="shared" ca="1" si="53"/>
        <v>1.3137958665530114</v>
      </c>
      <c r="J122" s="78">
        <f t="shared" ca="1" si="53"/>
        <v>1.0433649911489704</v>
      </c>
      <c r="K122" s="78">
        <f t="shared" ca="1" si="53"/>
        <v>0.77729465184543134</v>
      </c>
      <c r="L122" s="78">
        <f t="shared" ca="1" si="53"/>
        <v>0.55302692444218948</v>
      </c>
    </row>
    <row r="123" spans="1:12" x14ac:dyDescent="0.35">
      <c r="A123" t="str">
        <f t="shared" si="52"/>
        <v xml:space="preserve">    Mexico</v>
      </c>
      <c r="C123" s="78">
        <f t="shared" ca="1" si="53"/>
        <v>0.16557297647772518</v>
      </c>
      <c r="D123" s="78">
        <f t="shared" ca="1" si="53"/>
        <v>0.15735694647678922</v>
      </c>
      <c r="E123" s="78">
        <f t="shared" ca="1" si="53"/>
        <v>0.13331228563432984</v>
      </c>
      <c r="F123" s="78">
        <f t="shared" ca="1" si="53"/>
        <v>0.12636157073951382</v>
      </c>
      <c r="G123" s="78">
        <f t="shared" ca="1" si="53"/>
        <v>0.11965104936100746</v>
      </c>
      <c r="H123" s="78">
        <f t="shared" ca="1" si="53"/>
        <v>9.7168945212467994E-2</v>
      </c>
      <c r="I123" s="78">
        <f t="shared" ca="1" si="53"/>
        <v>9.1791549140471718E-2</v>
      </c>
      <c r="J123" s="78">
        <f t="shared" ca="1" si="53"/>
        <v>8.689474423673893E-2</v>
      </c>
      <c r="K123" s="78">
        <f t="shared" ca="1" si="53"/>
        <v>6.6385387450480504E-2</v>
      </c>
      <c r="L123" s="78">
        <f t="shared" ca="1" si="53"/>
        <v>6.3021101869416896E-2</v>
      </c>
    </row>
    <row r="124" spans="1:12" x14ac:dyDescent="0.35">
      <c r="A124" t="str">
        <f t="shared" si="52"/>
        <v xml:space="preserve">    Mohave &amp; Havasu Evap &amp; ET</v>
      </c>
      <c r="C124" s="78">
        <f t="shared" ca="1" si="53"/>
        <v>0</v>
      </c>
      <c r="D124" s="78">
        <f t="shared" ca="1" si="53"/>
        <v>0</v>
      </c>
      <c r="E124" s="78">
        <f t="shared" ca="1" si="53"/>
        <v>0</v>
      </c>
      <c r="F124" s="78">
        <f t="shared" ca="1" si="53"/>
        <v>0</v>
      </c>
      <c r="G124" s="78">
        <f t="shared" ca="1" si="53"/>
        <v>0</v>
      </c>
      <c r="H124" s="78">
        <f t="shared" ca="1" si="53"/>
        <v>0</v>
      </c>
      <c r="I124" s="78">
        <f t="shared" ca="1" si="53"/>
        <v>0</v>
      </c>
      <c r="J124" s="78">
        <f t="shared" ca="1" si="53"/>
        <v>0</v>
      </c>
      <c r="K124" s="78">
        <f t="shared" ca="1" si="53"/>
        <v>0</v>
      </c>
      <c r="L124" s="78">
        <f t="shared" ca="1" si="53"/>
        <v>0</v>
      </c>
    </row>
    <row r="125" spans="1:12" x14ac:dyDescent="0.35">
      <c r="A125" t="str">
        <f t="shared" si="52"/>
        <v xml:space="preserve">    Shared, Reserve</v>
      </c>
      <c r="C125" s="78">
        <f t="shared" ca="1" si="53"/>
        <v>11.59116925</v>
      </c>
      <c r="D125" s="78">
        <f t="shared" ca="1" si="53"/>
        <v>11.59116925</v>
      </c>
      <c r="E125" s="78">
        <f t="shared" ca="1" si="53"/>
        <v>11.59116925</v>
      </c>
      <c r="F125" s="78">
        <f t="shared" ca="1" si="53"/>
        <v>11.59116925</v>
      </c>
      <c r="G125" s="78">
        <f t="shared" ca="1" si="53"/>
        <v>11.59116925</v>
      </c>
      <c r="H125" s="78">
        <f t="shared" ca="1" si="53"/>
        <v>11.59116925</v>
      </c>
      <c r="I125" s="78">
        <f t="shared" ca="1" si="53"/>
        <v>11.59116925</v>
      </c>
      <c r="J125" s="78">
        <f t="shared" ca="1" si="53"/>
        <v>11.59116925</v>
      </c>
      <c r="K125" s="78">
        <f t="shared" ca="1" si="53"/>
        <v>11.59116925</v>
      </c>
      <c r="L125" s="78">
        <f t="shared" ca="1" si="53"/>
        <v>11.59116925</v>
      </c>
    </row>
    <row r="126" spans="1:12" x14ac:dyDescent="0.35">
      <c r="A126" t="str">
        <f t="shared" si="52"/>
        <v xml:space="preserve">    Colorado River Delta</v>
      </c>
      <c r="C126" s="78">
        <f t="shared" ca="1" si="53"/>
        <v>1.5555555555555553E-2</v>
      </c>
      <c r="D126" s="78">
        <f t="shared" ca="1" si="53"/>
        <v>3.0339216362073578E-2</v>
      </c>
      <c r="E126" s="78">
        <f t="shared" ca="1" si="53"/>
        <v>0</v>
      </c>
      <c r="F126" s="78">
        <f t="shared" ca="1" si="53"/>
        <v>1.5555555555555553E-2</v>
      </c>
      <c r="G126" s="78">
        <f t="shared" ca="1" si="53"/>
        <v>3.028502223377922E-2</v>
      </c>
      <c r="H126" s="78">
        <f t="shared" ca="1" si="53"/>
        <v>0</v>
      </c>
      <c r="I126" s="78">
        <f t="shared" ca="1" si="53"/>
        <v>1.5555555555555553E-2</v>
      </c>
      <c r="J126" s="78">
        <f t="shared" ca="1" si="53"/>
        <v>3.0281268697098001E-2</v>
      </c>
      <c r="K126" s="78">
        <f t="shared" ca="1" si="53"/>
        <v>2.6539383191657995E-4</v>
      </c>
      <c r="L126" s="78">
        <f t="shared" ca="1" si="53"/>
        <v>1.5807499731210258E-2</v>
      </c>
    </row>
    <row r="127" spans="1:12" x14ac:dyDescent="0.35">
      <c r="A127" s="1" t="s">
        <v>123</v>
      </c>
      <c r="B127" s="1"/>
      <c r="C127" s="14">
        <f ca="1">IF(C$27&lt;&gt;"",SUM(C121:C126),"")</f>
        <v>19.771768986666689</v>
      </c>
      <c r="D127" s="14">
        <f t="shared" ref="D127:L127" ca="1" si="54">IF(D$27&lt;&gt;"",SUM(D121:D126),"")</f>
        <v>18.484324782333928</v>
      </c>
      <c r="E127" s="14">
        <f t="shared" ca="1" si="54"/>
        <v>17.5836616499437</v>
      </c>
      <c r="F127" s="14">
        <f t="shared" ca="1" si="54"/>
        <v>16.771540952609193</v>
      </c>
      <c r="G127" s="14">
        <f t="shared" ca="1" si="54"/>
        <v>15.98554296977586</v>
      </c>
      <c r="H127" s="14">
        <f t="shared" ca="1" si="54"/>
        <v>15.163991819296657</v>
      </c>
      <c r="I127" s="14">
        <f t="shared" ca="1" si="54"/>
        <v>16.561472778363321</v>
      </c>
      <c r="J127" s="14">
        <f t="shared" ca="1" si="54"/>
        <v>17.782634352529389</v>
      </c>
      <c r="K127" s="14">
        <f t="shared" ca="1" si="54"/>
        <v>18.884480616196058</v>
      </c>
      <c r="L127" s="14">
        <f t="shared" ca="1" si="54"/>
        <v>20.032117606861547</v>
      </c>
    </row>
    <row r="128" spans="1:12" x14ac:dyDescent="0.35">
      <c r="A128" s="1" t="s">
        <v>206</v>
      </c>
      <c r="B128" s="1"/>
      <c r="C128" s="87">
        <v>0.5</v>
      </c>
      <c r="D128" s="87">
        <v>0.5</v>
      </c>
      <c r="E128" s="87">
        <v>0.5</v>
      </c>
      <c r="F128" s="87">
        <v>0.5</v>
      </c>
      <c r="G128" s="87">
        <v>0.5</v>
      </c>
      <c r="H128" s="87">
        <v>0.5</v>
      </c>
      <c r="I128" s="87">
        <v>0.5</v>
      </c>
      <c r="J128" s="87">
        <v>0.5</v>
      </c>
      <c r="K128" s="87">
        <v>0.5</v>
      </c>
      <c r="L128" s="87">
        <v>0.5</v>
      </c>
    </row>
    <row r="129" spans="1:14" x14ac:dyDescent="0.35">
      <c r="A129" s="1" t="s">
        <v>202</v>
      </c>
      <c r="B129" s="1"/>
      <c r="C129" s="14">
        <f ca="1">IF(C27="","",C$128*C$127)</f>
        <v>9.8858844933333447</v>
      </c>
      <c r="D129" s="14">
        <f t="shared" ref="D129:L129" ca="1" si="55">IF(D27="","",D$128*D$127)</f>
        <v>9.2421623911669641</v>
      </c>
      <c r="E129" s="14">
        <f t="shared" ca="1" si="55"/>
        <v>8.79183082497185</v>
      </c>
      <c r="F129" s="14">
        <f t="shared" ca="1" si="55"/>
        <v>8.3857704763045966</v>
      </c>
      <c r="G129" s="14">
        <f t="shared" ca="1" si="55"/>
        <v>7.9927714848879301</v>
      </c>
      <c r="H129" s="14">
        <f t="shared" ca="1" si="55"/>
        <v>7.5819959096483283</v>
      </c>
      <c r="I129" s="14">
        <f t="shared" ca="1" si="55"/>
        <v>8.2807363891816603</v>
      </c>
      <c r="J129" s="14">
        <f t="shared" ca="1" si="55"/>
        <v>8.8913171762646943</v>
      </c>
      <c r="K129" s="14">
        <f t="shared" ca="1" si="55"/>
        <v>9.4422403080980288</v>
      </c>
      <c r="L129" s="14">
        <f t="shared" ca="1" si="55"/>
        <v>10.016058803430774</v>
      </c>
    </row>
    <row r="130" spans="1:14" x14ac:dyDescent="0.35">
      <c r="A130" s="1" t="s">
        <v>203</v>
      </c>
      <c r="B130" s="1"/>
      <c r="C130" s="14">
        <f ca="1">IF(C28="","",(1-C$128)*C$127)</f>
        <v>9.8858844933333447</v>
      </c>
      <c r="D130" s="14">
        <f t="shared" ref="D130:L130" ca="1" si="56">IF(D28="","",(1-D$128)*D$127)</f>
        <v>9.2421623911669641</v>
      </c>
      <c r="E130" s="14">
        <f t="shared" ca="1" si="56"/>
        <v>8.79183082497185</v>
      </c>
      <c r="F130" s="14">
        <f t="shared" ca="1" si="56"/>
        <v>8.3857704763045966</v>
      </c>
      <c r="G130" s="14">
        <f t="shared" ca="1" si="56"/>
        <v>7.9927714848879301</v>
      </c>
      <c r="H130" s="14">
        <f t="shared" ca="1" si="56"/>
        <v>7.5819959096483283</v>
      </c>
      <c r="I130" s="14">
        <f t="shared" ca="1" si="56"/>
        <v>8.2807363891816603</v>
      </c>
      <c r="J130" s="14">
        <f t="shared" ca="1" si="56"/>
        <v>8.8913171762646943</v>
      </c>
      <c r="K130" s="14">
        <f t="shared" ca="1" si="56"/>
        <v>9.4422403080980288</v>
      </c>
      <c r="L130" s="14">
        <f t="shared" ca="1" si="56"/>
        <v>10.016058803430774</v>
      </c>
    </row>
    <row r="131" spans="1:14" x14ac:dyDescent="0.35">
      <c r="A131" s="32" t="s">
        <v>305</v>
      </c>
      <c r="B131" s="1"/>
      <c r="C131" s="141">
        <f ca="1">IF(C$27&lt;&gt;"",VLOOKUP(C129*1000000,'Powell-Elevation-Area'!$B$5:$H$689,7),"")</f>
        <v>3579</v>
      </c>
      <c r="D131" s="141">
        <f ca="1">IF(D$27&lt;&gt;"",VLOOKUP(D129*1000000,'Powell-Elevation-Area'!$B$5:$H$689,7),"")</f>
        <v>3571.5</v>
      </c>
      <c r="E131" s="141">
        <f ca="1">IF(E$27&lt;&gt;"",VLOOKUP(E129*1000000,'Powell-Elevation-Area'!$B$5:$H$689,7),"")</f>
        <v>3566</v>
      </c>
      <c r="F131" s="141">
        <f ca="1">IF(F$27&lt;&gt;"",VLOOKUP(F129*1000000,'Powell-Elevation-Area'!$B$5:$H$689,7),"")</f>
        <v>3560.5</v>
      </c>
      <c r="G131" s="141">
        <f ca="1">IF(G$27&lt;&gt;"",VLOOKUP(G129*1000000,'Powell-Elevation-Area'!$B$5:$H$689,7),"")</f>
        <v>3555.5</v>
      </c>
      <c r="H131" s="141">
        <f ca="1">IF(H$27&lt;&gt;"",VLOOKUP(H129*1000000,'Powell-Elevation-Area'!$B$5:$H$689,7),"")</f>
        <v>3549.5</v>
      </c>
      <c r="I131" s="141">
        <f ca="1">IF(I$27&lt;&gt;"",VLOOKUP(I129*1000000,'Powell-Elevation-Area'!$B$5:$H$689,7),"")</f>
        <v>3559</v>
      </c>
      <c r="J131" s="141">
        <f ca="1">IF(J$27&lt;&gt;"",VLOOKUP(J129*1000000,'Powell-Elevation-Area'!$B$5:$H$689,7),"")</f>
        <v>3567</v>
      </c>
      <c r="K131" s="141">
        <f ca="1">IF(K$27&lt;&gt;"",VLOOKUP(K129*1000000,'Powell-Elevation-Area'!$B$5:$H$689,7),"")</f>
        <v>3574</v>
      </c>
      <c r="L131" s="141">
        <f ca="1">IF(L$27&lt;&gt;"",VLOOKUP(L129*1000000,'Powell-Elevation-Area'!$B$5:$H$689,7),"")</f>
        <v>3580.5</v>
      </c>
    </row>
    <row r="132" spans="1:14" x14ac:dyDescent="0.35">
      <c r="A132" s="32" t="s">
        <v>306</v>
      </c>
      <c r="B132" s="1"/>
      <c r="C132" s="141">
        <f ca="1">IF(C$27&lt;&gt;"",VLOOKUP(C130*1000000,'Mead-Elevation-Area'!$B$5:$H$689,7),"")</f>
        <v>1078</v>
      </c>
      <c r="D132" s="141">
        <f ca="1">IF(D$27&lt;&gt;"",VLOOKUP(D130*1000000,'Mead-Elevation-Area'!$B$5:$H$689,7),"")</f>
        <v>1070.5</v>
      </c>
      <c r="E132" s="141">
        <f ca="1">IF(E$27&lt;&gt;"",VLOOKUP(E130*1000000,'Mead-Elevation-Area'!$B$5:$H$689,7),"")</f>
        <v>1064.5</v>
      </c>
      <c r="F132" s="141">
        <f ca="1">IF(F$27&lt;&gt;"",VLOOKUP(F130*1000000,'Mead-Elevation-Area'!$B$5:$H$689,7),"")</f>
        <v>1059.5</v>
      </c>
      <c r="G132" s="141">
        <f ca="1">IF(G$27&lt;&gt;"",VLOOKUP(G130*1000000,'Mead-Elevation-Area'!$B$5:$H$689,7),"")</f>
        <v>1054</v>
      </c>
      <c r="H132" s="141">
        <f ca="1">IF(H$27&lt;&gt;"",VLOOKUP(H130*1000000,'Mead-Elevation-Area'!$B$5:$H$689,7),"")</f>
        <v>1048.5</v>
      </c>
      <c r="I132" s="141">
        <f ca="1">IF(I$27&lt;&gt;"",VLOOKUP(I130*1000000,'Mead-Elevation-Area'!$B$5:$H$689,7),"")</f>
        <v>1058</v>
      </c>
      <c r="J132" s="141">
        <f ca="1">IF(J$27&lt;&gt;"",VLOOKUP(J130*1000000,'Mead-Elevation-Area'!$B$5:$H$689,7),"")</f>
        <v>1066</v>
      </c>
      <c r="K132" s="141">
        <f ca="1">IF(K$27&lt;&gt;"",VLOOKUP(K130*1000000,'Mead-Elevation-Area'!$B$5:$H$689,7),"")</f>
        <v>1073</v>
      </c>
      <c r="L132" s="141">
        <f ca="1">IF(L$27&lt;&gt;"",VLOOKUP(L130*1000000,'Mead-Elevation-Area'!$B$5:$H$689,7),"")</f>
        <v>1080</v>
      </c>
    </row>
    <row r="133" spans="1:14" x14ac:dyDescent="0.35">
      <c r="A133" s="1" t="s">
        <v>319</v>
      </c>
      <c r="B133" s="1"/>
      <c r="C133"/>
    </row>
    <row r="134" spans="1:14" x14ac:dyDescent="0.35">
      <c r="A134" s="32" t="s">
        <v>320</v>
      </c>
      <c r="B134" s="1"/>
      <c r="C134" s="14">
        <f ca="1">IF(C$27&lt;&gt;"",-C129+C37+C27-C61-VLOOKUP(C37*1000000,'Powell-Elevation-Area'!$B$5:$D$689,3)*$B$21/1000000,"")</f>
        <v>8.7912186266660832</v>
      </c>
      <c r="D134" s="14">
        <f ca="1">IF(D$27&lt;&gt;"",-D129+D37+D27-D61-VLOOKUP(D37*1000000,'Powell-Elevation-Area'!$B$5:$D$689,3)*$B$21/1000000,"")</f>
        <v>8.3556252311669539</v>
      </c>
      <c r="E134" s="14">
        <f ca="1">IF(E$27&lt;&gt;"",-E129+E37+E27-E61-VLOOKUP(E37*1000000,'Powell-Elevation-Area'!$B$5:$D$689,3)*$B$21/1000000,"")</f>
        <v>8.1830474876951129</v>
      </c>
      <c r="F134" s="14">
        <f ca="1">IF(F$27&lt;&gt;"",-F129+F37+F27-F61-VLOOKUP(F37*1000000,'Powell-Elevation-Area'!$B$5:$D$689,3)*$B$21/1000000,"")</f>
        <v>8.1540389846666788</v>
      </c>
      <c r="G134" s="14">
        <f ca="1">IF(G$27&lt;&gt;"",-G129+G37+G27-G61-VLOOKUP(G37*1000000,'Powell-Elevation-Area'!$B$5:$D$689,3)*$B$21/1000000,"")</f>
        <v>8.1562403419166678</v>
      </c>
      <c r="H134" s="14">
        <f ca="1">IF(H$27&lt;&gt;"",-H129+H37+H27-H61-VLOOKUP(H37*1000000,'Powell-Elevation-Area'!$B$5:$D$689,3)*$B$21/1000000,"")</f>
        <v>8.1867176426396036</v>
      </c>
      <c r="I134" s="14">
        <f ca="1">IF(I$27&lt;&gt;"",-I129+I37+I27-I61-VLOOKUP(I37*1000000,'Powell-Elevation-Area'!$B$5:$D$689,3)*$B$21/1000000,"")</f>
        <v>9.0922858128666686</v>
      </c>
      <c r="J134" s="14">
        <f ca="1">IF(J$27&lt;&gt;"",-J129+J37+J27-J61-VLOOKUP(J37*1000000,'Powell-Elevation-Area'!$B$5:$D$689,3)*$B$21/1000000,"")</f>
        <v>9.1565621204169645</v>
      </c>
      <c r="K134" s="14">
        <f ca="1">IF(K$27&lt;&gt;"",-K129+K37+K27-K61-VLOOKUP(K37*1000000,'Powell-Elevation-Area'!$B$5:$D$689,3)*$B$21/1000000,"")</f>
        <v>9.194280465166667</v>
      </c>
      <c r="L134" s="14">
        <f ca="1">IF(L$27&lt;&gt;"",-L129+L37+L27-L61-VLOOKUP(L37*1000000,'Powell-Elevation-Area'!$B$5:$D$689,3)*$B$21/1000000,"")</f>
        <v>9.1519598286666817</v>
      </c>
      <c r="N134" t="s">
        <v>204</v>
      </c>
    </row>
    <row r="135" spans="1:14" x14ac:dyDescent="0.35">
      <c r="A135" s="32" t="s">
        <v>321</v>
      </c>
      <c r="B135" s="1"/>
      <c r="C135" s="141" t="str">
        <f ca="1">IF(C$27&lt;&gt;"",VLOOKUP(C131,PowellReleaseTemperature!$A$5:$B$11,2),"")</f>
        <v>&lt; 18</v>
      </c>
      <c r="D135" s="141" t="str">
        <f ca="1">IF(D$27&lt;&gt;"",VLOOKUP(D131,PowellReleaseTemperature!$A$5:$B$11,2),"")</f>
        <v>&lt; 18</v>
      </c>
      <c r="E135" s="141" t="str">
        <f ca="1">IF(E$27&lt;&gt;"",VLOOKUP(E131,PowellReleaseTemperature!$A$5:$B$11,2),"")</f>
        <v>&lt; 18</v>
      </c>
      <c r="F135" s="141" t="str">
        <f ca="1">IF(F$27&lt;&gt;"",VLOOKUP(F131,PowellReleaseTemperature!$A$5:$B$11,2),"")</f>
        <v>&lt; 18</v>
      </c>
      <c r="G135" s="141" t="str">
        <f ca="1">IF(G$27&lt;&gt;"",VLOOKUP(G131,PowellReleaseTemperature!$A$5:$B$11,2),"")</f>
        <v>&lt; 18</v>
      </c>
      <c r="H135" s="141" t="str">
        <f ca="1">IF(H$27&lt;&gt;"",VLOOKUP(H131,PowellReleaseTemperature!$A$5:$B$11,2),"")</f>
        <v>&lt; 18</v>
      </c>
      <c r="I135" s="141" t="str">
        <f ca="1">IF(I$27&lt;&gt;"",VLOOKUP(I131,PowellReleaseTemperature!$A$5:$B$11,2),"")</f>
        <v>&lt; 18</v>
      </c>
      <c r="J135" s="141" t="str">
        <f ca="1">IF(J$27&lt;&gt;"",VLOOKUP(J131,PowellReleaseTemperature!$A$5:$B$11,2),"")</f>
        <v>&lt; 18</v>
      </c>
      <c r="K135" s="141" t="str">
        <f ca="1">IF(K$27&lt;&gt;"",VLOOKUP(K131,PowellReleaseTemperature!$A$5:$B$11,2),"")</f>
        <v>&lt; 18</v>
      </c>
      <c r="L135" s="141" t="str">
        <f ca="1">IF(L$27&lt;&gt;"",VLOOKUP(L131,PowellReleaseTemperature!$A$5:$B$11,2),"")</f>
        <v>&lt; 18</v>
      </c>
      <c r="N135" t="s">
        <v>326</v>
      </c>
    </row>
    <row r="136" spans="1:14" x14ac:dyDescent="0.35">
      <c r="C136" s="29"/>
    </row>
    <row r="137" spans="1:14" x14ac:dyDescent="0.35">
      <c r="A137" s="1" t="s">
        <v>125</v>
      </c>
      <c r="C137" s="12">
        <f>IF(C$27&lt;&gt;"",0.2,"")</f>
        <v>0.2</v>
      </c>
      <c r="D137" s="12">
        <f t="shared" ref="D137:L137" si="57">IF(D$27&lt;&gt;"",0.2,"")</f>
        <v>0.2</v>
      </c>
      <c r="E137" s="12">
        <f t="shared" si="57"/>
        <v>0.2</v>
      </c>
      <c r="F137" s="12">
        <f t="shared" si="57"/>
        <v>0.2</v>
      </c>
      <c r="G137" s="12">
        <f t="shared" si="57"/>
        <v>0.2</v>
      </c>
      <c r="H137" s="12">
        <f t="shared" si="57"/>
        <v>0.2</v>
      </c>
      <c r="I137" s="12">
        <f t="shared" si="57"/>
        <v>0.2</v>
      </c>
      <c r="J137" s="12">
        <f t="shared" si="57"/>
        <v>0.2</v>
      </c>
      <c r="K137" s="12">
        <f t="shared" si="57"/>
        <v>0.2</v>
      </c>
      <c r="L137" s="12">
        <f t="shared" si="57"/>
        <v>0.2</v>
      </c>
    </row>
    <row r="138" spans="1:14" x14ac:dyDescent="0.35">
      <c r="A138" t="s">
        <v>126</v>
      </c>
      <c r="C138" s="14">
        <f t="shared" ref="C138:L138" ca="1" si="58">IF(C$27&lt;&gt;"",C115+C137,"")</f>
        <v>7.4590000000000005</v>
      </c>
      <c r="D138" s="14">
        <f t="shared" ca="1" si="58"/>
        <v>7.4590000000000005</v>
      </c>
      <c r="E138" s="14">
        <f t="shared" ca="1" si="58"/>
        <v>7.0870000000000006</v>
      </c>
      <c r="F138" s="14">
        <f t="shared" ca="1" si="58"/>
        <v>7.0870000000000006</v>
      </c>
      <c r="G138" s="14">
        <f t="shared" ca="1" si="58"/>
        <v>7.0870000000000006</v>
      </c>
      <c r="H138" s="14">
        <f t="shared" ca="1" si="58"/>
        <v>7.0870000000000006</v>
      </c>
      <c r="I138" s="14">
        <f t="shared" ca="1" si="58"/>
        <v>6.9790000000000001</v>
      </c>
      <c r="J138" s="14">
        <f t="shared" ca="1" si="58"/>
        <v>7.0870000000000006</v>
      </c>
      <c r="K138" s="14">
        <f t="shared" ca="1" si="58"/>
        <v>7.0870000000000006</v>
      </c>
      <c r="L138" s="14">
        <f t="shared" ca="1" si="58"/>
        <v>7.0870000000000006</v>
      </c>
    </row>
    <row r="140" spans="1:14" x14ac:dyDescent="0.35">
      <c r="D140"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62" priority="33" operator="greaterThan">
      <formula>$C$60</formula>
    </cfRule>
  </conditionalFormatting>
  <conditionalFormatting sqref="C69:L69">
    <cfRule type="cellIs" dxfId="61" priority="31" operator="greaterThan">
      <formula>$C$68</formula>
    </cfRule>
  </conditionalFormatting>
  <conditionalFormatting sqref="C77:L77">
    <cfRule type="cellIs" dxfId="60" priority="30" operator="greaterThan">
      <formula>$C$76</formula>
    </cfRule>
  </conditionalFormatting>
  <conditionalFormatting sqref="C85">
    <cfRule type="cellIs" dxfId="59" priority="29" operator="greaterThan">
      <formula>$C$84</formula>
    </cfRule>
  </conditionalFormatting>
  <conditionalFormatting sqref="D85">
    <cfRule type="cellIs" dxfId="58" priority="28" operator="greaterThan">
      <formula>$D$84</formula>
    </cfRule>
  </conditionalFormatting>
  <conditionalFormatting sqref="E85">
    <cfRule type="cellIs" dxfId="57" priority="27" operator="greaterThan">
      <formula>$E$84</formula>
    </cfRule>
  </conditionalFormatting>
  <conditionalFormatting sqref="F85">
    <cfRule type="cellIs" dxfId="56" priority="26" operator="greaterThan">
      <formula>$F$84</formula>
    </cfRule>
  </conditionalFormatting>
  <conditionalFormatting sqref="G85:L85">
    <cfRule type="cellIs" dxfId="55" priority="25" operator="greaterThan">
      <formula>$G$84</formula>
    </cfRule>
  </conditionalFormatting>
  <conditionalFormatting sqref="C93">
    <cfRule type="cellIs" dxfId="54" priority="24" operator="greaterThan">
      <formula>$C$92</formula>
    </cfRule>
  </conditionalFormatting>
  <conditionalFormatting sqref="D93">
    <cfRule type="cellIs" dxfId="53" priority="23" operator="greaterThan">
      <formula>$D$92</formula>
    </cfRule>
  </conditionalFormatting>
  <conditionalFormatting sqref="E93">
    <cfRule type="cellIs" dxfId="52" priority="22" operator="greaterThan">
      <formula>$E$92</formula>
    </cfRule>
  </conditionalFormatting>
  <conditionalFormatting sqref="F93">
    <cfRule type="cellIs" dxfId="51" priority="21" operator="greaterThan">
      <formula>$F$92</formula>
    </cfRule>
  </conditionalFormatting>
  <conditionalFormatting sqref="G93">
    <cfRule type="cellIs" dxfId="50" priority="20" operator="greaterThan">
      <formula>$G$92</formula>
    </cfRule>
  </conditionalFormatting>
  <conditionalFormatting sqref="H93">
    <cfRule type="cellIs" dxfId="49" priority="19" operator="greaterThan">
      <formula>$H$92</formula>
    </cfRule>
  </conditionalFormatting>
  <conditionalFormatting sqref="I93">
    <cfRule type="cellIs" dxfId="48" priority="18" operator="greaterThan">
      <formula>$I$92</formula>
    </cfRule>
  </conditionalFormatting>
  <conditionalFormatting sqref="J93">
    <cfRule type="cellIs" dxfId="47" priority="17" operator="greaterThan">
      <formula>$J$92</formula>
    </cfRule>
  </conditionalFormatting>
  <conditionalFormatting sqref="K93">
    <cfRule type="cellIs" dxfId="46" priority="16" operator="greaterThan">
      <formula>$K$92</formula>
    </cfRule>
  </conditionalFormatting>
  <conditionalFormatting sqref="L93">
    <cfRule type="cellIs" dxfId="45" priority="15" operator="greaterThan">
      <formula>$L$92</formula>
    </cfRule>
  </conditionalFormatting>
  <conditionalFormatting sqref="C101">
    <cfRule type="cellIs" dxfId="44" priority="14" operator="greaterThan">
      <formula>$C$100</formula>
    </cfRule>
  </conditionalFormatting>
  <conditionalFormatting sqref="D101">
    <cfRule type="cellIs" dxfId="43" priority="13" operator="greaterThan">
      <formula>$D$100</formula>
    </cfRule>
  </conditionalFormatting>
  <conditionalFormatting sqref="E101">
    <cfRule type="cellIs" dxfId="42" priority="12" operator="greaterThan">
      <formula>$E$100</formula>
    </cfRule>
  </conditionalFormatting>
  <conditionalFormatting sqref="F101">
    <cfRule type="cellIs" dxfId="41" priority="11" operator="greaterThan">
      <formula>$F$100</formula>
    </cfRule>
  </conditionalFormatting>
  <conditionalFormatting sqref="G101">
    <cfRule type="cellIs" dxfId="40" priority="10" operator="greaterThan">
      <formula>$G$100</formula>
    </cfRule>
  </conditionalFormatting>
  <conditionalFormatting sqref="H101">
    <cfRule type="cellIs" dxfId="39" priority="9" operator="greaterThan">
      <formula>$H$100</formula>
    </cfRule>
  </conditionalFormatting>
  <conditionalFormatting sqref="I101">
    <cfRule type="cellIs" dxfId="38" priority="8" operator="greaterThan">
      <formula>$I$100</formula>
    </cfRule>
  </conditionalFormatting>
  <conditionalFormatting sqref="J101">
    <cfRule type="cellIs" dxfId="37" priority="7" operator="greaterThan">
      <formula>$J$100</formula>
    </cfRule>
  </conditionalFormatting>
  <conditionalFormatting sqref="K101">
    <cfRule type="cellIs" dxfId="36" priority="6" operator="greaterThan">
      <formula>$K$100</formula>
    </cfRule>
  </conditionalFormatting>
  <conditionalFormatting sqref="L101">
    <cfRule type="cellIs" dxfId="35" priority="5"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8ED2AFFE-2CDB-43FB-8B82-9BFAC13115BD}">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 xmlns:xm="http://schemas.microsoft.com/office/excel/2006/main">
          <x14:cfRule type="cellIs" priority="1" operator="equal" id="{7AABE391-0658-4174-9484-792575A088EA}">
            <xm:f>PowellReleaseTemperature!$B$7</xm:f>
            <x14:dxf>
              <font>
                <color auto="1"/>
              </font>
              <fill>
                <patternFill>
                  <bgColor rgb="FFFF0000"/>
                </patternFill>
              </fill>
            </x14:dxf>
          </x14:cfRule>
          <x14:cfRule type="cellIs" priority="2" operator="equal" id="{B4DF28D4-1B15-4001-AE0B-AF5D149BDDF3}">
            <xm:f>PowellReleaseTemperature!$B$8</xm:f>
            <x14:dxf>
              <font>
                <color rgb="FF9C0006"/>
              </font>
              <fill>
                <patternFill>
                  <bgColor rgb="FFFFC7CE"/>
                </patternFill>
              </fill>
            </x14:dxf>
          </x14:cfRule>
          <x14:cfRule type="cellIs" priority="3" operator="equal" id="{31F03AE7-54C9-452F-B2F5-444D023BC371}">
            <xm:f>PowellReleaseTemperature!$B$9</xm:f>
            <x14:dxf>
              <font>
                <color auto="1"/>
              </font>
              <fill>
                <patternFill>
                  <bgColor theme="4" tint="0.39994506668294322"/>
                </patternFill>
              </fill>
            </x14:dxf>
          </x14:cfRule>
          <x14:cfRule type="cellIs" priority="4" operator="equal" id="{7E711D44-CEFE-4B3F-B16A-AA2CD6447FD0}">
            <xm:f>PowellReleaseTemperature!$B$10</xm:f>
            <x14:dxf>
              <font>
                <color auto="1"/>
              </font>
              <fill>
                <patternFill>
                  <bgColor theme="8" tint="-0.499984740745262"/>
                </patternFill>
              </fill>
            </x14:dxf>
          </x14:cfRule>
          <xm:sqref>C135:L135</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topLeftCell="A6" zoomScale="150" zoomScaleNormal="150" workbookViewId="0">
      <selection activeCell="B15" sqref="B15"/>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253</v>
      </c>
    </row>
    <row r="3" spans="1:16" s="1" customFormat="1" x14ac:dyDescent="0.35">
      <c r="D3" s="139" t="s">
        <v>254</v>
      </c>
      <c r="E3" s="139"/>
      <c r="F3" s="139" t="s">
        <v>255</v>
      </c>
      <c r="G3" s="139"/>
      <c r="H3" s="139"/>
      <c r="I3" s="139" t="s">
        <v>256</v>
      </c>
      <c r="J3" s="139"/>
      <c r="K3" s="139"/>
      <c r="M3" s="139" t="s">
        <v>41</v>
      </c>
      <c r="N3" s="139"/>
      <c r="O3" s="139"/>
    </row>
    <row r="4" spans="1:16" s="94" customFormat="1" ht="42.5" customHeight="1" x14ac:dyDescent="0.35">
      <c r="A4" s="93" t="s">
        <v>128</v>
      </c>
      <c r="B4" s="93" t="s">
        <v>129</v>
      </c>
      <c r="C4" s="93" t="s">
        <v>265</v>
      </c>
      <c r="D4" s="93" t="s">
        <v>257</v>
      </c>
      <c r="E4" s="93" t="s">
        <v>258</v>
      </c>
      <c r="F4" s="93" t="s">
        <v>257</v>
      </c>
      <c r="G4" s="93" t="s">
        <v>258</v>
      </c>
      <c r="H4" s="93" t="s">
        <v>259</v>
      </c>
      <c r="I4" s="93" t="s">
        <v>257</v>
      </c>
      <c r="J4" s="93" t="s">
        <v>258</v>
      </c>
      <c r="K4" s="93" t="s">
        <v>259</v>
      </c>
      <c r="L4" s="93" t="s">
        <v>263</v>
      </c>
      <c r="M4" s="93" t="s">
        <v>261</v>
      </c>
      <c r="N4" s="93" t="s">
        <v>262</v>
      </c>
      <c r="O4" s="93" t="s">
        <v>260</v>
      </c>
      <c r="P4" s="93" t="s">
        <v>132</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96">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96">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96">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96">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96">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96">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96">
        <f t="shared" si="4"/>
        <v>0.08</v>
      </c>
      <c r="P11" s="96">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96">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9">
        <v>0</v>
      </c>
      <c r="O13" s="2">
        <f t="shared" si="4"/>
        <v>0</v>
      </c>
      <c r="P13" s="51">
        <f t="shared" si="5"/>
        <v>0</v>
      </c>
    </row>
    <row r="14" spans="1:16" x14ac:dyDescent="0.35">
      <c r="B14" s="101"/>
    </row>
    <row r="15" spans="1:16" x14ac:dyDescent="0.35">
      <c r="B15" s="99"/>
      <c r="C15" s="100"/>
    </row>
    <row r="16" spans="1:16" x14ac:dyDescent="0.35">
      <c r="A16" t="s">
        <v>264</v>
      </c>
    </row>
    <row r="17" spans="1:16" x14ac:dyDescent="0.35">
      <c r="A17" s="95">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96">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96">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96">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96">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96">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96">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96">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96">
        <f t="shared" si="12"/>
        <v>1.375</v>
      </c>
    </row>
    <row r="26" spans="1:16" x14ac:dyDescent="0.35">
      <c r="A26" s="38">
        <v>955</v>
      </c>
    </row>
    <row r="29" spans="1:16" x14ac:dyDescent="0.35">
      <c r="A29" s="39"/>
      <c r="I29" s="9"/>
      <c r="L29" s="30"/>
      <c r="O29" s="2"/>
      <c r="P29" s="96"/>
    </row>
    <row r="30" spans="1:16" x14ac:dyDescent="0.35">
      <c r="A30" s="39"/>
      <c r="I30" s="9"/>
      <c r="L30" s="30"/>
      <c r="O30" s="2"/>
      <c r="P30" s="96"/>
    </row>
    <row r="31" spans="1:16" x14ac:dyDescent="0.35">
      <c r="A31" s="39"/>
      <c r="I31" s="9"/>
      <c r="L31" s="30"/>
      <c r="O31" s="2"/>
      <c r="P31" s="96"/>
    </row>
    <row r="32" spans="1:16" x14ac:dyDescent="0.35">
      <c r="A32" s="39"/>
      <c r="I32" s="9"/>
      <c r="L32" s="30"/>
      <c r="O32" s="2"/>
      <c r="P32" s="96"/>
    </row>
    <row r="33" spans="1:16" x14ac:dyDescent="0.35">
      <c r="A33" s="39"/>
      <c r="I33" s="9"/>
      <c r="L33" s="30"/>
      <c r="O33" s="2"/>
      <c r="P33" s="96"/>
    </row>
    <row r="34" spans="1:16" x14ac:dyDescent="0.35">
      <c r="A34" s="39"/>
      <c r="I34" s="9"/>
      <c r="L34" s="30"/>
      <c r="O34" s="2"/>
      <c r="P34" s="96"/>
    </row>
    <row r="35" spans="1:16" x14ac:dyDescent="0.35">
      <c r="A35" s="39"/>
      <c r="I35" s="9"/>
      <c r="L35" s="30"/>
      <c r="O35" s="2"/>
      <c r="P35" s="96"/>
    </row>
    <row r="36" spans="1:16" x14ac:dyDescent="0.35">
      <c r="A36" s="39"/>
      <c r="I36" s="9"/>
      <c r="L36" s="30"/>
      <c r="O36" s="2"/>
      <c r="P36" s="96"/>
    </row>
  </sheetData>
  <sortState ref="A29:P36">
    <sortCondition ref="A29:A36"/>
  </sortState>
  <mergeCells count="4">
    <mergeCell ref="D3:E3"/>
    <mergeCell ref="F3:H3"/>
    <mergeCell ref="I3:K3"/>
    <mergeCell ref="M3:O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D15"/>
  <sheetViews>
    <sheetView zoomScale="170" zoomScaleNormal="170" workbookViewId="0">
      <selection activeCell="G3" sqref="G3"/>
    </sheetView>
  </sheetViews>
  <sheetFormatPr defaultRowHeight="14.5" x14ac:dyDescent="0.35"/>
  <cols>
    <col min="1" max="1" width="10.90625" style="143" customWidth="1"/>
    <col min="2" max="2" width="12.7265625" style="143" customWidth="1"/>
    <col min="3" max="3" width="9.453125" style="143" customWidth="1"/>
    <col min="4" max="4" width="46.26953125" style="143" customWidth="1"/>
  </cols>
  <sheetData>
    <row r="1" spans="1:4" x14ac:dyDescent="0.35">
      <c r="A1" s="142" t="s">
        <v>307</v>
      </c>
    </row>
    <row r="2" spans="1:4" x14ac:dyDescent="0.35">
      <c r="A2" s="143" t="s">
        <v>308</v>
      </c>
    </row>
    <row r="4" spans="1:4" s="107" customFormat="1" ht="43.5" x14ac:dyDescent="0.35">
      <c r="A4" s="63" t="s">
        <v>309</v>
      </c>
      <c r="B4" s="63" t="s">
        <v>315</v>
      </c>
      <c r="C4" s="63" t="s">
        <v>316</v>
      </c>
      <c r="D4" s="64" t="s">
        <v>310</v>
      </c>
    </row>
    <row r="5" spans="1:4" s="107" customFormat="1" ht="58" x14ac:dyDescent="0.35">
      <c r="A5" s="148">
        <f>'Powell-Elevation-Area'!A5</f>
        <v>3370</v>
      </c>
      <c r="B5" s="164" t="s">
        <v>325</v>
      </c>
      <c r="C5" s="149" t="s">
        <v>318</v>
      </c>
      <c r="D5" s="150" t="str">
        <f>D7</f>
        <v>Highest uncertainty for native fish. Also represent a substantial risk to the tailwater trout fishery, as sustained temperatures of 19oC or higher are unsuitable for trout.</v>
      </c>
    </row>
    <row r="6" spans="1:4" s="107" customFormat="1" ht="58" x14ac:dyDescent="0.35">
      <c r="A6" s="145">
        <v>3425</v>
      </c>
      <c r="B6" s="146" t="str">
        <f>B7</f>
        <v>&gt; 18</v>
      </c>
      <c r="C6" s="146" t="s">
        <v>318</v>
      </c>
      <c r="D6" s="147" t="str">
        <f>D7</f>
        <v>Highest uncertainty for native fish. Also represent a substantial risk to the tailwater trout fishery, as sustained temperatures of 19oC or higher are unsuitable for trout.</v>
      </c>
    </row>
    <row r="7" spans="1:4" s="107" customFormat="1" ht="58" x14ac:dyDescent="0.35">
      <c r="A7" s="151">
        <v>3490</v>
      </c>
      <c r="B7" s="152" t="s">
        <v>325</v>
      </c>
      <c r="C7" s="152" t="s">
        <v>317</v>
      </c>
      <c r="D7" s="153" t="s">
        <v>314</v>
      </c>
    </row>
    <row r="8" spans="1:4" ht="72.5" x14ac:dyDescent="0.35">
      <c r="A8" s="154">
        <v>3525</v>
      </c>
      <c r="B8" s="155" t="s">
        <v>324</v>
      </c>
      <c r="C8" s="155" t="s">
        <v>317</v>
      </c>
      <c r="D8" s="156" t="s">
        <v>313</v>
      </c>
    </row>
    <row r="9" spans="1:4" ht="43.5" x14ac:dyDescent="0.35">
      <c r="A9" s="157">
        <v>3600</v>
      </c>
      <c r="B9" s="158" t="s">
        <v>323</v>
      </c>
      <c r="C9" s="158" t="s">
        <v>317</v>
      </c>
      <c r="D9" s="159" t="s">
        <v>312</v>
      </c>
    </row>
    <row r="10" spans="1:4" ht="101.5" x14ac:dyDescent="0.35">
      <c r="A10" s="160">
        <v>3675</v>
      </c>
      <c r="B10" s="161" t="s">
        <v>322</v>
      </c>
      <c r="C10" s="161" t="s">
        <v>317</v>
      </c>
      <c r="D10" s="162" t="s">
        <v>311</v>
      </c>
    </row>
    <row r="11" spans="1:4" ht="101.5" x14ac:dyDescent="0.35">
      <c r="A11" s="160">
        <v>3700</v>
      </c>
      <c r="B11" s="161" t="str">
        <f>B10</f>
        <v>&lt; 12</v>
      </c>
      <c r="C11" s="161" t="s">
        <v>317</v>
      </c>
      <c r="D11" s="16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row>
    <row r="13" spans="1:4" ht="16.5" x14ac:dyDescent="0.35">
      <c r="D13" s="144"/>
    </row>
    <row r="14" spans="1:4" ht="16.5" x14ac:dyDescent="0.35">
      <c r="D14" s="144"/>
    </row>
    <row r="15" spans="1:4" ht="16.5" x14ac:dyDescent="0.35">
      <c r="D15" s="144"/>
    </row>
  </sheetData>
  <conditionalFormatting sqref="B5">
    <cfRule type="cellIs" dxfId="30" priority="1" operator="equal">
      <formula>$B$7</formula>
    </cfRule>
    <cfRule type="cellIs" dxfId="29" priority="2" operator="equal">
      <formula>$B$8</formula>
    </cfRule>
    <cfRule type="cellIs" dxfId="28" priority="3" operator="equal">
      <formula>$B$9</formula>
    </cfRule>
    <cfRule type="cellIs" dxfId="27" priority="4" operator="equal">
      <formula>$B$10</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zoomScale="160" zoomScaleNormal="160" workbookViewId="0">
      <selection activeCell="B465" sqref="B46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70"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120</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108</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7"/>
      <c r="C5" s="140"/>
      <c r="D5" s="140"/>
      <c r="E5" s="140"/>
      <c r="F5" s="140"/>
      <c r="G5" s="140"/>
      <c r="H5" s="140"/>
    </row>
    <row r="6" spans="1:11" x14ac:dyDescent="0.35">
      <c r="A6" s="16" t="s">
        <v>39</v>
      </c>
      <c r="B6" s="47"/>
      <c r="C6" s="140"/>
      <c r="D6" s="140"/>
      <c r="E6" s="140"/>
      <c r="F6" s="140"/>
      <c r="G6" s="140"/>
      <c r="H6" s="140"/>
    </row>
    <row r="7" spans="1:11" x14ac:dyDescent="0.35">
      <c r="A7" s="16" t="s">
        <v>40</v>
      </c>
      <c r="B7" s="47"/>
      <c r="C7" s="140"/>
      <c r="D7" s="140"/>
      <c r="E7" s="140"/>
      <c r="F7" s="140"/>
      <c r="G7" s="140"/>
      <c r="H7" s="140"/>
    </row>
    <row r="8" spans="1:11" x14ac:dyDescent="0.35">
      <c r="A8" s="16" t="s">
        <v>41</v>
      </c>
      <c r="B8" s="47"/>
      <c r="C8" s="140"/>
      <c r="D8" s="140"/>
      <c r="E8" s="140"/>
      <c r="F8" s="140"/>
      <c r="G8" s="140"/>
      <c r="H8" s="140"/>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110</v>
      </c>
      <c r="C17" s="13" t="s">
        <v>111</v>
      </c>
    </row>
    <row r="18" spans="1:13" x14ac:dyDescent="0.35">
      <c r="A18" t="s">
        <v>109</v>
      </c>
      <c r="B18" s="12">
        <v>5.73</v>
      </c>
      <c r="C18" s="12">
        <v>6</v>
      </c>
      <c r="D18" s="23" t="s">
        <v>140</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107</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121</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124</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116</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117</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115</v>
      </c>
      <c r="C28"/>
    </row>
    <row r="29" spans="1:13" hidden="1" x14ac:dyDescent="0.35">
      <c r="A29" t="s">
        <v>113</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114</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119</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99</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100</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101</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118</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133</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104</v>
      </c>
      <c r="C39"/>
    </row>
    <row r="40" spans="1:13" x14ac:dyDescent="0.35">
      <c r="A40" s="32" t="s">
        <v>102</v>
      </c>
      <c r="B40" s="1"/>
      <c r="C40" s="25"/>
      <c r="D40" s="25"/>
      <c r="E40" s="25"/>
      <c r="F40" s="25"/>
      <c r="G40" s="25"/>
      <c r="H40" s="25"/>
      <c r="I40" s="25"/>
      <c r="J40" s="25"/>
      <c r="K40" s="25"/>
      <c r="L40" s="25"/>
    </row>
    <row r="41" spans="1:13" x14ac:dyDescent="0.35">
      <c r="A41" s="32" t="s">
        <v>103</v>
      </c>
      <c r="B41" s="1"/>
      <c r="C41" s="31"/>
      <c r="D41" s="31"/>
      <c r="E41" s="31"/>
      <c r="F41" s="31"/>
      <c r="G41" s="31"/>
      <c r="H41" s="31"/>
      <c r="I41" s="31"/>
      <c r="J41" s="31"/>
      <c r="K41" s="31"/>
      <c r="L41" s="31"/>
      <c r="M41" s="33">
        <f>SUM(C41:L41)</f>
        <v>0</v>
      </c>
    </row>
    <row r="42" spans="1:13" hidden="1" x14ac:dyDescent="0.35">
      <c r="A42" s="32" t="s">
        <v>105</v>
      </c>
      <c r="B42" s="1"/>
      <c r="C42" s="25"/>
      <c r="D42" s="25"/>
      <c r="E42" s="25"/>
      <c r="F42" s="25"/>
      <c r="G42" s="25"/>
      <c r="H42" s="25"/>
      <c r="I42" s="25"/>
      <c r="J42" s="25"/>
      <c r="K42" s="25"/>
      <c r="L42" s="25"/>
      <c r="M42" s="34"/>
    </row>
    <row r="43" spans="1:13" hidden="1" x14ac:dyDescent="0.35">
      <c r="A43" s="32" t="s">
        <v>106</v>
      </c>
      <c r="B43" s="1"/>
      <c r="C43" s="31"/>
      <c r="D43" s="31"/>
      <c r="E43" s="31"/>
      <c r="F43" s="31"/>
      <c r="G43" s="31"/>
      <c r="H43" s="31"/>
      <c r="I43" s="31"/>
      <c r="J43" s="31"/>
      <c r="K43" s="31"/>
      <c r="L43" s="31"/>
      <c r="M43" s="33">
        <f>SUM(C43:L43)</f>
        <v>0</v>
      </c>
    </row>
    <row r="44" spans="1:13" x14ac:dyDescent="0.35">
      <c r="A44" s="1" t="s">
        <v>122</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134</v>
      </c>
      <c r="B48" s="1"/>
      <c r="C48" s="29"/>
      <c r="D48" s="2"/>
      <c r="E48" s="2"/>
      <c r="F48" s="2"/>
      <c r="G48" s="2"/>
      <c r="H48" s="2"/>
      <c r="I48" s="2"/>
      <c r="J48" s="2"/>
      <c r="K48" s="2"/>
      <c r="L48" s="2"/>
    </row>
    <row r="49" spans="1:18" x14ac:dyDescent="0.35">
      <c r="A49" t="s">
        <v>135</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6"/>
      <c r="N49" s="1" t="s">
        <v>127</v>
      </c>
    </row>
    <row r="50" spans="1:18" x14ac:dyDescent="0.35">
      <c r="A50" t="s">
        <v>136</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128</v>
      </c>
      <c r="O50" s="37" t="s">
        <v>129</v>
      </c>
      <c r="P50" s="38" t="s">
        <v>130</v>
      </c>
      <c r="Q50" s="38" t="s">
        <v>131</v>
      </c>
      <c r="R50" s="37" t="s">
        <v>132</v>
      </c>
    </row>
    <row r="51" spans="1:18" x14ac:dyDescent="0.35">
      <c r="A51" t="s">
        <v>137</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138</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139</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123</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125</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126</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6" priority="23" operator="greaterThan">
      <formula>$C$45</formula>
    </cfRule>
  </conditionalFormatting>
  <conditionalFormatting sqref="H49">
    <cfRule type="cellIs" dxfId="25" priority="22" operator="greaterThan">
      <formula>$H$45</formula>
    </cfRule>
  </conditionalFormatting>
  <conditionalFormatting sqref="I49">
    <cfRule type="cellIs" dxfId="24" priority="21" operator="greaterThan">
      <formula>$I$45</formula>
    </cfRule>
  </conditionalFormatting>
  <conditionalFormatting sqref="J49">
    <cfRule type="cellIs" dxfId="23" priority="20" operator="greaterThan">
      <formula>$J$45</formula>
    </cfRule>
  </conditionalFormatting>
  <conditionalFormatting sqref="K49">
    <cfRule type="cellIs" dxfId="22" priority="19" operator="greaterThan">
      <formula>$K$45</formula>
    </cfRule>
  </conditionalFormatting>
  <conditionalFormatting sqref="L49">
    <cfRule type="cellIs" dxfId="21" priority="18" operator="greaterThan">
      <formula>$L$45</formula>
    </cfRule>
  </conditionalFormatting>
  <conditionalFormatting sqref="H50:L50">
    <cfRule type="cellIs" dxfId="20" priority="17" operator="greaterThan">
      <formula>$D$46</formula>
    </cfRule>
  </conditionalFormatting>
  <conditionalFormatting sqref="H50">
    <cfRule type="cellIs" dxfId="19" priority="16" operator="greaterThan">
      <formula>$H$46</formula>
    </cfRule>
  </conditionalFormatting>
  <conditionalFormatting sqref="I50">
    <cfRule type="cellIs" dxfId="18" priority="15" operator="greaterThan">
      <formula>$I$46</formula>
    </cfRule>
  </conditionalFormatting>
  <conditionalFormatting sqref="J50">
    <cfRule type="cellIs" dxfId="17" priority="14" operator="greaterThan">
      <formula>$J$46</formula>
    </cfRule>
  </conditionalFormatting>
  <conditionalFormatting sqref="K50">
    <cfRule type="cellIs" dxfId="16" priority="13" operator="greaterThan">
      <formula>$K$46</formula>
    </cfRule>
  </conditionalFormatting>
  <conditionalFormatting sqref="L50">
    <cfRule type="cellIs" dxfId="15" priority="12" operator="greaterThan">
      <formula>$L$46</formula>
    </cfRule>
  </conditionalFormatting>
  <conditionalFormatting sqref="C52">
    <cfRule type="cellIs" dxfId="14" priority="11" operator="greaterThan">
      <formula>$C$47</formula>
    </cfRule>
  </conditionalFormatting>
  <conditionalFormatting sqref="D52">
    <cfRule type="cellIs" dxfId="13" priority="10" operator="greaterThan">
      <formula>$D$47</formula>
    </cfRule>
  </conditionalFormatting>
  <conditionalFormatting sqref="E52">
    <cfRule type="cellIs" dxfId="12" priority="9" operator="greaterThan">
      <formula>$E$47</formula>
    </cfRule>
  </conditionalFormatting>
  <conditionalFormatting sqref="F52">
    <cfRule type="cellIs" dxfId="11" priority="8" operator="greaterThan">
      <formula>$F$47</formula>
    </cfRule>
  </conditionalFormatting>
  <conditionalFormatting sqref="G52">
    <cfRule type="cellIs" dxfId="10" priority="7" operator="greaterThan">
      <formula>$G$47</formula>
    </cfRule>
  </conditionalFormatting>
  <conditionalFormatting sqref="H52">
    <cfRule type="cellIs" dxfId="9" priority="6" operator="greaterThan">
      <formula>$H$47</formula>
    </cfRule>
  </conditionalFormatting>
  <conditionalFormatting sqref="I52">
    <cfRule type="cellIs" dxfId="8" priority="5" operator="greaterThan">
      <formula>$I$47</formula>
    </cfRule>
  </conditionalFormatting>
  <conditionalFormatting sqref="J52">
    <cfRule type="cellIs" dxfId="7" priority="4" operator="greaterThan">
      <formula>$J$47</formula>
    </cfRule>
  </conditionalFormatting>
  <conditionalFormatting sqref="K52">
    <cfRule type="cellIs" dxfId="6" priority="3" operator="greaterThan">
      <formula>$K$47</formula>
    </cfRule>
  </conditionalFormatting>
  <conditionalFormatting sqref="L52">
    <cfRule type="cellIs" dxfId="5" priority="2" operator="greaterThan">
      <formula>$L$47</formula>
    </cfRule>
  </conditionalFormatting>
  <conditionalFormatting sqref="C49:G49">
    <cfRule type="cellIs" dxfId="4"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0"/>
  <sheetViews>
    <sheetView tabSelected="1" topLeftCell="C4" zoomScale="150" zoomScaleNormal="150" workbookViewId="0">
      <selection activeCell="H5" sqref="H5"/>
    </sheetView>
  </sheetViews>
  <sheetFormatPr defaultRowHeight="14.5" x14ac:dyDescent="0.35"/>
  <cols>
    <col min="1" max="1" width="8.7265625" style="66"/>
    <col min="2" max="2" width="12.6328125" style="66" customWidth="1"/>
    <col min="3" max="3" width="29.90625" style="65" customWidth="1"/>
    <col min="4" max="4" width="12.453125" style="68" customWidth="1"/>
    <col min="5" max="5" width="15.08984375" style="68" customWidth="1"/>
    <col min="6" max="6" width="10.54296875" style="66" customWidth="1"/>
    <col min="8" max="8" width="32.36328125" style="107" customWidth="1"/>
    <col min="9" max="9" width="12.36328125" style="107" customWidth="1"/>
    <col min="10" max="10" width="10.26953125" style="2" customWidth="1"/>
  </cols>
  <sheetData>
    <row r="1" spans="1:10" s="62" customFormat="1" ht="30.5" customHeight="1" x14ac:dyDescent="0.35">
      <c r="A1" s="63" t="s">
        <v>181</v>
      </c>
      <c r="B1" s="63" t="s">
        <v>162</v>
      </c>
      <c r="C1" s="64" t="s">
        <v>163</v>
      </c>
      <c r="D1" s="63" t="s">
        <v>165</v>
      </c>
      <c r="E1" s="63" t="s">
        <v>164</v>
      </c>
      <c r="F1" s="63" t="s">
        <v>166</v>
      </c>
      <c r="H1" s="105" t="s">
        <v>242</v>
      </c>
      <c r="I1" s="105" t="s">
        <v>164</v>
      </c>
      <c r="J1" s="108" t="s">
        <v>166</v>
      </c>
    </row>
    <row r="2" spans="1:10" ht="29" x14ac:dyDescent="0.35">
      <c r="A2" s="113"/>
      <c r="B2" s="113"/>
      <c r="C2" s="114"/>
      <c r="D2" s="113"/>
      <c r="E2" s="113"/>
      <c r="F2" s="113"/>
      <c r="H2" s="65" t="s">
        <v>243</v>
      </c>
      <c r="I2" s="65" t="s">
        <v>156</v>
      </c>
      <c r="J2" s="66"/>
    </row>
    <row r="3" spans="1:10" ht="30" customHeight="1" x14ac:dyDescent="0.35">
      <c r="A3" s="113" t="s">
        <v>328</v>
      </c>
      <c r="B3" s="113" t="s">
        <v>329</v>
      </c>
      <c r="C3" s="65" t="s">
        <v>330</v>
      </c>
      <c r="D3" s="113" t="s">
        <v>156</v>
      </c>
      <c r="E3" s="113" t="s">
        <v>304</v>
      </c>
      <c r="F3" s="115">
        <v>44391</v>
      </c>
      <c r="H3" s="65" t="s">
        <v>284</v>
      </c>
      <c r="I3" s="65" t="s">
        <v>273</v>
      </c>
      <c r="J3" s="67">
        <v>44385</v>
      </c>
    </row>
    <row r="4" spans="1:10" ht="29" x14ac:dyDescent="0.35">
      <c r="A4" s="113" t="s">
        <v>328</v>
      </c>
      <c r="B4" s="113" t="s">
        <v>329</v>
      </c>
      <c r="C4" s="65" t="s">
        <v>275</v>
      </c>
      <c r="D4" s="113" t="s">
        <v>156</v>
      </c>
      <c r="E4" s="113" t="s">
        <v>304</v>
      </c>
      <c r="F4" s="115">
        <v>44391</v>
      </c>
      <c r="H4" s="65"/>
      <c r="I4" s="65"/>
      <c r="J4" s="67"/>
    </row>
    <row r="5" spans="1:10" ht="101.5" x14ac:dyDescent="0.35">
      <c r="A5" s="113" t="s">
        <v>302</v>
      </c>
      <c r="B5" s="115">
        <v>44403</v>
      </c>
      <c r="C5" s="114" t="s">
        <v>303</v>
      </c>
      <c r="D5" s="113" t="s">
        <v>156</v>
      </c>
      <c r="E5" s="113" t="s">
        <v>304</v>
      </c>
      <c r="F5" s="115">
        <v>44391</v>
      </c>
      <c r="H5" s="65" t="s">
        <v>276</v>
      </c>
      <c r="I5" s="65" t="s">
        <v>304</v>
      </c>
      <c r="J5" s="67">
        <v>44391</v>
      </c>
    </row>
    <row r="6" spans="1:10" ht="58" x14ac:dyDescent="0.35">
      <c r="A6" s="66" t="s">
        <v>268</v>
      </c>
      <c r="B6" s="67">
        <v>44389</v>
      </c>
      <c r="C6" s="65" t="s">
        <v>269</v>
      </c>
      <c r="D6" s="68" t="s">
        <v>156</v>
      </c>
      <c r="E6" s="68" t="s">
        <v>156</v>
      </c>
      <c r="F6" s="67">
        <v>44389</v>
      </c>
      <c r="H6" s="65" t="s">
        <v>277</v>
      </c>
      <c r="I6" s="65" t="s">
        <v>304</v>
      </c>
      <c r="J6" s="67">
        <v>44391</v>
      </c>
    </row>
    <row r="7" spans="1:10" ht="29" x14ac:dyDescent="0.35">
      <c r="A7" s="66" t="s">
        <v>266</v>
      </c>
      <c r="B7" s="67">
        <v>44389</v>
      </c>
      <c r="C7" s="65" t="s">
        <v>267</v>
      </c>
      <c r="D7" s="68" t="s">
        <v>156</v>
      </c>
      <c r="E7" s="68" t="s">
        <v>273</v>
      </c>
      <c r="F7" s="67">
        <v>44385</v>
      </c>
      <c r="H7" s="65" t="s">
        <v>278</v>
      </c>
      <c r="I7" s="65" t="s">
        <v>304</v>
      </c>
      <c r="J7" s="67">
        <v>44391</v>
      </c>
    </row>
    <row r="8" spans="1:10" ht="58" x14ac:dyDescent="0.35">
      <c r="A8" s="66" t="s">
        <v>238</v>
      </c>
      <c r="B8" s="67">
        <v>44385</v>
      </c>
      <c r="C8" s="65" t="s">
        <v>239</v>
      </c>
      <c r="D8" s="68" t="s">
        <v>156</v>
      </c>
      <c r="E8" s="68" t="s">
        <v>156</v>
      </c>
      <c r="F8" s="67">
        <f>B8</f>
        <v>44385</v>
      </c>
      <c r="H8" s="65" t="s">
        <v>279</v>
      </c>
      <c r="I8" s="65" t="s">
        <v>304</v>
      </c>
      <c r="J8" s="67">
        <v>44391</v>
      </c>
    </row>
    <row r="9" spans="1:10" ht="29" x14ac:dyDescent="0.35">
      <c r="A9" s="66" t="s">
        <v>219</v>
      </c>
      <c r="B9" s="67">
        <v>44384</v>
      </c>
      <c r="C9" s="65" t="s">
        <v>240</v>
      </c>
      <c r="D9" s="68" t="s">
        <v>156</v>
      </c>
      <c r="E9" s="68" t="s">
        <v>156</v>
      </c>
      <c r="F9" s="67">
        <v>44384</v>
      </c>
      <c r="H9" s="106" t="s">
        <v>280</v>
      </c>
      <c r="I9" s="65" t="s">
        <v>304</v>
      </c>
      <c r="J9" s="67">
        <v>44391</v>
      </c>
    </row>
    <row r="10" spans="1:10" ht="43.5" x14ac:dyDescent="0.35">
      <c r="A10" s="66" t="s">
        <v>208</v>
      </c>
      <c r="B10" s="67">
        <v>44384</v>
      </c>
      <c r="C10" s="65" t="s">
        <v>241</v>
      </c>
      <c r="D10" s="68" t="s">
        <v>156</v>
      </c>
      <c r="E10" s="68" t="s">
        <v>156</v>
      </c>
      <c r="F10" s="67">
        <v>44384</v>
      </c>
      <c r="H10" s="106" t="s">
        <v>281</v>
      </c>
      <c r="I10" s="65" t="s">
        <v>304</v>
      </c>
      <c r="J10" s="67">
        <v>44391</v>
      </c>
    </row>
    <row r="11" spans="1:10" ht="72.5" x14ac:dyDescent="0.35">
      <c r="A11" s="66" t="s">
        <v>196</v>
      </c>
      <c r="B11" s="67">
        <v>44378</v>
      </c>
      <c r="C11" s="65" t="s">
        <v>197</v>
      </c>
      <c r="D11" s="68" t="s">
        <v>156</v>
      </c>
      <c r="E11" s="68" t="s">
        <v>156</v>
      </c>
      <c r="F11" s="67">
        <v>44378</v>
      </c>
      <c r="H11" s="106" t="s">
        <v>282</v>
      </c>
      <c r="I11" s="65" t="s">
        <v>304</v>
      </c>
      <c r="J11" s="67">
        <v>44391</v>
      </c>
    </row>
    <row r="12" spans="1:10" ht="29" x14ac:dyDescent="0.35">
      <c r="A12" s="66" t="s">
        <v>194</v>
      </c>
      <c r="B12" s="67">
        <v>44377</v>
      </c>
      <c r="C12" s="65" t="s">
        <v>198</v>
      </c>
      <c r="D12" s="68" t="s">
        <v>156</v>
      </c>
      <c r="E12" s="68" t="s">
        <v>156</v>
      </c>
      <c r="F12" s="67">
        <v>44377</v>
      </c>
      <c r="H12" s="106" t="s">
        <v>283</v>
      </c>
      <c r="I12" s="65" t="s">
        <v>304</v>
      </c>
      <c r="J12" s="67">
        <v>44391</v>
      </c>
    </row>
    <row r="13" spans="1:10" ht="72.5" x14ac:dyDescent="0.35">
      <c r="A13" s="66" t="s">
        <v>192</v>
      </c>
      <c r="B13" s="67">
        <v>44377</v>
      </c>
      <c r="C13" s="65" t="s">
        <v>193</v>
      </c>
      <c r="D13" s="68" t="s">
        <v>156</v>
      </c>
      <c r="E13" s="68" t="s">
        <v>274</v>
      </c>
      <c r="F13" s="67">
        <v>44372</v>
      </c>
    </row>
    <row r="14" spans="1:10" ht="43.5" x14ac:dyDescent="0.35">
      <c r="A14" s="66">
        <v>3.3</v>
      </c>
      <c r="B14" s="67">
        <v>44377</v>
      </c>
      <c r="C14" s="65" t="s">
        <v>183</v>
      </c>
      <c r="D14" s="68" t="s">
        <v>156</v>
      </c>
      <c r="E14" s="68" t="s">
        <v>274</v>
      </c>
      <c r="F14" s="67">
        <v>44372</v>
      </c>
    </row>
    <row r="15" spans="1:10" ht="29" x14ac:dyDescent="0.35">
      <c r="A15" s="66" t="s">
        <v>182</v>
      </c>
      <c r="B15" s="67">
        <v>44377</v>
      </c>
      <c r="C15" s="65" t="s">
        <v>167</v>
      </c>
      <c r="D15" s="68" t="s">
        <v>156</v>
      </c>
      <c r="E15" s="68" t="s">
        <v>156</v>
      </c>
      <c r="F15" s="67">
        <v>44377</v>
      </c>
    </row>
    <row r="16" spans="1:10" ht="116" x14ac:dyDescent="0.35">
      <c r="A16" s="66">
        <v>3.2</v>
      </c>
      <c r="B16" s="67">
        <v>44367</v>
      </c>
      <c r="C16" s="65" t="s">
        <v>174</v>
      </c>
      <c r="D16" s="68" t="s">
        <v>156</v>
      </c>
      <c r="E16" s="68" t="s">
        <v>156</v>
      </c>
      <c r="F16" s="67">
        <v>44367</v>
      </c>
    </row>
    <row r="17" spans="1:6" ht="29" x14ac:dyDescent="0.35">
      <c r="A17" s="66">
        <v>3.1</v>
      </c>
      <c r="B17" s="67">
        <v>44331</v>
      </c>
      <c r="C17" s="65" t="s">
        <v>173</v>
      </c>
      <c r="D17" s="68" t="s">
        <v>156</v>
      </c>
      <c r="E17" s="68" t="s">
        <v>156</v>
      </c>
      <c r="F17" s="67">
        <v>44331</v>
      </c>
    </row>
    <row r="18" spans="1:6" ht="72.5" x14ac:dyDescent="0.35">
      <c r="A18" s="66">
        <v>3</v>
      </c>
      <c r="B18" s="67">
        <v>44319</v>
      </c>
      <c r="C18" s="65" t="s">
        <v>172</v>
      </c>
      <c r="D18" s="68" t="s">
        <v>156</v>
      </c>
      <c r="E18" s="68" t="s">
        <v>168</v>
      </c>
      <c r="F18" s="67">
        <v>44315</v>
      </c>
    </row>
    <row r="19" spans="1:6" ht="29" x14ac:dyDescent="0.35">
      <c r="A19" s="66">
        <v>2</v>
      </c>
      <c r="B19" s="67">
        <v>44307</v>
      </c>
      <c r="C19" s="65" t="s">
        <v>169</v>
      </c>
      <c r="D19" s="68" t="s">
        <v>156</v>
      </c>
      <c r="E19" s="68" t="s">
        <v>273</v>
      </c>
      <c r="F19" s="67">
        <v>44294</v>
      </c>
    </row>
    <row r="20" spans="1:6" ht="29" x14ac:dyDescent="0.35">
      <c r="A20" s="71">
        <v>1</v>
      </c>
      <c r="B20" s="67">
        <v>44291</v>
      </c>
      <c r="C20" s="65" t="s">
        <v>171</v>
      </c>
      <c r="D20" s="68" t="s">
        <v>156</v>
      </c>
      <c r="E20" s="68" t="s">
        <v>170</v>
      </c>
      <c r="F20" s="67">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3F8B8-99D4-4067-9293-F7BA4588C1C4}">
  <dimension ref="A1:N140"/>
  <sheetViews>
    <sheetView topLeftCell="A122" zoomScale="150" zoomScaleNormal="150" workbookViewId="0">
      <selection activeCell="A135" sqref="A135"/>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32" t="s">
        <v>152</v>
      </c>
      <c r="B3" s="132"/>
      <c r="C3" s="132"/>
      <c r="D3" s="132"/>
      <c r="E3" s="132"/>
      <c r="F3" s="132"/>
      <c r="G3" s="132"/>
      <c r="H3" s="111"/>
      <c r="I3" s="111"/>
      <c r="J3" s="111"/>
      <c r="K3" s="111"/>
    </row>
    <row r="4" spans="1:11" x14ac:dyDescent="0.35">
      <c r="A4" s="59" t="s">
        <v>38</v>
      </c>
      <c r="B4" s="59" t="s">
        <v>42</v>
      </c>
      <c r="C4" s="133" t="s">
        <v>43</v>
      </c>
      <c r="D4" s="134"/>
      <c r="E4" s="134"/>
      <c r="F4" s="134"/>
      <c r="G4" s="135"/>
    </row>
    <row r="5" spans="1:11" x14ac:dyDescent="0.35">
      <c r="A5" s="112" t="s">
        <v>51</v>
      </c>
      <c r="B5" s="112"/>
      <c r="C5" s="136"/>
      <c r="D5" s="136"/>
      <c r="E5" s="136"/>
      <c r="F5" s="136"/>
      <c r="G5" s="136"/>
    </row>
    <row r="6" spans="1:11" x14ac:dyDescent="0.35">
      <c r="A6" s="110" t="s">
        <v>39</v>
      </c>
      <c r="B6" s="110" t="s">
        <v>156</v>
      </c>
      <c r="C6" s="130" t="s">
        <v>200</v>
      </c>
      <c r="D6" s="130"/>
      <c r="E6" s="130"/>
      <c r="F6" s="130"/>
      <c r="G6" s="130"/>
    </row>
    <row r="7" spans="1:11" x14ac:dyDescent="0.35">
      <c r="A7" s="110" t="s">
        <v>40</v>
      </c>
      <c r="B7" s="110" t="s">
        <v>156</v>
      </c>
      <c r="C7" s="130" t="s">
        <v>199</v>
      </c>
      <c r="D7" s="130"/>
      <c r="E7" s="130"/>
      <c r="F7" s="130"/>
      <c r="G7" s="130"/>
    </row>
    <row r="8" spans="1:11" x14ac:dyDescent="0.35">
      <c r="A8" s="110" t="s">
        <v>41</v>
      </c>
      <c r="B8" s="110" t="s">
        <v>156</v>
      </c>
      <c r="C8" s="130" t="s">
        <v>201</v>
      </c>
      <c r="D8" s="130"/>
      <c r="E8" s="130"/>
      <c r="F8" s="130"/>
      <c r="G8" s="130"/>
    </row>
    <row r="9" spans="1:11" x14ac:dyDescent="0.35">
      <c r="A9" s="110" t="s">
        <v>148</v>
      </c>
      <c r="B9" s="110" t="s">
        <v>156</v>
      </c>
      <c r="C9" s="130" t="s">
        <v>154</v>
      </c>
      <c r="D9" s="130"/>
      <c r="E9" s="130"/>
      <c r="F9" s="130"/>
      <c r="G9" s="130"/>
    </row>
    <row r="10" spans="1:11" x14ac:dyDescent="0.35">
      <c r="A10" s="110" t="s">
        <v>160</v>
      </c>
      <c r="B10" s="110" t="s">
        <v>156</v>
      </c>
      <c r="C10" s="131" t="s">
        <v>187</v>
      </c>
      <c r="D10" s="131"/>
      <c r="E10" s="131"/>
      <c r="F10" s="131"/>
      <c r="G10" s="131"/>
    </row>
    <row r="11" spans="1:11" x14ac:dyDescent="0.35">
      <c r="A11" s="110"/>
      <c r="B11" s="110"/>
      <c r="C11" s="131"/>
      <c r="D11" s="131"/>
      <c r="E11" s="131"/>
      <c r="F11" s="131"/>
      <c r="G11" s="131"/>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20" t="s">
        <v>157</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180</v>
      </c>
    </row>
    <row r="31" spans="1:14" x14ac:dyDescent="0.35">
      <c r="A31" t="str">
        <f t="shared" si="2"/>
        <v xml:space="preserve">    Lower Basin Balance</v>
      </c>
      <c r="B31" s="53">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177</v>
      </c>
    </row>
    <row r="32" spans="1:14" x14ac:dyDescent="0.35">
      <c r="A32" t="str">
        <f t="shared" si="2"/>
        <v xml:space="preserve">    Mexico Balance</v>
      </c>
      <c r="B32" s="69">
        <v>0.17399999999999999</v>
      </c>
      <c r="C32" s="57" t="str">
        <f t="shared" si="4"/>
        <v/>
      </c>
      <c r="D32" s="57" t="str">
        <f t="shared" si="5"/>
        <v/>
      </c>
      <c r="E32" s="57" t="str">
        <f t="shared" si="5"/>
        <v/>
      </c>
      <c r="F32" s="57" t="str">
        <f t="shared" si="5"/>
        <v/>
      </c>
      <c r="G32" s="57" t="str">
        <f t="shared" si="5"/>
        <v/>
      </c>
      <c r="H32" s="14" t="str">
        <f t="shared" si="5"/>
        <v/>
      </c>
      <c r="I32" s="14" t="str">
        <f t="shared" si="5"/>
        <v/>
      </c>
      <c r="J32" s="14" t="str">
        <f t="shared" si="5"/>
        <v/>
      </c>
      <c r="K32" s="14" t="str">
        <f t="shared" si="5"/>
        <v/>
      </c>
      <c r="L32" s="14" t="str">
        <f t="shared" si="5"/>
        <v/>
      </c>
      <c r="N32" t="s">
        <v>176</v>
      </c>
    </row>
    <row r="33" spans="1:14" x14ac:dyDescent="0.35">
      <c r="A33" t="str">
        <f t="shared" si="2"/>
        <v xml:space="preserve">    Mohave &amp; Havasu Evap &amp; ET Balance</v>
      </c>
      <c r="B33" s="54">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179</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205</v>
      </c>
      <c r="C36"/>
    </row>
    <row r="37" spans="1:14" x14ac:dyDescent="0.35">
      <c r="A37" t="s">
        <v>113</v>
      </c>
      <c r="C37" s="14" t="str">
        <f>IF(C$27&lt;&gt;"",B22,"")</f>
        <v/>
      </c>
      <c r="D37" s="14" t="str">
        <f>IF(D$27&lt;&gt;"",C129,"")</f>
        <v/>
      </c>
      <c r="E37" s="14" t="str">
        <f t="shared" ref="E37:G38" si="6">IF(E$27&lt;&gt;"",D129,"")</f>
        <v/>
      </c>
      <c r="F37" s="14" t="str">
        <f t="shared" si="6"/>
        <v/>
      </c>
      <c r="G37" s="14" t="str">
        <f t="shared" si="6"/>
        <v/>
      </c>
      <c r="H37" s="14" t="str">
        <f t="shared" ref="H37:L38" si="7">IF(H27&lt;&gt;"",$B37*H$29,"")</f>
        <v/>
      </c>
      <c r="I37" s="14" t="str">
        <f t="shared" si="7"/>
        <v/>
      </c>
      <c r="J37" s="14" t="str">
        <f t="shared" si="7"/>
        <v/>
      </c>
      <c r="K37" s="14" t="str">
        <f t="shared" si="7"/>
        <v/>
      </c>
      <c r="L37" s="14" t="str">
        <f t="shared" si="7"/>
        <v/>
      </c>
    </row>
    <row r="38" spans="1:14" x14ac:dyDescent="0.35">
      <c r="A38" t="s">
        <v>114</v>
      </c>
      <c r="C38" s="14" t="str">
        <f>IF(C$27&lt;&gt;"",C22,"")</f>
        <v/>
      </c>
      <c r="D38" s="14" t="str">
        <f>IF(D$27&lt;&gt;"",C130,"")</f>
        <v/>
      </c>
      <c r="E38" s="14" t="str">
        <f t="shared" si="6"/>
        <v/>
      </c>
      <c r="F38" s="14" t="str">
        <f t="shared" si="6"/>
        <v/>
      </c>
      <c r="G38" s="14" t="str">
        <f t="shared" si="6"/>
        <v/>
      </c>
      <c r="H38" s="14" t="str">
        <f t="shared" si="7"/>
        <v/>
      </c>
      <c r="I38" s="14" t="str">
        <f t="shared" si="7"/>
        <v/>
      </c>
      <c r="J38" s="14" t="str">
        <f t="shared" si="7"/>
        <v/>
      </c>
      <c r="K38" s="14" t="str">
        <f t="shared" si="7"/>
        <v/>
      </c>
      <c r="L38" s="14" t="str">
        <f t="shared" si="7"/>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8">IF(A6="","","    "&amp;A6&amp;" Share")</f>
        <v xml:space="preserve">    Upper Basin Share</v>
      </c>
      <c r="B40" s="1"/>
      <c r="C40" s="14" t="str">
        <f>IF(OR(C$27="",$A40=""),"",C$39*C30/C$29)</f>
        <v/>
      </c>
      <c r="D40" s="14" t="str">
        <f t="shared" ref="D40:L40" si="9">IF(OR(D$27="",$A40=""),"",D$39*D30/D$29)</f>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35">
      <c r="A41" t="str">
        <f t="shared" si="8"/>
        <v xml:space="preserve">    Lower Basin Share</v>
      </c>
      <c r="B41" s="1"/>
      <c r="C41" s="14" t="str">
        <f t="shared" ref="C41:L45" si="10">IF(OR(C$27="",$A41=""),"",C$39*C31/C$29)</f>
        <v/>
      </c>
      <c r="D41" s="14" t="str">
        <f t="shared" si="10"/>
        <v/>
      </c>
      <c r="E41" s="14" t="str">
        <f t="shared" si="10"/>
        <v/>
      </c>
      <c r="F41" s="14" t="str">
        <f t="shared" si="10"/>
        <v/>
      </c>
      <c r="G41" s="14" t="str">
        <f t="shared" si="10"/>
        <v/>
      </c>
      <c r="H41" s="14" t="str">
        <f t="shared" si="10"/>
        <v/>
      </c>
      <c r="I41" s="14" t="str">
        <f t="shared" si="10"/>
        <v/>
      </c>
      <c r="J41" s="14" t="str">
        <f t="shared" si="10"/>
        <v/>
      </c>
      <c r="K41" s="14" t="str">
        <f t="shared" si="10"/>
        <v/>
      </c>
      <c r="L41" s="14" t="str">
        <f t="shared" si="10"/>
        <v/>
      </c>
    </row>
    <row r="42" spans="1:14" x14ac:dyDescent="0.35">
      <c r="A42" t="str">
        <f t="shared" si="8"/>
        <v xml:space="preserve">    Mexico Share</v>
      </c>
      <c r="B42" s="1"/>
      <c r="C42" s="14" t="str">
        <f t="shared" si="10"/>
        <v/>
      </c>
      <c r="D42" s="14" t="str">
        <f t="shared" si="10"/>
        <v/>
      </c>
      <c r="E42" s="14" t="str">
        <f t="shared" si="10"/>
        <v/>
      </c>
      <c r="F42" s="14" t="str">
        <f t="shared" si="10"/>
        <v/>
      </c>
      <c r="G42" s="14" t="str">
        <f t="shared" si="10"/>
        <v/>
      </c>
      <c r="H42" s="14" t="str">
        <f t="shared" si="10"/>
        <v/>
      </c>
      <c r="I42" s="14" t="str">
        <f t="shared" si="10"/>
        <v/>
      </c>
      <c r="J42" s="14" t="str">
        <f t="shared" si="10"/>
        <v/>
      </c>
      <c r="K42" s="14" t="str">
        <f t="shared" si="10"/>
        <v/>
      </c>
      <c r="L42" s="14" t="str">
        <f t="shared" si="10"/>
        <v/>
      </c>
    </row>
    <row r="43" spans="1:14" x14ac:dyDescent="0.35">
      <c r="A43" t="str">
        <f t="shared" si="8"/>
        <v xml:space="preserve">    Mohave &amp; Havasu Evap &amp; ET Share</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4" x14ac:dyDescent="0.35">
      <c r="A44" t="str">
        <f t="shared" si="8"/>
        <v xml:space="preserve">    Shared, Reserve Share</v>
      </c>
      <c r="B44" s="1"/>
      <c r="C44" s="14" t="str">
        <f t="shared" si="10"/>
        <v/>
      </c>
      <c r="D44" s="14" t="str">
        <f t="shared" si="10"/>
        <v/>
      </c>
      <c r="E44" s="14" t="str">
        <f t="shared" si="10"/>
        <v/>
      </c>
      <c r="F44" s="14" t="str">
        <f t="shared" si="10"/>
        <v/>
      </c>
      <c r="G44" s="14" t="str">
        <f t="shared" si="10"/>
        <v/>
      </c>
      <c r="H44" s="14" t="str">
        <f t="shared" si="10"/>
        <v/>
      </c>
      <c r="I44" s="14" t="str">
        <f t="shared" si="10"/>
        <v/>
      </c>
      <c r="J44" s="14" t="str">
        <f t="shared" si="10"/>
        <v/>
      </c>
      <c r="K44" s="14" t="str">
        <f t="shared" si="10"/>
        <v/>
      </c>
      <c r="L44" s="14" t="str">
        <f t="shared" si="10"/>
        <v/>
      </c>
    </row>
    <row r="45" spans="1:14" x14ac:dyDescent="0.35">
      <c r="A45" t="str">
        <f t="shared" si="8"/>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272</v>
      </c>
      <c r="B46" s="98"/>
      <c r="C46" s="50" t="str">
        <f>IF(C$27&lt;&gt;"",1.5-0.21/9/2-VLOOKUP(C38,LowerBasinCuts!$C$5:$P$13,13),"")</f>
        <v/>
      </c>
      <c r="D46" s="50" t="str">
        <f>IF(D$27&lt;&gt;"",1.5-0.21/9/2-VLOOKUP(D38,LowerBasinCuts!$C$5:$P$13,13),"")</f>
        <v/>
      </c>
      <c r="E46" s="50" t="str">
        <f>IF(E$27&lt;&gt;"",1.5-0.21/9/2-VLOOKUP(E38,LowerBasinCuts!$C$5:$P$13,13),"")</f>
        <v/>
      </c>
      <c r="F46" s="50" t="str">
        <f>IF(F$27&lt;&gt;"",1.5-0.21/9/2-VLOOKUP(F38,LowerBasinCuts!$C$5:$P$13,13),"")</f>
        <v/>
      </c>
      <c r="G46" s="50" t="str">
        <f>IF(G$27&lt;&gt;"",1.5-0.21/9/2-VLOOKUP(G38,LowerBasinCuts!$C$5:$P$13,13),"")</f>
        <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189</v>
      </c>
      <c r="B47" s="1"/>
      <c r="C47" s="52" t="str">
        <f>IF(C27="","",SUM(C27:C28))</f>
        <v/>
      </c>
      <c r="D47" s="52" t="str">
        <f t="shared" ref="D47:L47" si="11">IF(D27="","",SUM(D27:D28))</f>
        <v/>
      </c>
      <c r="E47" s="52" t="str">
        <f t="shared" si="11"/>
        <v/>
      </c>
      <c r="F47" s="52" t="str">
        <f t="shared" si="11"/>
        <v/>
      </c>
      <c r="G47" s="52" t="str">
        <f t="shared" si="11"/>
        <v/>
      </c>
      <c r="H47" s="52" t="str">
        <f t="shared" si="11"/>
        <v/>
      </c>
      <c r="I47" s="52" t="str">
        <f t="shared" si="11"/>
        <v/>
      </c>
      <c r="J47" s="52" t="str">
        <f t="shared" si="11"/>
        <v/>
      </c>
      <c r="K47" s="52" t="str">
        <f t="shared" si="11"/>
        <v/>
      </c>
      <c r="L47" s="52" t="str">
        <f t="shared" si="11"/>
        <v/>
      </c>
      <c r="M47" s="46"/>
      <c r="N47" s="46"/>
    </row>
    <row r="48" spans="1:14" x14ac:dyDescent="0.35">
      <c r="A48" t="str">
        <f>IF(A6="","","    To "&amp;A6)</f>
        <v xml:space="preserve">    To Upper Basin</v>
      </c>
      <c r="B48" s="24" t="s">
        <v>147</v>
      </c>
      <c r="C48" s="14" t="str">
        <f>IF(OR(C$27="",$A48=""),"",IF(C$47&gt;SUM(C49:C53),C$47-SUM(C49:C53),0))</f>
        <v/>
      </c>
      <c r="D48" s="14" t="str">
        <f t="shared" ref="D48:L48" si="12">IF(OR(D$27="",$A48=""),"",IF(D$47&gt;SUM(D49:D53),D$47-SUM(D49:D53),0))</f>
        <v/>
      </c>
      <c r="E48" s="14" t="str">
        <f t="shared" si="12"/>
        <v/>
      </c>
      <c r="F48" s="14" t="str">
        <f t="shared" si="12"/>
        <v/>
      </c>
      <c r="G48" s="14" t="str">
        <f t="shared" si="12"/>
        <v/>
      </c>
      <c r="H48" s="14" t="str">
        <f t="shared" si="12"/>
        <v/>
      </c>
      <c r="I48" s="14" t="str">
        <f t="shared" si="12"/>
        <v/>
      </c>
      <c r="J48" s="14" t="str">
        <f t="shared" si="12"/>
        <v/>
      </c>
      <c r="K48" s="14" t="str">
        <f t="shared" si="12"/>
        <v/>
      </c>
      <c r="L48" s="14" t="str">
        <f t="shared" si="12"/>
        <v/>
      </c>
      <c r="M48" s="29"/>
      <c r="N48" s="29"/>
    </row>
    <row r="49" spans="1:14" x14ac:dyDescent="0.35">
      <c r="A49" t="str">
        <f t="shared" ref="A49:A53" si="13">IF(A7="","","    To "&amp;A7)</f>
        <v xml:space="preserve">    To Lower Basin</v>
      </c>
      <c r="B49" s="44">
        <f>7.5</f>
        <v>7.5</v>
      </c>
      <c r="C49" s="14" t="str">
        <f>IF(OR(C$27="",$A49=""),"",C28-C52/2-C51-C50/2+MIN($B49,C27-C50/2-C52/2))</f>
        <v/>
      </c>
      <c r="D49" s="14" t="str">
        <f t="shared" ref="D49:G49" si="14">IF(OR(D$27="",$A49=""),"",D28-D52/2-D51-D50/2+MIN($B49,D27-D50/2-D52/2))</f>
        <v/>
      </c>
      <c r="E49" s="14" t="str">
        <f t="shared" si="14"/>
        <v/>
      </c>
      <c r="F49" s="14" t="str">
        <f t="shared" si="14"/>
        <v/>
      </c>
      <c r="G49" s="14" t="str">
        <f t="shared" si="14"/>
        <v/>
      </c>
      <c r="H49" s="14" t="str">
        <f>IF(OR(H$27="",$A49=""),"",H28-H52/2-H51-H50/2+MIN($B49,H27-H50/2-H52/2))</f>
        <v/>
      </c>
      <c r="I49" s="14" t="str">
        <f t="shared" ref="I49:L49" si="15">IF(OR(I$27="",$A49=""),"",I28-I52/2-I51-I50/2+MIN($B49,I27-I50/2-I52/2))</f>
        <v/>
      </c>
      <c r="J49" s="14" t="str">
        <f t="shared" si="15"/>
        <v/>
      </c>
      <c r="K49" s="14" t="str">
        <f t="shared" si="15"/>
        <v/>
      </c>
      <c r="L49" s="14" t="str">
        <f t="shared" si="15"/>
        <v/>
      </c>
      <c r="M49" s="29"/>
      <c r="N49" s="29"/>
    </row>
    <row r="50" spans="1:14" x14ac:dyDescent="0.35">
      <c r="A50" t="str">
        <f t="shared" si="13"/>
        <v xml:space="preserve">    To Mexico</v>
      </c>
      <c r="B50" s="44" t="s">
        <v>191</v>
      </c>
      <c r="C50" s="14" t="str">
        <f>IF(OR(C$27="",$A50=""),"",IF(C$47&gt;SUM(C51:C52,C46),C46,C$47-SUM(C51:C52)))</f>
        <v/>
      </c>
      <c r="D50" s="14" t="str">
        <f t="shared" ref="D50:L50" si="16">IF(OR(D$27="",$A50=""),"",IF(D$47&gt;SUM(D51:D52,D46),D46,D$47-SUM(D51:D52)))</f>
        <v/>
      </c>
      <c r="E50" s="14" t="str">
        <f t="shared" si="16"/>
        <v/>
      </c>
      <c r="F50" s="14" t="str">
        <f t="shared" si="16"/>
        <v/>
      </c>
      <c r="G50" s="14" t="str">
        <f t="shared" si="16"/>
        <v/>
      </c>
      <c r="H50" s="14" t="str">
        <f t="shared" si="16"/>
        <v/>
      </c>
      <c r="I50" s="14" t="str">
        <f t="shared" si="16"/>
        <v/>
      </c>
      <c r="J50" s="14" t="str">
        <f t="shared" si="16"/>
        <v/>
      </c>
      <c r="K50" s="14" t="str">
        <f t="shared" si="16"/>
        <v/>
      </c>
      <c r="L50" s="14" t="str">
        <f t="shared" si="16"/>
        <v/>
      </c>
      <c r="M50" s="29"/>
      <c r="N50" s="29"/>
    </row>
    <row r="51" spans="1:14" x14ac:dyDescent="0.35">
      <c r="A51" t="str">
        <f t="shared" si="13"/>
        <v xml:space="preserve">    To Mohave &amp; Havasu Evap &amp; ET</v>
      </c>
      <c r="B51" s="44">
        <v>0.6</v>
      </c>
      <c r="C51" s="14" t="str">
        <f>IF(OR(C$27="",$A51=""),"",IF(C$47&gt;C52+$B$51,$B51,C$47-C52))</f>
        <v/>
      </c>
      <c r="D51" s="14" t="str">
        <f t="shared" ref="D51:L51" si="17">IF(OR(D$27="",$A51=""),"",IF(D$47&gt;D52+$B$51,$B51,D$47-D52))</f>
        <v/>
      </c>
      <c r="E51" s="14" t="str">
        <f t="shared" si="17"/>
        <v/>
      </c>
      <c r="F51" s="14" t="str">
        <f t="shared" si="17"/>
        <v/>
      </c>
      <c r="G51" s="14" t="str">
        <f t="shared" si="17"/>
        <v/>
      </c>
      <c r="H51" s="14" t="str">
        <f t="shared" si="17"/>
        <v/>
      </c>
      <c r="I51" s="14" t="str">
        <f t="shared" si="17"/>
        <v/>
      </c>
      <c r="J51" s="14" t="str">
        <f t="shared" si="17"/>
        <v/>
      </c>
      <c r="K51" s="14" t="str">
        <f t="shared" si="17"/>
        <v/>
      </c>
      <c r="L51" s="14" t="str">
        <f t="shared" si="17"/>
        <v/>
      </c>
      <c r="M51" s="29"/>
      <c r="N51" s="29"/>
    </row>
    <row r="52" spans="1:14" x14ac:dyDescent="0.35">
      <c r="A52" t="str">
        <f t="shared" si="13"/>
        <v xml:space="preserve">    To Shared, Reserve</v>
      </c>
      <c r="B52" s="44" t="s">
        <v>190</v>
      </c>
      <c r="C52" s="14" t="str">
        <f>IF(OR(C$27="",$A52=""),"",IF(C$47&gt;C44,C44,C$47))</f>
        <v/>
      </c>
      <c r="D52" s="14" t="str">
        <f t="shared" ref="D52:L52" si="18">IF(OR(D$27="",$A52=""),"",IF(D$47&gt;D44,D44,D$47))</f>
        <v/>
      </c>
      <c r="E52" s="14" t="str">
        <f t="shared" si="18"/>
        <v/>
      </c>
      <c r="F52" s="14" t="str">
        <f t="shared" si="18"/>
        <v/>
      </c>
      <c r="G52" s="14" t="str">
        <f t="shared" si="18"/>
        <v/>
      </c>
      <c r="H52" s="14" t="str">
        <f t="shared" si="18"/>
        <v/>
      </c>
      <c r="I52" s="14" t="str">
        <f t="shared" si="18"/>
        <v/>
      </c>
      <c r="J52" s="14" t="str">
        <f t="shared" si="18"/>
        <v/>
      </c>
      <c r="K52" s="14" t="str">
        <f t="shared" si="18"/>
        <v/>
      </c>
      <c r="L52" s="14" t="str">
        <f t="shared" si="18"/>
        <v/>
      </c>
      <c r="M52" s="29"/>
      <c r="N52" s="29"/>
    </row>
    <row r="53" spans="1:14" x14ac:dyDescent="0.35">
      <c r="A53" t="str">
        <f t="shared" si="13"/>
        <v/>
      </c>
      <c r="B53" s="44"/>
      <c r="C53" s="57" t="str">
        <f t="shared" ref="C53:L53" si="19">IF(OR(C$27="",$A53=""),"",IF(C$27&gt;$B53,$B53,C$27))</f>
        <v/>
      </c>
      <c r="D53" s="57" t="str">
        <f t="shared" si="19"/>
        <v/>
      </c>
      <c r="E53" s="57" t="str">
        <f t="shared" si="19"/>
        <v/>
      </c>
      <c r="F53" s="57" t="str">
        <f t="shared" si="19"/>
        <v/>
      </c>
      <c r="G53" s="57" t="str">
        <f t="shared" si="19"/>
        <v/>
      </c>
      <c r="H53" s="57" t="str">
        <f t="shared" si="19"/>
        <v/>
      </c>
      <c r="I53" s="57" t="str">
        <f t="shared" si="19"/>
        <v/>
      </c>
      <c r="J53" s="57" t="str">
        <f t="shared" si="19"/>
        <v/>
      </c>
      <c r="K53" s="57" t="str">
        <f t="shared" si="19"/>
        <v/>
      </c>
      <c r="L53" s="57" t="str">
        <f t="shared" si="19"/>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25"/>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20">IF(OR(C$27="",$A59=""),"",C$112)</f>
        <v/>
      </c>
      <c r="D59" s="78" t="str">
        <f t="shared" si="20"/>
        <v/>
      </c>
      <c r="E59" s="78" t="str">
        <f t="shared" si="20"/>
        <v/>
      </c>
      <c r="F59" s="78" t="str">
        <f t="shared" si="20"/>
        <v/>
      </c>
      <c r="G59" s="78" t="str">
        <f t="shared" si="20"/>
        <v/>
      </c>
      <c r="H59" s="78" t="str">
        <f t="shared" si="20"/>
        <v/>
      </c>
      <c r="I59" s="78" t="str">
        <f t="shared" si="20"/>
        <v/>
      </c>
      <c r="J59" s="78" t="str">
        <f t="shared" si="20"/>
        <v/>
      </c>
      <c r="K59" s="78" t="str">
        <f t="shared" si="20"/>
        <v/>
      </c>
      <c r="L59" s="78" t="str">
        <f t="shared" si="20"/>
        <v/>
      </c>
      <c r="M59" t="str">
        <f t="shared" si="20"/>
        <v/>
      </c>
      <c r="N59" t="str">
        <f>IF(A59="","","If non-zero, players need to change amount(s)")</f>
        <v>If non-zero, players need to change amount(s)</v>
      </c>
    </row>
    <row r="60" spans="1:14" x14ac:dyDescent="0.35">
      <c r="A60" s="1" t="str">
        <f>IF(A58="","","   Available Water [maf]")</f>
        <v xml:space="preserve">   Available Water [maf]</v>
      </c>
      <c r="C60" s="14" t="str">
        <f>IF(OR(C$27="",$A60=""),"",C30+C48-C40-C57)</f>
        <v/>
      </c>
      <c r="D60" s="14" t="str">
        <f t="shared" ref="D60:L60" si="21">IF(OR(D$27="",$A60=""),"",D30+D48-D40-D57)</f>
        <v/>
      </c>
      <c r="E60" s="14" t="str">
        <f t="shared" si="21"/>
        <v/>
      </c>
      <c r="F60" s="14" t="str">
        <f t="shared" si="21"/>
        <v/>
      </c>
      <c r="G60" s="14" t="str">
        <f t="shared" si="21"/>
        <v/>
      </c>
      <c r="H60" s="14" t="str">
        <f t="shared" si="21"/>
        <v/>
      </c>
      <c r="I60" s="14" t="str">
        <f t="shared" si="21"/>
        <v/>
      </c>
      <c r="J60" s="14" t="str">
        <f t="shared" si="21"/>
        <v/>
      </c>
      <c r="K60" s="14" t="str">
        <f t="shared" si="21"/>
        <v/>
      </c>
      <c r="L60" s="14" t="str">
        <f t="shared" si="2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IF(OR(C$27="",$A62=""),"",C60-C61)</f>
        <v/>
      </c>
      <c r="D62" s="77" t="str">
        <f t="shared" ref="D62:L62" si="22">IF(OR(D$27="",$A62=""),"",D60-D61)</f>
        <v/>
      </c>
      <c r="E62" s="77" t="str">
        <f t="shared" si="22"/>
        <v/>
      </c>
      <c r="F62" s="77" t="str">
        <f t="shared" si="22"/>
        <v/>
      </c>
      <c r="G62" s="77" t="str">
        <f t="shared" si="22"/>
        <v/>
      </c>
      <c r="H62" s="77" t="str">
        <f t="shared" si="22"/>
        <v/>
      </c>
      <c r="I62" s="77" t="str">
        <f t="shared" si="22"/>
        <v/>
      </c>
      <c r="J62" s="77" t="str">
        <f t="shared" si="22"/>
        <v/>
      </c>
      <c r="K62" s="77" t="str">
        <f t="shared" si="22"/>
        <v/>
      </c>
      <c r="L62" s="77" t="str">
        <f t="shared" si="22"/>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3">IF(A66="","",N58)</f>
        <v>Add if multiple transactions, e.g.: $350*0.5 + $450*0.25</v>
      </c>
    </row>
    <row r="67" spans="1:14" x14ac:dyDescent="0.35">
      <c r="A67" s="32" t="str">
        <f>IF(A66="","","   Volume all players (should be zero)")</f>
        <v xml:space="preserve">   Volume all players (should be zero)</v>
      </c>
      <c r="C67" s="78" t="str">
        <f t="shared" ref="C67:M67" si="24">IF(OR(C$27="",$A67=""),"",C$112)</f>
        <v/>
      </c>
      <c r="D67" s="78" t="str">
        <f t="shared" si="24"/>
        <v/>
      </c>
      <c r="E67" s="78" t="str">
        <f t="shared" si="24"/>
        <v/>
      </c>
      <c r="F67" s="78" t="str">
        <f t="shared" si="24"/>
        <v/>
      </c>
      <c r="G67" s="78" t="str">
        <f t="shared" si="24"/>
        <v/>
      </c>
      <c r="H67" s="78" t="str">
        <f t="shared" si="24"/>
        <v/>
      </c>
      <c r="I67" s="78" t="str">
        <f t="shared" si="24"/>
        <v/>
      </c>
      <c r="J67" s="78" t="str">
        <f t="shared" si="24"/>
        <v/>
      </c>
      <c r="K67" s="78" t="str">
        <f t="shared" si="24"/>
        <v/>
      </c>
      <c r="L67" s="78" t="str">
        <f t="shared" si="24"/>
        <v/>
      </c>
      <c r="M67" t="str">
        <f t="shared" si="24"/>
        <v/>
      </c>
      <c r="N67" t="str">
        <f t="shared" si="23"/>
        <v>If non-zero, players need to change amount(s)</v>
      </c>
    </row>
    <row r="68" spans="1:14" x14ac:dyDescent="0.35">
      <c r="A68" s="1" t="str">
        <f>IF(A66="","","   Available Water [maf]")</f>
        <v xml:space="preserve">   Available Water [maf]</v>
      </c>
      <c r="C68" s="14" t="str">
        <f t="shared" ref="C68:L68" si="25">IF(OR(C$27="",$A68=""),"",C31+C49-C41-C65)</f>
        <v/>
      </c>
      <c r="D68" s="14" t="str">
        <f t="shared" si="25"/>
        <v/>
      </c>
      <c r="E68" s="14" t="str">
        <f t="shared" si="25"/>
        <v/>
      </c>
      <c r="F68" s="14" t="str">
        <f t="shared" si="25"/>
        <v/>
      </c>
      <c r="G68" s="14" t="str">
        <f t="shared" si="25"/>
        <v/>
      </c>
      <c r="H68" s="14" t="str">
        <f t="shared" si="25"/>
        <v/>
      </c>
      <c r="I68" s="14" t="str">
        <f t="shared" si="25"/>
        <v/>
      </c>
      <c r="J68" s="14" t="str">
        <f t="shared" si="25"/>
        <v/>
      </c>
      <c r="K68" s="14" t="str">
        <f t="shared" si="25"/>
        <v/>
      </c>
      <c r="L68" s="14" t="str">
        <f t="shared" si="25"/>
        <v/>
      </c>
      <c r="N68" t="str">
        <f t="shared" si="23"/>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3"/>
        <v>Must be less than Available water</v>
      </c>
    </row>
    <row r="70" spans="1:14" x14ac:dyDescent="0.35">
      <c r="A70" s="32" t="str">
        <f>IF(A69="","","   End of Year Balance [maf]")</f>
        <v xml:space="preserve">   End of Year Balance [maf]</v>
      </c>
      <c r="C70" s="77" t="str">
        <f>IF(OR(C$27="",$A70=""),"",C68-C69)</f>
        <v/>
      </c>
      <c r="D70" s="77" t="str">
        <f t="shared" ref="D70:L70" si="26">IF(OR(D$27="",$A70=""),"",D68-D69)</f>
        <v/>
      </c>
      <c r="E70" s="77" t="str">
        <f t="shared" si="26"/>
        <v/>
      </c>
      <c r="F70" s="77" t="str">
        <f t="shared" si="26"/>
        <v/>
      </c>
      <c r="G70" s="77" t="str">
        <f t="shared" si="26"/>
        <v/>
      </c>
      <c r="H70" s="77" t="str">
        <f t="shared" si="26"/>
        <v/>
      </c>
      <c r="I70" s="77" t="str">
        <f t="shared" si="26"/>
        <v/>
      </c>
      <c r="J70" s="77" t="str">
        <f t="shared" si="26"/>
        <v/>
      </c>
      <c r="K70" s="77" t="str">
        <f t="shared" si="26"/>
        <v/>
      </c>
      <c r="L70" s="77" t="str">
        <f t="shared" si="26"/>
        <v/>
      </c>
      <c r="N70" t="str">
        <f t="shared" si="23"/>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7">IF(A74="","",N66)</f>
        <v>Add if multiple transactions, e.g.: $350*0.5 + $450*0.25</v>
      </c>
    </row>
    <row r="75" spans="1:14" x14ac:dyDescent="0.35">
      <c r="A75" s="32" t="str">
        <f>IF(A74="","","   Volume all players (should be zero)")</f>
        <v xml:space="preserve">   Volume all players (should be zero)</v>
      </c>
      <c r="C75" s="78" t="str">
        <f t="shared" ref="C75:M75" si="28">IF(OR(C$27="",$A75=""),"",C$112)</f>
        <v/>
      </c>
      <c r="D75" s="78" t="str">
        <f t="shared" si="28"/>
        <v/>
      </c>
      <c r="E75" s="78" t="str">
        <f t="shared" si="28"/>
        <v/>
      </c>
      <c r="F75" s="78" t="str">
        <f t="shared" si="28"/>
        <v/>
      </c>
      <c r="G75" s="78" t="str">
        <f t="shared" si="28"/>
        <v/>
      </c>
      <c r="H75" s="78" t="str">
        <f t="shared" si="28"/>
        <v/>
      </c>
      <c r="I75" s="78" t="str">
        <f t="shared" si="28"/>
        <v/>
      </c>
      <c r="J75" s="78" t="str">
        <f t="shared" si="28"/>
        <v/>
      </c>
      <c r="K75" s="78" t="str">
        <f t="shared" si="28"/>
        <v/>
      </c>
      <c r="L75" s="78" t="str">
        <f t="shared" si="28"/>
        <v/>
      </c>
      <c r="M75" t="str">
        <f t="shared" si="28"/>
        <v/>
      </c>
      <c r="N75" t="str">
        <f t="shared" si="27"/>
        <v>If non-zero, players need to change amount(s)</v>
      </c>
    </row>
    <row r="76" spans="1:14" x14ac:dyDescent="0.35">
      <c r="A76" s="1" t="str">
        <f>IF(A74="","","   Available Water [maf]")</f>
        <v xml:space="preserve">   Available Water [maf]</v>
      </c>
      <c r="C76" s="14" t="str">
        <f t="shared" ref="C76:L76" si="29">IF(OR(C$27="",$A76=""),"",C32+C50-C42-C73)</f>
        <v/>
      </c>
      <c r="D76" s="14" t="str">
        <f t="shared" si="29"/>
        <v/>
      </c>
      <c r="E76" s="14" t="str">
        <f t="shared" si="29"/>
        <v/>
      </c>
      <c r="F76" s="14" t="str">
        <f>IF(OR(F$27="",$A76=""),"",F32+F50-F42-F73)</f>
        <v/>
      </c>
      <c r="G76" s="14" t="str">
        <f t="shared" si="29"/>
        <v/>
      </c>
      <c r="H76" s="14" t="str">
        <f t="shared" si="29"/>
        <v/>
      </c>
      <c r="I76" s="14" t="str">
        <f t="shared" si="29"/>
        <v/>
      </c>
      <c r="J76" s="14" t="str">
        <f t="shared" si="29"/>
        <v/>
      </c>
      <c r="K76" s="14" t="str">
        <f t="shared" si="29"/>
        <v/>
      </c>
      <c r="L76" s="14" t="str">
        <f t="shared" si="29"/>
        <v/>
      </c>
      <c r="N76" t="str">
        <f t="shared" si="27"/>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27"/>
        <v>Must be less than Available water</v>
      </c>
    </row>
    <row r="78" spans="1:14" x14ac:dyDescent="0.35">
      <c r="A78" s="32" t="str">
        <f>IF(A77="","","   End of Year Balance [maf]")</f>
        <v xml:space="preserve">   End of Year Balance [maf]</v>
      </c>
      <c r="C78" s="77" t="str">
        <f>IF(OR(C$27="",$A78=""),"",C76-C77)</f>
        <v/>
      </c>
      <c r="D78" s="77" t="str">
        <f t="shared" ref="D78:L78" si="30">IF(OR(D$27="",$A78=""),"",D76-D77)</f>
        <v/>
      </c>
      <c r="E78" s="77" t="str">
        <f t="shared" si="30"/>
        <v/>
      </c>
      <c r="F78" s="77" t="str">
        <f t="shared" si="30"/>
        <v/>
      </c>
      <c r="G78" s="77" t="str">
        <f t="shared" si="30"/>
        <v/>
      </c>
      <c r="H78" s="77" t="str">
        <f t="shared" si="30"/>
        <v/>
      </c>
      <c r="I78" s="77" t="str">
        <f t="shared" si="30"/>
        <v/>
      </c>
      <c r="J78" s="77" t="str">
        <f t="shared" si="30"/>
        <v/>
      </c>
      <c r="K78" s="77" t="str">
        <f t="shared" si="30"/>
        <v/>
      </c>
      <c r="L78" s="77" t="str">
        <f t="shared" si="30"/>
        <v/>
      </c>
      <c r="N78" t="str">
        <f t="shared" si="27"/>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1">IF(A82="","",N74)</f>
        <v>Add if multiple transactions, e.g.: $350*0.5 + $450*0.25</v>
      </c>
    </row>
    <row r="83" spans="1:14" x14ac:dyDescent="0.35">
      <c r="A83" s="32" t="str">
        <f>IF(A82="","","   Volume all players (should be zero)")</f>
        <v xml:space="preserve">   Volume all players (should be zero)</v>
      </c>
      <c r="C83" s="78" t="str">
        <f t="shared" ref="C83:M83" si="32">IF(OR(C$27="",$A83=""),"",C$112)</f>
        <v/>
      </c>
      <c r="D83" s="78" t="str">
        <f t="shared" si="32"/>
        <v/>
      </c>
      <c r="E83" s="78" t="str">
        <f t="shared" si="32"/>
        <v/>
      </c>
      <c r="F83" s="78" t="str">
        <f t="shared" si="32"/>
        <v/>
      </c>
      <c r="G83" s="78" t="str">
        <f t="shared" si="32"/>
        <v/>
      </c>
      <c r="H83" s="78" t="str">
        <f t="shared" si="32"/>
        <v/>
      </c>
      <c r="I83" s="78" t="str">
        <f t="shared" si="32"/>
        <v/>
      </c>
      <c r="J83" s="78" t="str">
        <f t="shared" si="32"/>
        <v/>
      </c>
      <c r="K83" s="78" t="str">
        <f t="shared" si="32"/>
        <v/>
      </c>
      <c r="L83" s="78" t="str">
        <f t="shared" si="32"/>
        <v/>
      </c>
      <c r="M83" t="str">
        <f t="shared" si="32"/>
        <v/>
      </c>
      <c r="N83" t="str">
        <f t="shared" si="31"/>
        <v>If non-zero, players need to change amount(s)</v>
      </c>
    </row>
    <row r="84" spans="1:14" x14ac:dyDescent="0.35">
      <c r="A84" s="1" t="str">
        <f>IF(A82="","","   Available Water [maf]")</f>
        <v xml:space="preserve">   Available Water [maf]</v>
      </c>
      <c r="C84" s="14" t="str">
        <f t="shared" ref="C84:L84" si="33">IF(OR(C$27="",$A84=""),"",C33+C51-C43-C81)</f>
        <v/>
      </c>
      <c r="D84" s="14" t="str">
        <f t="shared" si="33"/>
        <v/>
      </c>
      <c r="E84" s="14" t="str">
        <f t="shared" si="33"/>
        <v/>
      </c>
      <c r="F84" s="14" t="str">
        <f t="shared" si="33"/>
        <v/>
      </c>
      <c r="G84" s="14" t="str">
        <f t="shared" si="33"/>
        <v/>
      </c>
      <c r="H84" s="14" t="str">
        <f t="shared" si="33"/>
        <v/>
      </c>
      <c r="I84" s="14" t="str">
        <f t="shared" si="33"/>
        <v/>
      </c>
      <c r="J84" s="14" t="str">
        <f t="shared" si="33"/>
        <v/>
      </c>
      <c r="K84" s="14" t="str">
        <f t="shared" si="33"/>
        <v/>
      </c>
      <c r="L84" s="14" t="str">
        <f t="shared" si="33"/>
        <v/>
      </c>
      <c r="N84" t="str">
        <f t="shared" si="31"/>
        <v>Available water = Account Balance + Available Inflow - Evaporation + Sales - Purchases</v>
      </c>
    </row>
    <row r="85" spans="1:14" x14ac:dyDescent="0.35">
      <c r="A85" s="1" t="str">
        <f>IF(A84="","","   Account Withdraw [maf]")</f>
        <v xml:space="preserve">   Account Withdraw [maf]</v>
      </c>
      <c r="C85" s="43" t="str">
        <f>C84</f>
        <v/>
      </c>
      <c r="D85" s="43" t="str">
        <f t="shared" ref="D85:G85" si="34">D84</f>
        <v/>
      </c>
      <c r="E85" s="43" t="str">
        <f t="shared" si="34"/>
        <v/>
      </c>
      <c r="F85" s="43" t="str">
        <f t="shared" si="34"/>
        <v/>
      </c>
      <c r="G85" s="43" t="str">
        <f t="shared" si="34"/>
        <v/>
      </c>
      <c r="H85" s="43"/>
      <c r="I85" s="43"/>
      <c r="J85" s="43"/>
      <c r="K85" s="43"/>
      <c r="L85" s="43"/>
      <c r="N85" t="str">
        <f t="shared" si="31"/>
        <v>Must be less than Available water</v>
      </c>
    </row>
    <row r="86" spans="1:14" x14ac:dyDescent="0.35">
      <c r="A86" s="32" t="str">
        <f>IF(A85="","","   End of Year Balance [maf]")</f>
        <v xml:space="preserve">   End of Year Balance [maf]</v>
      </c>
      <c r="C86" s="77" t="str">
        <f>IF(OR(C$27="",$A86=""),"",C84-C85)</f>
        <v/>
      </c>
      <c r="D86" s="77" t="str">
        <f t="shared" ref="D86:L86" si="35">IF(OR(D$27="",$A86=""),"",D84-D85)</f>
        <v/>
      </c>
      <c r="E86" s="77" t="str">
        <f t="shared" si="35"/>
        <v/>
      </c>
      <c r="F86" s="77" t="str">
        <f t="shared" si="35"/>
        <v/>
      </c>
      <c r="G86" s="77" t="str">
        <f t="shared" si="35"/>
        <v/>
      </c>
      <c r="H86" s="77" t="str">
        <f t="shared" si="35"/>
        <v/>
      </c>
      <c r="I86" s="77" t="str">
        <f t="shared" si="35"/>
        <v/>
      </c>
      <c r="J86" s="77" t="str">
        <f t="shared" si="35"/>
        <v/>
      </c>
      <c r="K86" s="77" t="str">
        <f t="shared" si="35"/>
        <v/>
      </c>
      <c r="L86" s="77" t="str">
        <f t="shared" si="35"/>
        <v/>
      </c>
      <c r="N86" t="str">
        <f t="shared" si="31"/>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6">IF(A90="","",N82)</f>
        <v>Add if multiple transactions, e.g.: $350*0.5 + $450*0.25</v>
      </c>
    </row>
    <row r="91" spans="1:14" x14ac:dyDescent="0.35">
      <c r="A91" s="32" t="str">
        <f>IF(A90="","","   Volume all players (should be zero)")</f>
        <v xml:space="preserve">   Volume all players (should be zero)</v>
      </c>
      <c r="C91" s="78" t="str">
        <f t="shared" ref="C91:M91" si="37">IF(OR(C$27="",$A91=""),"",C$112)</f>
        <v/>
      </c>
      <c r="D91" s="78" t="str">
        <f t="shared" si="37"/>
        <v/>
      </c>
      <c r="E91" s="78" t="str">
        <f t="shared" si="37"/>
        <v/>
      </c>
      <c r="F91" s="78" t="str">
        <f t="shared" si="37"/>
        <v/>
      </c>
      <c r="G91" s="78" t="str">
        <f t="shared" si="37"/>
        <v/>
      </c>
      <c r="H91" s="78" t="str">
        <f t="shared" si="37"/>
        <v/>
      </c>
      <c r="I91" s="78" t="str">
        <f t="shared" si="37"/>
        <v/>
      </c>
      <c r="J91" s="78" t="str">
        <f t="shared" si="37"/>
        <v/>
      </c>
      <c r="K91" s="78" t="str">
        <f t="shared" si="37"/>
        <v/>
      </c>
      <c r="L91" s="78" t="str">
        <f t="shared" si="37"/>
        <v/>
      </c>
      <c r="M91" t="str">
        <f t="shared" si="37"/>
        <v/>
      </c>
      <c r="N91" t="str">
        <f t="shared" si="36"/>
        <v>If non-zero, players need to change amount(s)</v>
      </c>
    </row>
    <row r="92" spans="1:14" x14ac:dyDescent="0.35">
      <c r="A92" s="1" t="str">
        <f>IF(A90="","","   Available Water [maf]")</f>
        <v xml:space="preserve">   Available Water [maf]</v>
      </c>
      <c r="C92" s="14" t="str">
        <f t="shared" ref="C92:L92" si="38">IF(OR(C$27="",$A92=""),"",C34+C52-C44-C89)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6"/>
        <v>Must be less than Available water</v>
      </c>
    </row>
    <row r="94" spans="1:14" x14ac:dyDescent="0.35">
      <c r="A94" s="32" t="str">
        <f>IF(A93="","","   End of Year Balance [maf]")</f>
        <v xml:space="preserve">   End of Year Balance [maf]</v>
      </c>
      <c r="C94" s="77" t="str">
        <f>IF(OR(C$27="",$A94=""),"",C92-C93)</f>
        <v/>
      </c>
      <c r="D94" s="77" t="str">
        <f t="shared" ref="D94:L94" si="39">IF(OR(D$27="",$A94=""),"",D92-D93)</f>
        <v/>
      </c>
      <c r="E94" s="77" t="str">
        <f t="shared" si="39"/>
        <v/>
      </c>
      <c r="F94" s="77" t="str">
        <f t="shared" si="39"/>
        <v/>
      </c>
      <c r="G94" s="77" t="str">
        <f t="shared" si="39"/>
        <v/>
      </c>
      <c r="H94" s="77" t="str">
        <f t="shared" si="39"/>
        <v/>
      </c>
      <c r="I94" s="77" t="str">
        <f t="shared" si="39"/>
        <v/>
      </c>
      <c r="J94" s="77" t="str">
        <f t="shared" si="39"/>
        <v/>
      </c>
      <c r="K94" s="77" t="str">
        <f t="shared" si="39"/>
        <v/>
      </c>
      <c r="L94" s="77" t="str">
        <f t="shared" si="39"/>
        <v/>
      </c>
      <c r="N94" t="str">
        <f t="shared" si="36"/>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0">IF(A98="","",N90)</f>
        <v/>
      </c>
    </row>
    <row r="99" spans="1:14" x14ac:dyDescent="0.35">
      <c r="A99" s="32" t="str">
        <f>IF(A98="","","   Volume all players (should be zero)")</f>
        <v/>
      </c>
      <c r="C99" s="78" t="str">
        <f t="shared" ref="C99:M99" si="41">IF(OR(C$27="",$A99=""),"",C$112)</f>
        <v/>
      </c>
      <c r="D99" s="78" t="str">
        <f t="shared" si="41"/>
        <v/>
      </c>
      <c r="E99" s="78" t="str">
        <f t="shared" si="41"/>
        <v/>
      </c>
      <c r="F99" s="78" t="str">
        <f t="shared" si="41"/>
        <v/>
      </c>
      <c r="G99" s="78" t="str">
        <f t="shared" si="41"/>
        <v/>
      </c>
      <c r="H99" s="78" t="str">
        <f t="shared" si="41"/>
        <v/>
      </c>
      <c r="I99" s="78" t="str">
        <f t="shared" si="41"/>
        <v/>
      </c>
      <c r="J99" s="78" t="str">
        <f t="shared" si="41"/>
        <v/>
      </c>
      <c r="K99" s="78" t="str">
        <f t="shared" si="41"/>
        <v/>
      </c>
      <c r="L99" s="78" t="str">
        <f t="shared" si="41"/>
        <v/>
      </c>
      <c r="M99" t="str">
        <f t="shared" si="41"/>
        <v/>
      </c>
      <c r="N99" t="str">
        <f t="shared" si="40"/>
        <v/>
      </c>
    </row>
    <row r="100" spans="1:14" x14ac:dyDescent="0.35">
      <c r="A100" s="1" t="str">
        <f>IF(A98="","","   Available Water [maf]")</f>
        <v/>
      </c>
      <c r="C100" s="14" t="str">
        <f t="shared" ref="C100:L100" si="42">IF(OR(C$27="",$A100=""),"",C35+C53-C45-C97)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43"/>
      <c r="D101" s="43"/>
      <c r="E101" s="43"/>
      <c r="F101" s="43"/>
      <c r="G101" s="43"/>
      <c r="H101" s="43"/>
      <c r="I101" s="43"/>
      <c r="J101" s="43"/>
      <c r="K101" s="43"/>
      <c r="L101" s="43"/>
      <c r="N101" t="str">
        <f t="shared" si="40"/>
        <v/>
      </c>
    </row>
    <row r="102" spans="1:14" x14ac:dyDescent="0.35">
      <c r="A102" s="32" t="str">
        <f>IF(A101="","","   End of Year Balance [maf]")</f>
        <v/>
      </c>
      <c r="C102" s="77" t="str">
        <f>IF(OR(C$27="",$A102=""),"",C100-C101)</f>
        <v/>
      </c>
      <c r="D102" s="77" t="str">
        <f t="shared" ref="D102:L102" si="43">IF(OR(D$27="",$A102=""),"",D100-D101)</f>
        <v/>
      </c>
      <c r="E102" s="77" t="str">
        <f t="shared" si="43"/>
        <v/>
      </c>
      <c r="F102" s="77" t="str">
        <f t="shared" si="43"/>
        <v/>
      </c>
      <c r="G102" s="77" t="str">
        <f t="shared" si="43"/>
        <v/>
      </c>
      <c r="H102" s="77" t="str">
        <f t="shared" si="43"/>
        <v/>
      </c>
      <c r="I102" s="77" t="str">
        <f t="shared" si="43"/>
        <v/>
      </c>
      <c r="J102" s="77" t="str">
        <f t="shared" si="43"/>
        <v/>
      </c>
      <c r="K102" s="77" t="str">
        <f t="shared" si="43"/>
        <v/>
      </c>
      <c r="L102" s="77" t="str">
        <f t="shared" si="43"/>
        <v/>
      </c>
      <c r="N102" t="str">
        <f t="shared" si="40"/>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44">IF(A6="","","    "&amp;A6)</f>
        <v xml:space="preserve">    Upper Basin</v>
      </c>
      <c r="B106" s="1"/>
      <c r="C106" s="78" t="str">
        <f t="shared" ref="C106:L111" ca="1" si="45">IF(OR(C$27="",$A106=""),"",OFFSET(C$57,8*(ROW(B106)-ROW(B$106)),0))</f>
        <v/>
      </c>
      <c r="D106" s="78" t="str">
        <f t="shared" ca="1" si="45"/>
        <v/>
      </c>
      <c r="E106" s="78" t="str">
        <f t="shared" ca="1" si="45"/>
        <v/>
      </c>
      <c r="F106" s="78" t="str">
        <f t="shared" ca="1" si="45"/>
        <v/>
      </c>
      <c r="G106" s="78" t="str">
        <f t="shared" ca="1" si="45"/>
        <v/>
      </c>
      <c r="H106" s="78" t="str">
        <f t="shared" ca="1" si="45"/>
        <v/>
      </c>
      <c r="I106" s="78" t="str">
        <f t="shared" ca="1" si="45"/>
        <v/>
      </c>
      <c r="J106" s="78" t="str">
        <f t="shared" ca="1" si="45"/>
        <v/>
      </c>
      <c r="K106" s="78" t="str">
        <f t="shared" ca="1" si="45"/>
        <v/>
      </c>
      <c r="L106" s="78" t="str">
        <f t="shared" ca="1" si="45"/>
        <v/>
      </c>
      <c r="M106" s="78">
        <f ca="1">IF(OR($A106=""),"",SUM(C106:L106))</f>
        <v>0</v>
      </c>
      <c r="N106" s="75">
        <f>IF(OR($A106=""),"",M58)</f>
        <v>0</v>
      </c>
    </row>
    <row r="107" spans="1:14" x14ac:dyDescent="0.35">
      <c r="A107" t="str">
        <f t="shared" si="44"/>
        <v xml:space="preserve">    Lower Basin</v>
      </c>
      <c r="B107" s="1"/>
      <c r="C107" s="78" t="str">
        <f t="shared" ca="1" si="45"/>
        <v/>
      </c>
      <c r="D107" s="78" t="str">
        <f t="shared" ca="1" si="45"/>
        <v/>
      </c>
      <c r="E107" s="78" t="str">
        <f t="shared" ca="1" si="45"/>
        <v/>
      </c>
      <c r="F107" s="78" t="str">
        <f t="shared" ca="1" si="45"/>
        <v/>
      </c>
      <c r="G107" s="78" t="str">
        <f t="shared" ca="1" si="45"/>
        <v/>
      </c>
      <c r="H107" s="78" t="str">
        <f t="shared" ca="1" si="45"/>
        <v/>
      </c>
      <c r="I107" s="78" t="str">
        <f t="shared" ca="1" si="45"/>
        <v/>
      </c>
      <c r="J107" s="78" t="str">
        <f t="shared" ca="1" si="45"/>
        <v/>
      </c>
      <c r="K107" s="78" t="str">
        <f t="shared" ca="1" si="45"/>
        <v/>
      </c>
      <c r="L107" s="78" t="str">
        <f t="shared" ca="1" si="45"/>
        <v/>
      </c>
      <c r="M107" s="78">
        <f t="shared" ref="M107:M111" ca="1" si="46">IF(OR($A107=""),"",SUM(C107:L107))</f>
        <v>0</v>
      </c>
      <c r="N107" s="75">
        <f>IF(OR($A107=""),"",M66)</f>
        <v>0</v>
      </c>
    </row>
    <row r="108" spans="1:14" x14ac:dyDescent="0.35">
      <c r="A108" t="str">
        <f t="shared" si="44"/>
        <v xml:space="preserve">    Mexico</v>
      </c>
      <c r="B108" s="1"/>
      <c r="C108" s="78" t="str">
        <f t="shared" ca="1" si="45"/>
        <v/>
      </c>
      <c r="D108" s="78" t="str">
        <f t="shared" ca="1" si="45"/>
        <v/>
      </c>
      <c r="E108" s="78" t="str">
        <f t="shared" ca="1" si="45"/>
        <v/>
      </c>
      <c r="F108" s="78" t="str">
        <f t="shared" ca="1" si="45"/>
        <v/>
      </c>
      <c r="G108" s="78" t="str">
        <f t="shared" ca="1" si="45"/>
        <v/>
      </c>
      <c r="H108" s="78" t="str">
        <f t="shared" ca="1" si="45"/>
        <v/>
      </c>
      <c r="I108" s="78" t="str">
        <f t="shared" ca="1" si="45"/>
        <v/>
      </c>
      <c r="J108" s="78" t="str">
        <f t="shared" ca="1" si="45"/>
        <v/>
      </c>
      <c r="K108" s="78" t="str">
        <f t="shared" ca="1" si="45"/>
        <v/>
      </c>
      <c r="L108" s="78" t="str">
        <f t="shared" ca="1" si="45"/>
        <v/>
      </c>
      <c r="M108" s="78">
        <f t="shared" ca="1" si="46"/>
        <v>0</v>
      </c>
      <c r="N108" s="75">
        <f>IF(OR($A108=""),"",M74)</f>
        <v>0</v>
      </c>
    </row>
    <row r="109" spans="1:14" x14ac:dyDescent="0.35">
      <c r="A109" t="str">
        <f t="shared" si="44"/>
        <v xml:space="preserve">    Mohave &amp; Havasu Evap &amp; ET</v>
      </c>
      <c r="B109" s="1"/>
      <c r="C109" s="78" t="str">
        <f t="shared" ca="1" si="45"/>
        <v/>
      </c>
      <c r="D109" s="78" t="str">
        <f t="shared" ca="1" si="45"/>
        <v/>
      </c>
      <c r="E109" s="78" t="str">
        <f t="shared" ca="1" si="45"/>
        <v/>
      </c>
      <c r="F109" s="78" t="str">
        <f t="shared" ca="1" si="45"/>
        <v/>
      </c>
      <c r="G109" s="78" t="str">
        <f t="shared" ca="1" si="45"/>
        <v/>
      </c>
      <c r="H109" s="78" t="str">
        <f t="shared" ca="1" si="45"/>
        <v/>
      </c>
      <c r="I109" s="78" t="str">
        <f t="shared" ca="1" si="45"/>
        <v/>
      </c>
      <c r="J109" s="78" t="str">
        <f t="shared" ca="1" si="45"/>
        <v/>
      </c>
      <c r="K109" s="78" t="str">
        <f t="shared" ca="1" si="45"/>
        <v/>
      </c>
      <c r="L109" s="78" t="str">
        <f t="shared" ca="1" si="45"/>
        <v/>
      </c>
      <c r="M109" s="78">
        <f t="shared" ca="1" si="46"/>
        <v>0</v>
      </c>
      <c r="N109" s="75">
        <f>IF(OR($A109=""),"",M82)</f>
        <v>0</v>
      </c>
    </row>
    <row r="110" spans="1:14" x14ac:dyDescent="0.35">
      <c r="A110" t="str">
        <f t="shared" si="44"/>
        <v xml:space="preserve">    Shared, Reserve</v>
      </c>
      <c r="B110" s="1"/>
      <c r="C110" s="78" t="str">
        <f t="shared" ca="1" si="45"/>
        <v/>
      </c>
      <c r="D110" s="78" t="str">
        <f t="shared" ca="1" si="45"/>
        <v/>
      </c>
      <c r="E110" s="78" t="str">
        <f t="shared" ca="1" si="45"/>
        <v/>
      </c>
      <c r="F110" s="78" t="str">
        <f t="shared" ca="1" si="45"/>
        <v/>
      </c>
      <c r="G110" s="78" t="str">
        <f t="shared" ca="1" si="45"/>
        <v/>
      </c>
      <c r="H110" s="78" t="str">
        <f t="shared" ca="1" si="45"/>
        <v/>
      </c>
      <c r="I110" s="78" t="str">
        <f t="shared" ca="1" si="45"/>
        <v/>
      </c>
      <c r="J110" s="78" t="str">
        <f t="shared" ca="1" si="45"/>
        <v/>
      </c>
      <c r="K110" s="78" t="str">
        <f t="shared" ca="1" si="45"/>
        <v/>
      </c>
      <c r="L110" s="78" t="str">
        <f t="shared" ca="1" si="45"/>
        <v/>
      </c>
      <c r="M110" s="78">
        <f t="shared" ca="1" si="46"/>
        <v>0</v>
      </c>
      <c r="N110" s="75">
        <f>IF(OR($A110=""),"",M90)</f>
        <v>0</v>
      </c>
    </row>
    <row r="111" spans="1:14" x14ac:dyDescent="0.35">
      <c r="A111" t="str">
        <f t="shared" si="44"/>
        <v/>
      </c>
      <c r="B111" s="1"/>
      <c r="C111" s="78" t="str">
        <f t="shared" ca="1" si="45"/>
        <v/>
      </c>
      <c r="D111" s="78" t="str">
        <f t="shared" ca="1" si="45"/>
        <v/>
      </c>
      <c r="E111" s="78" t="str">
        <f t="shared" ca="1" si="45"/>
        <v/>
      </c>
      <c r="F111" s="78" t="str">
        <f t="shared" ca="1" si="45"/>
        <v/>
      </c>
      <c r="G111" s="78" t="str">
        <f t="shared" ca="1" si="45"/>
        <v/>
      </c>
      <c r="H111" s="78" t="str">
        <f t="shared" ca="1" si="45"/>
        <v/>
      </c>
      <c r="I111" s="78" t="str">
        <f t="shared" ca="1" si="45"/>
        <v/>
      </c>
      <c r="J111" s="78" t="str">
        <f t="shared" ca="1" si="45"/>
        <v/>
      </c>
      <c r="K111" s="78" t="str">
        <f t="shared" ca="1" si="45"/>
        <v/>
      </c>
      <c r="L111" s="78" t="str">
        <f t="shared" ca="1" si="45"/>
        <v/>
      </c>
      <c r="M111" s="78" t="str">
        <f t="shared" si="46"/>
        <v/>
      </c>
      <c r="N111" s="75" t="str">
        <f>IF(OR($A111=""),"",M98)</f>
        <v/>
      </c>
    </row>
    <row r="112" spans="1:14" x14ac:dyDescent="0.35">
      <c r="A112" t="s">
        <v>146</v>
      </c>
      <c r="B112" s="1"/>
      <c r="C112" s="52" t="str">
        <f>IF(C$27&lt;&gt;"",SUM(C106:C111),"")</f>
        <v/>
      </c>
      <c r="D112" s="52" t="str">
        <f t="shared" ref="D112:L112" si="47">IF(D$27&lt;&gt;"",SUM(D106:D111),"")</f>
        <v/>
      </c>
      <c r="E112" s="52" t="str">
        <f t="shared" si="47"/>
        <v/>
      </c>
      <c r="F112" s="52" t="str">
        <f t="shared" si="47"/>
        <v/>
      </c>
      <c r="G112" s="52" t="str">
        <f t="shared" si="47"/>
        <v/>
      </c>
      <c r="H112" s="52" t="str">
        <f t="shared" si="47"/>
        <v/>
      </c>
      <c r="I112" s="52" t="str">
        <f t="shared" si="47"/>
        <v/>
      </c>
      <c r="J112" s="52" t="str">
        <f t="shared" si="47"/>
        <v/>
      </c>
      <c r="K112" s="52" t="str">
        <f t="shared" si="47"/>
        <v/>
      </c>
      <c r="L112" s="52" t="str">
        <f t="shared" si="47"/>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9" ca="1" si="48">IF(OR(C$27="",$A114=""),"",OFFSET(C$61,8*(ROW(B114)-ROW(B$114)),0))</f>
        <v/>
      </c>
      <c r="D114" s="78" t="str">
        <f t="shared" ca="1" si="48"/>
        <v/>
      </c>
      <c r="E114" s="78" t="str">
        <f t="shared" ca="1" si="48"/>
        <v/>
      </c>
      <c r="F114" s="78" t="str">
        <f t="shared" ca="1" si="48"/>
        <v/>
      </c>
      <c r="G114" s="78" t="str">
        <f t="shared" ca="1" si="48"/>
        <v/>
      </c>
      <c r="H114" s="78" t="str">
        <f t="shared" ca="1" si="48"/>
        <v/>
      </c>
      <c r="I114" s="78" t="str">
        <f t="shared" ca="1" si="48"/>
        <v/>
      </c>
      <c r="J114" s="78" t="str">
        <f t="shared" ca="1" si="48"/>
        <v/>
      </c>
      <c r="K114" s="78" t="str">
        <f t="shared" ca="1" si="48"/>
        <v/>
      </c>
      <c r="L114" s="78" t="str">
        <f t="shared" ca="1" si="48"/>
        <v/>
      </c>
    </row>
    <row r="115" spans="1:12" x14ac:dyDescent="0.35">
      <c r="A115" t="str">
        <f>IF(A7="","","    "&amp;A7&amp;" - Release from Mead")</f>
        <v xml:space="preserve">    Lower Basin - Release from Mead</v>
      </c>
      <c r="C115" s="78" t="str">
        <f t="shared" ca="1" si="48"/>
        <v/>
      </c>
      <c r="D115" s="78" t="str">
        <f t="shared" ca="1" si="48"/>
        <v/>
      </c>
      <c r="E115" s="78" t="str">
        <f t="shared" ca="1" si="48"/>
        <v/>
      </c>
      <c r="F115" s="78" t="str">
        <f t="shared" ca="1" si="48"/>
        <v/>
      </c>
      <c r="G115" s="78" t="str">
        <f t="shared" ca="1" si="48"/>
        <v/>
      </c>
      <c r="H115" s="78" t="str">
        <f t="shared" ca="1" si="48"/>
        <v/>
      </c>
      <c r="I115" s="78" t="str">
        <f t="shared" ca="1" si="48"/>
        <v/>
      </c>
      <c r="J115" s="78" t="str">
        <f t="shared" ca="1" si="48"/>
        <v/>
      </c>
      <c r="K115" s="78" t="str">
        <f t="shared" ca="1" si="48"/>
        <v/>
      </c>
      <c r="L115" s="78" t="str">
        <f t="shared" ca="1" si="48"/>
        <v/>
      </c>
    </row>
    <row r="116" spans="1:12" x14ac:dyDescent="0.35">
      <c r="A116" t="str">
        <f>IF(A8="","","    "&amp;A8&amp;" - Release from Mead")</f>
        <v xml:space="preserve">    Mexico - Release from Mead</v>
      </c>
      <c r="C116" s="78" t="str">
        <f t="shared" ca="1" si="48"/>
        <v/>
      </c>
      <c r="D116" s="78" t="str">
        <f t="shared" ca="1" si="48"/>
        <v/>
      </c>
      <c r="E116" s="78" t="str">
        <f t="shared" ca="1" si="48"/>
        <v/>
      </c>
      <c r="F116" s="78" t="str">
        <f t="shared" ca="1" si="48"/>
        <v/>
      </c>
      <c r="G116" s="78" t="str">
        <f t="shared" ca="1" si="48"/>
        <v/>
      </c>
      <c r="H116" s="78" t="str">
        <f t="shared" ca="1" si="48"/>
        <v/>
      </c>
      <c r="I116" s="78" t="str">
        <f t="shared" ca="1" si="48"/>
        <v/>
      </c>
      <c r="J116" s="78" t="str">
        <f t="shared" ca="1" si="48"/>
        <v/>
      </c>
      <c r="K116" s="78" t="str">
        <f t="shared" ca="1" si="48"/>
        <v/>
      </c>
      <c r="L116" s="78" t="str">
        <f t="shared" ca="1" si="48"/>
        <v/>
      </c>
    </row>
    <row r="117" spans="1:12" x14ac:dyDescent="0.35">
      <c r="A117" t="str">
        <f>IF(A9="","","    "&amp;A9&amp;" - Release from Mead")</f>
        <v xml:space="preserve">    Mohave &amp; Havasu Evap &amp; ET - Release from Mead</v>
      </c>
      <c r="C117" s="78" t="str">
        <f t="shared" ca="1" si="48"/>
        <v/>
      </c>
      <c r="D117" s="78" t="str">
        <f t="shared" ca="1" si="48"/>
        <v/>
      </c>
      <c r="E117" s="78" t="str">
        <f t="shared" ca="1" si="48"/>
        <v/>
      </c>
      <c r="F117" s="78" t="str">
        <f t="shared" ca="1" si="48"/>
        <v/>
      </c>
      <c r="G117" s="78" t="str">
        <f t="shared" ca="1" si="48"/>
        <v/>
      </c>
      <c r="H117" s="78" t="str">
        <f t="shared" ca="1" si="48"/>
        <v/>
      </c>
      <c r="I117" s="78" t="str">
        <f t="shared" ca="1" si="48"/>
        <v/>
      </c>
      <c r="J117" s="78" t="str">
        <f t="shared" ca="1" si="48"/>
        <v/>
      </c>
      <c r="K117" s="78" t="str">
        <f t="shared" ca="1" si="48"/>
        <v/>
      </c>
      <c r="L117" s="78" t="str">
        <f t="shared" ca="1" si="48"/>
        <v/>
      </c>
    </row>
    <row r="118" spans="1:12" x14ac:dyDescent="0.35">
      <c r="A118" t="str">
        <f>IF(A10="","","    "&amp;A10&amp;" - Release from Mead")</f>
        <v xml:space="preserve">    Shared, Reserve - Release from Mead</v>
      </c>
      <c r="C118" s="78" t="str">
        <f t="shared" ca="1" si="48"/>
        <v/>
      </c>
      <c r="D118" s="78" t="str">
        <f t="shared" ca="1" si="48"/>
        <v/>
      </c>
      <c r="E118" s="78" t="str">
        <f t="shared" ca="1" si="48"/>
        <v/>
      </c>
      <c r="F118" s="78" t="str">
        <f t="shared" ca="1" si="48"/>
        <v/>
      </c>
      <c r="G118" s="78" t="str">
        <f t="shared" ca="1" si="48"/>
        <v/>
      </c>
      <c r="H118" s="78" t="str">
        <f t="shared" ca="1" si="48"/>
        <v/>
      </c>
      <c r="I118" s="78" t="str">
        <f t="shared" ca="1" si="48"/>
        <v/>
      </c>
      <c r="J118" s="78" t="str">
        <f t="shared" ca="1" si="48"/>
        <v/>
      </c>
      <c r="K118" s="78" t="str">
        <f t="shared" ca="1" si="48"/>
        <v/>
      </c>
      <c r="L118" s="78" t="str">
        <f t="shared" ca="1" si="48"/>
        <v/>
      </c>
    </row>
    <row r="119" spans="1:12" x14ac:dyDescent="0.35">
      <c r="A119" t="str">
        <f>IF(A11="","","    "&amp;A11&amp;" - Release from Mead")</f>
        <v/>
      </c>
      <c r="C119" s="78" t="str">
        <f t="shared" ca="1" si="48"/>
        <v/>
      </c>
      <c r="D119" s="78" t="str">
        <f t="shared" ca="1" si="48"/>
        <v/>
      </c>
      <c r="E119" s="78" t="str">
        <f t="shared" ca="1" si="48"/>
        <v/>
      </c>
      <c r="F119" s="78" t="str">
        <f t="shared" ca="1" si="48"/>
        <v/>
      </c>
      <c r="G119" s="78" t="str">
        <f t="shared" ca="1" si="48"/>
        <v/>
      </c>
      <c r="H119" s="78" t="str">
        <f t="shared" ca="1" si="48"/>
        <v/>
      </c>
      <c r="I119" s="78" t="str">
        <f t="shared" ca="1" si="48"/>
        <v/>
      </c>
      <c r="J119" s="78" t="str">
        <f t="shared" ca="1" si="48"/>
        <v/>
      </c>
      <c r="K119" s="78" t="str">
        <f t="shared" ca="1" si="48"/>
        <v/>
      </c>
      <c r="L119" s="78" t="str">
        <f t="shared" ca="1" si="48"/>
        <v/>
      </c>
    </row>
    <row r="120" spans="1:12" x14ac:dyDescent="0.35">
      <c r="A120" s="1" t="s">
        <v>139</v>
      </c>
      <c r="B120" s="1"/>
      <c r="D120" s="2"/>
      <c r="E120" s="2"/>
      <c r="F120" s="2"/>
      <c r="G120" s="2"/>
      <c r="H120" s="2"/>
      <c r="I120" s="2"/>
      <c r="J120" s="2"/>
      <c r="K120" s="2"/>
      <c r="L120" s="2"/>
    </row>
    <row r="121" spans="1:12" x14ac:dyDescent="0.35">
      <c r="A121" t="str">
        <f t="shared" ref="A121:A126" si="49">IF(A6="","","    "&amp;A6)</f>
        <v xml:space="preserve">    Upper Basin</v>
      </c>
      <c r="C121" s="78" t="str">
        <f t="shared" ref="C121:L126" ca="1" si="50">IF(OR(C$27="",$A121=""),"",OFFSET(C$62,8*(ROW(B121)-ROW(B$121)),0))</f>
        <v/>
      </c>
      <c r="D121" s="78" t="str">
        <f t="shared" ca="1" si="50"/>
        <v/>
      </c>
      <c r="E121" s="78" t="str">
        <f t="shared" ca="1" si="50"/>
        <v/>
      </c>
      <c r="F121" s="78" t="str">
        <f t="shared" ca="1" si="50"/>
        <v/>
      </c>
      <c r="G121" s="78" t="str">
        <f t="shared" ca="1" si="50"/>
        <v/>
      </c>
      <c r="H121" s="78" t="str">
        <f t="shared" ca="1" si="50"/>
        <v/>
      </c>
      <c r="I121" s="78" t="str">
        <f t="shared" ca="1" si="50"/>
        <v/>
      </c>
      <c r="J121" s="78" t="str">
        <f t="shared" ca="1" si="50"/>
        <v/>
      </c>
      <c r="K121" s="78" t="str">
        <f t="shared" ca="1" si="50"/>
        <v/>
      </c>
      <c r="L121" s="78" t="str">
        <f t="shared" ca="1" si="50"/>
        <v/>
      </c>
    </row>
    <row r="122" spans="1:12" x14ac:dyDescent="0.35">
      <c r="A122" t="str">
        <f t="shared" si="49"/>
        <v xml:space="preserve">    Lower Basin</v>
      </c>
      <c r="C122" s="78" t="str">
        <f t="shared" ca="1" si="50"/>
        <v/>
      </c>
      <c r="D122" s="78" t="str">
        <f t="shared" ca="1" si="50"/>
        <v/>
      </c>
      <c r="E122" s="78" t="str">
        <f t="shared" ca="1" si="50"/>
        <v/>
      </c>
      <c r="F122" s="78" t="str">
        <f t="shared" ca="1" si="50"/>
        <v/>
      </c>
      <c r="G122" s="78" t="str">
        <f t="shared" ca="1" si="50"/>
        <v/>
      </c>
      <c r="H122" s="78" t="str">
        <f t="shared" ca="1" si="50"/>
        <v/>
      </c>
      <c r="I122" s="78" t="str">
        <f t="shared" ca="1" si="50"/>
        <v/>
      </c>
      <c r="J122" s="78" t="str">
        <f t="shared" ca="1" si="50"/>
        <v/>
      </c>
      <c r="K122" s="78" t="str">
        <f t="shared" ca="1" si="50"/>
        <v/>
      </c>
      <c r="L122" s="78" t="str">
        <f t="shared" ca="1" si="50"/>
        <v/>
      </c>
    </row>
    <row r="123" spans="1:12" x14ac:dyDescent="0.35">
      <c r="A123" t="str">
        <f t="shared" si="49"/>
        <v xml:space="preserve">    Mexico</v>
      </c>
      <c r="C123" s="78" t="str">
        <f t="shared" ca="1" si="50"/>
        <v/>
      </c>
      <c r="D123" s="78" t="str">
        <f t="shared" ca="1" si="50"/>
        <v/>
      </c>
      <c r="E123" s="78" t="str">
        <f t="shared" ca="1" si="50"/>
        <v/>
      </c>
      <c r="F123" s="78" t="str">
        <f t="shared" ca="1" si="50"/>
        <v/>
      </c>
      <c r="G123" s="78" t="str">
        <f t="shared" ca="1" si="50"/>
        <v/>
      </c>
      <c r="H123" s="78" t="str">
        <f t="shared" ca="1" si="50"/>
        <v/>
      </c>
      <c r="I123" s="78" t="str">
        <f t="shared" ca="1" si="50"/>
        <v/>
      </c>
      <c r="J123" s="78" t="str">
        <f t="shared" ca="1" si="50"/>
        <v/>
      </c>
      <c r="K123" s="78" t="str">
        <f t="shared" ca="1" si="50"/>
        <v/>
      </c>
      <c r="L123" s="78" t="str">
        <f t="shared" ca="1" si="50"/>
        <v/>
      </c>
    </row>
    <row r="124" spans="1:12" x14ac:dyDescent="0.35">
      <c r="A124" t="str">
        <f t="shared" si="49"/>
        <v xml:space="preserve">    Mohave &amp; Havasu Evap &amp; ET</v>
      </c>
      <c r="C124" s="78" t="str">
        <f t="shared" ca="1" si="50"/>
        <v/>
      </c>
      <c r="D124" s="78" t="str">
        <f t="shared" ca="1" si="50"/>
        <v/>
      </c>
      <c r="E124" s="78" t="str">
        <f t="shared" ca="1" si="50"/>
        <v/>
      </c>
      <c r="F124" s="78" t="str">
        <f t="shared" ca="1" si="50"/>
        <v/>
      </c>
      <c r="G124" s="78" t="str">
        <f t="shared" ca="1" si="50"/>
        <v/>
      </c>
      <c r="H124" s="78" t="str">
        <f t="shared" ca="1" si="50"/>
        <v/>
      </c>
      <c r="I124" s="78" t="str">
        <f t="shared" ca="1" si="50"/>
        <v/>
      </c>
      <c r="J124" s="78" t="str">
        <f t="shared" ca="1" si="50"/>
        <v/>
      </c>
      <c r="K124" s="78" t="str">
        <f t="shared" ca="1" si="50"/>
        <v/>
      </c>
      <c r="L124" s="78" t="str">
        <f t="shared" ca="1" si="50"/>
        <v/>
      </c>
    </row>
    <row r="125" spans="1:12" x14ac:dyDescent="0.35">
      <c r="A125" t="str">
        <f t="shared" si="49"/>
        <v xml:space="preserve">    Shared, Reserve</v>
      </c>
      <c r="C125" s="78" t="str">
        <f t="shared" ca="1" si="50"/>
        <v/>
      </c>
      <c r="D125" s="78" t="str">
        <f t="shared" ca="1" si="50"/>
        <v/>
      </c>
      <c r="E125" s="78" t="str">
        <f t="shared" ca="1" si="50"/>
        <v/>
      </c>
      <c r="F125" s="78" t="str">
        <f t="shared" ca="1" si="50"/>
        <v/>
      </c>
      <c r="G125" s="78" t="str">
        <f t="shared" ca="1" si="50"/>
        <v/>
      </c>
      <c r="H125" s="78" t="str">
        <f t="shared" ca="1" si="50"/>
        <v/>
      </c>
      <c r="I125" s="78" t="str">
        <f t="shared" ca="1" si="50"/>
        <v/>
      </c>
      <c r="J125" s="78" t="str">
        <f t="shared" ca="1" si="50"/>
        <v/>
      </c>
      <c r="K125" s="78" t="str">
        <f t="shared" ca="1" si="50"/>
        <v/>
      </c>
      <c r="L125" s="78" t="str">
        <f t="shared" ca="1" si="50"/>
        <v/>
      </c>
    </row>
    <row r="126" spans="1:12" x14ac:dyDescent="0.35">
      <c r="A126" t="str">
        <f t="shared" si="49"/>
        <v/>
      </c>
      <c r="C126" s="78" t="str">
        <f t="shared" ca="1" si="50"/>
        <v/>
      </c>
      <c r="D126" s="78" t="str">
        <f t="shared" ca="1" si="50"/>
        <v/>
      </c>
      <c r="E126" s="78" t="str">
        <f t="shared" ca="1" si="50"/>
        <v/>
      </c>
      <c r="F126" s="78" t="str">
        <f t="shared" ca="1" si="50"/>
        <v/>
      </c>
      <c r="G126" s="78" t="str">
        <f t="shared" ca="1" si="50"/>
        <v/>
      </c>
      <c r="H126" s="78" t="str">
        <f t="shared" ca="1" si="50"/>
        <v/>
      </c>
      <c r="I126" s="78" t="str">
        <f t="shared" ca="1" si="50"/>
        <v/>
      </c>
      <c r="J126" s="78" t="str">
        <f t="shared" ca="1" si="50"/>
        <v/>
      </c>
      <c r="K126" s="78" t="str">
        <f t="shared" ca="1" si="50"/>
        <v/>
      </c>
      <c r="L126" s="78" t="str">
        <f t="shared" ca="1" si="50"/>
        <v/>
      </c>
    </row>
    <row r="127" spans="1:12" x14ac:dyDescent="0.35">
      <c r="A127" s="1" t="s">
        <v>123</v>
      </c>
      <c r="B127" s="1"/>
      <c r="C127" s="14" t="str">
        <f>IF(C$27&lt;&gt;"",SUM(C121:C126),"")</f>
        <v/>
      </c>
      <c r="D127" s="14" t="str">
        <f t="shared" ref="D127:L127" si="51">IF(D$27&lt;&gt;"",SUM(D121:D126),"")</f>
        <v/>
      </c>
      <c r="E127" s="14" t="str">
        <f t="shared" si="51"/>
        <v/>
      </c>
      <c r="F127" s="14" t="str">
        <f t="shared" si="51"/>
        <v/>
      </c>
      <c r="G127" s="14" t="str">
        <f t="shared" si="51"/>
        <v/>
      </c>
      <c r="H127" s="14" t="str">
        <f t="shared" si="51"/>
        <v/>
      </c>
      <c r="I127" s="14" t="str">
        <f t="shared" si="51"/>
        <v/>
      </c>
      <c r="J127" s="14" t="str">
        <f t="shared" si="51"/>
        <v/>
      </c>
      <c r="K127" s="14" t="str">
        <f t="shared" si="51"/>
        <v/>
      </c>
      <c r="L127" s="14" t="str">
        <f t="shared" si="51"/>
        <v/>
      </c>
    </row>
    <row r="128" spans="1:12" x14ac:dyDescent="0.35">
      <c r="A128" s="1" t="s">
        <v>206</v>
      </c>
      <c r="B128" s="1"/>
      <c r="C128" s="87"/>
      <c r="D128" s="87"/>
      <c r="E128" s="87"/>
      <c r="F128" s="87"/>
      <c r="G128" s="87"/>
      <c r="H128" s="87"/>
      <c r="I128" s="87"/>
      <c r="J128" s="87"/>
      <c r="K128" s="87"/>
      <c r="L128" s="87"/>
    </row>
    <row r="129" spans="1:14" x14ac:dyDescent="0.35">
      <c r="A129" s="1" t="s">
        <v>202</v>
      </c>
      <c r="B129" s="1"/>
      <c r="C129" s="14" t="str">
        <f>IF(C27="","",C$128*C$127)</f>
        <v/>
      </c>
      <c r="D129" s="14" t="str">
        <f t="shared" ref="D129:L129" si="52">IF(D27="","",D$128*D$127)</f>
        <v/>
      </c>
      <c r="E129" s="14" t="str">
        <f t="shared" si="52"/>
        <v/>
      </c>
      <c r="F129" s="14" t="str">
        <f t="shared" si="52"/>
        <v/>
      </c>
      <c r="G129" s="14" t="str">
        <f t="shared" si="52"/>
        <v/>
      </c>
      <c r="H129" s="14" t="str">
        <f t="shared" si="52"/>
        <v/>
      </c>
      <c r="I129" s="14" t="str">
        <f t="shared" si="52"/>
        <v/>
      </c>
      <c r="J129" s="14" t="str">
        <f t="shared" si="52"/>
        <v/>
      </c>
      <c r="K129" s="14" t="str">
        <f t="shared" si="52"/>
        <v/>
      </c>
      <c r="L129" s="14" t="str">
        <f t="shared" si="52"/>
        <v/>
      </c>
    </row>
    <row r="130" spans="1:14" x14ac:dyDescent="0.35">
      <c r="A130" s="1" t="s">
        <v>203</v>
      </c>
      <c r="B130" s="1"/>
      <c r="C130" s="14" t="str">
        <f>IF(C28="","",(1-C$128)*C$127)</f>
        <v/>
      </c>
      <c r="D130" s="14" t="str">
        <f t="shared" ref="D130:L130" si="53">IF(D28="","",(1-D$128)*D$127)</f>
        <v/>
      </c>
      <c r="E130" s="14" t="str">
        <f t="shared" si="53"/>
        <v/>
      </c>
      <c r="F130" s="14" t="str">
        <f t="shared" si="53"/>
        <v/>
      </c>
      <c r="G130" s="14" t="str">
        <f t="shared" si="53"/>
        <v/>
      </c>
      <c r="H130" s="14" t="str">
        <f t="shared" si="53"/>
        <v/>
      </c>
      <c r="I130" s="14" t="str">
        <f t="shared" si="53"/>
        <v/>
      </c>
      <c r="J130" s="14" t="str">
        <f t="shared" si="53"/>
        <v/>
      </c>
      <c r="K130" s="14" t="str">
        <f t="shared" si="53"/>
        <v/>
      </c>
      <c r="L130" s="14" t="str">
        <f t="shared" si="53"/>
        <v/>
      </c>
    </row>
    <row r="131" spans="1:14" x14ac:dyDescent="0.35">
      <c r="A131" s="32" t="s">
        <v>305</v>
      </c>
      <c r="B131" s="1"/>
      <c r="C131" s="141" t="str">
        <f>IF(C$27&lt;&gt;"",VLOOKUP(C129*1000000,'Powell-Elevation-Area'!$B$5:$H$689,7),"")</f>
        <v/>
      </c>
      <c r="D131" s="141" t="str">
        <f>IF(D$27&lt;&gt;"",VLOOKUP(D129*1000000,'Powell-Elevation-Area'!$B$5:$H$689,7),"")</f>
        <v/>
      </c>
      <c r="E131" s="141" t="str">
        <f>IF(E$27&lt;&gt;"",VLOOKUP(E129*1000000,'Powell-Elevation-Area'!$B$5:$H$689,7),"")</f>
        <v/>
      </c>
      <c r="F131" s="141" t="str">
        <f>IF(F$27&lt;&gt;"",VLOOKUP(F129*1000000,'Powell-Elevation-Area'!$B$5:$H$689,7),"")</f>
        <v/>
      </c>
      <c r="G131" s="141" t="str">
        <f>IF(G$27&lt;&gt;"",VLOOKUP(G129*1000000,'Powell-Elevation-Area'!$B$5:$H$689,7),"")</f>
        <v/>
      </c>
      <c r="H131" s="141" t="str">
        <f>IF(H$27&lt;&gt;"",VLOOKUP(H129*1000000,'Powell-Elevation-Area'!$B$5:$H$689,7),"")</f>
        <v/>
      </c>
      <c r="I131" s="141" t="str">
        <f>IF(I$27&lt;&gt;"",VLOOKUP(I129*1000000,'Powell-Elevation-Area'!$B$5:$H$689,7),"")</f>
        <v/>
      </c>
      <c r="J131" s="141" t="str">
        <f>IF(J$27&lt;&gt;"",VLOOKUP(J129*1000000,'Powell-Elevation-Area'!$B$5:$H$689,7),"")</f>
        <v/>
      </c>
      <c r="K131" s="141" t="str">
        <f>IF(K$27&lt;&gt;"",VLOOKUP(K129*1000000,'Powell-Elevation-Area'!$B$5:$H$689,7),"")</f>
        <v/>
      </c>
      <c r="L131" s="141" t="str">
        <f>IF(L$27&lt;&gt;"",VLOOKUP(L129*1000000,'Powell-Elevation-Area'!$B$5:$H$689,7),"")</f>
        <v/>
      </c>
    </row>
    <row r="132" spans="1:14" x14ac:dyDescent="0.35">
      <c r="A132" s="32" t="s">
        <v>306</v>
      </c>
      <c r="B132" s="1"/>
      <c r="C132" s="141" t="str">
        <f>IF(C$27&lt;&gt;"",VLOOKUP(C130*1000000,'Mead-Elevation-Area'!$B$5:$H$689,7),"")</f>
        <v/>
      </c>
      <c r="D132" s="141" t="str">
        <f>IF(D$27&lt;&gt;"",VLOOKUP(D130*1000000,'Mead-Elevation-Area'!$B$5:$H$689,7),"")</f>
        <v/>
      </c>
      <c r="E132" s="141" t="str">
        <f>IF(E$27&lt;&gt;"",VLOOKUP(E130*1000000,'Mead-Elevation-Area'!$B$5:$H$689,7),"")</f>
        <v/>
      </c>
      <c r="F132" s="141" t="str">
        <f>IF(F$27&lt;&gt;"",VLOOKUP(F130*1000000,'Mead-Elevation-Area'!$B$5:$H$689,7),"")</f>
        <v/>
      </c>
      <c r="G132" s="141" t="str">
        <f>IF(G$27&lt;&gt;"",VLOOKUP(G130*1000000,'Mead-Elevation-Area'!$B$5:$H$689,7),"")</f>
        <v/>
      </c>
      <c r="H132" s="141" t="str">
        <f>IF(H$27&lt;&gt;"",VLOOKUP(H130*1000000,'Mead-Elevation-Area'!$B$5:$H$689,7),"")</f>
        <v/>
      </c>
      <c r="I132" s="141" t="str">
        <f>IF(I$27&lt;&gt;"",VLOOKUP(I130*1000000,'Mead-Elevation-Area'!$B$5:$H$689,7),"")</f>
        <v/>
      </c>
      <c r="J132" s="141" t="str">
        <f>IF(J$27&lt;&gt;"",VLOOKUP(J130*1000000,'Mead-Elevation-Area'!$B$5:$H$689,7),"")</f>
        <v/>
      </c>
      <c r="K132" s="141" t="str">
        <f>IF(K$27&lt;&gt;"",VLOOKUP(K130*1000000,'Mead-Elevation-Area'!$B$5:$H$689,7),"")</f>
        <v/>
      </c>
      <c r="L132" s="141" t="str">
        <f>IF(L$27&lt;&gt;"",VLOOKUP(L130*1000000,'Mead-Elevation-Area'!$B$5:$H$689,7),"")</f>
        <v/>
      </c>
    </row>
    <row r="133" spans="1:14" x14ac:dyDescent="0.35">
      <c r="A133" s="1" t="s">
        <v>319</v>
      </c>
      <c r="B133" s="1"/>
    </row>
    <row r="134" spans="1:14" x14ac:dyDescent="0.35">
      <c r="A134" s="32" t="s">
        <v>320</v>
      </c>
      <c r="B134" s="1"/>
      <c r="C134" s="14" t="str">
        <f>IF(C$27&lt;&gt;"",-C129+C37+C27-C61-VLOOKUP(C37*1000000,'Powell-Elevation-Area'!$B$5:$D$689,3)*$B$21/1000000,"")</f>
        <v/>
      </c>
      <c r="D134" s="14" t="str">
        <f>IF(D$27&lt;&gt;"",-D129+D37+D27-D61-VLOOKUP(D37*1000000,'Powell-Elevation-Area'!$B$5:$D$689,3)*$B$21/1000000,"")</f>
        <v/>
      </c>
      <c r="E134" s="14" t="str">
        <f>IF(E$27&lt;&gt;"",-E129+E37+E27-E61-VLOOKUP(E37*1000000,'Powell-Elevation-Area'!$B$5:$D$689,3)*$B$21/1000000,"")</f>
        <v/>
      </c>
      <c r="F134" s="14" t="str">
        <f>IF(F$27&lt;&gt;"",-F129+F37+F27-F61-VLOOKUP(F37*1000000,'Powell-Elevation-Area'!$B$5:$D$689,3)*$B$21/1000000,"")</f>
        <v/>
      </c>
      <c r="G134" s="14" t="str">
        <f>IF(G$27&lt;&gt;"",-G129+G37+G27-G61-VLOOKUP(G37*1000000,'Powell-Elevation-Area'!$B$5:$D$689,3)*$B$21/1000000,"")</f>
        <v/>
      </c>
      <c r="H134" s="14" t="str">
        <f>IF(H$27&lt;&gt;"",-H129+H37+H27-H61-VLOOKUP(H37*1000000,'Powell-Elevation-Area'!$B$5:$D$689,3)*$B$21/1000000,"")</f>
        <v/>
      </c>
      <c r="I134" s="14" t="str">
        <f>IF(I$27&lt;&gt;"",-I129+I37+I27-I61-VLOOKUP(I37*1000000,'Powell-Elevation-Area'!$B$5:$D$689,3)*$B$21/1000000,"")</f>
        <v/>
      </c>
      <c r="J134" s="14" t="str">
        <f>IF(J$27&lt;&gt;"",-J129+J37+J27-J61-VLOOKUP(J37*1000000,'Powell-Elevation-Area'!$B$5:$D$689,3)*$B$21/1000000,"")</f>
        <v/>
      </c>
      <c r="K134" s="14" t="str">
        <f>IF(K$27&lt;&gt;"",-K129+K37+K27-K61-VLOOKUP(K37*1000000,'Powell-Elevation-Area'!$B$5:$D$689,3)*$B$21/1000000,"")</f>
        <v/>
      </c>
      <c r="L134" s="14" t="str">
        <f>IF(L$27&lt;&gt;"",-L129+L37+L27-L61-VLOOKUP(L37*1000000,'Powell-Elevation-Area'!$B$5:$D$689,3)*$B$21/1000000,"")</f>
        <v/>
      </c>
      <c r="N134" t="s">
        <v>204</v>
      </c>
    </row>
    <row r="135" spans="1:14" x14ac:dyDescent="0.35">
      <c r="A135" s="32" t="s">
        <v>327</v>
      </c>
      <c r="B135" s="1"/>
      <c r="C135" s="141" t="str">
        <f>IF(C$27&lt;&gt;"",VLOOKUP(C131,PowellReleaseTemperature!$A$5:$B$11,2),"")</f>
        <v/>
      </c>
      <c r="D135" s="141" t="str">
        <f>IF(D$27&lt;&gt;"",VLOOKUP(D131,PowellReleaseTemperature!$A$5:$B$11,2),"")</f>
        <v/>
      </c>
      <c r="E135" s="141" t="str">
        <f>IF(E$27&lt;&gt;"",VLOOKUP(E131,PowellReleaseTemperature!$A$5:$B$11,2),"")</f>
        <v/>
      </c>
      <c r="F135" s="141" t="str">
        <f>IF(F$27&lt;&gt;"",VLOOKUP(F131,PowellReleaseTemperature!$A$5:$B$11,2),"")</f>
        <v/>
      </c>
      <c r="G135" s="141" t="str">
        <f>IF(G$27&lt;&gt;"",VLOOKUP(G131,PowellReleaseTemperature!$A$5:$B$11,2),"")</f>
        <v/>
      </c>
      <c r="H135" s="141" t="str">
        <f>IF(H$27&lt;&gt;"",VLOOKUP(H131,PowellReleaseTemperature!$A$5:$B$11,2),"")</f>
        <v/>
      </c>
      <c r="I135" s="141" t="str">
        <f>IF(I$27&lt;&gt;"",VLOOKUP(I131,PowellReleaseTemperature!$A$5:$B$11,2),"")</f>
        <v/>
      </c>
      <c r="J135" s="141" t="str">
        <f>IF(J$27&lt;&gt;"",VLOOKUP(J131,PowellReleaseTemperature!$A$5:$B$11,2),"")</f>
        <v/>
      </c>
      <c r="K135" s="141" t="str">
        <f>IF(K$27&lt;&gt;"",VLOOKUP(K131,PowellReleaseTemperature!$A$5:$B$11,2),"")</f>
        <v/>
      </c>
      <c r="L135" s="141" t="str">
        <f>IF(L$27&lt;&gt;"",VLOOKUP(L131,PowellReleaseTemperature!$A$5:$B$11,2),"")</f>
        <v/>
      </c>
      <c r="N135" t="s">
        <v>326</v>
      </c>
    </row>
    <row r="136" spans="1:14" x14ac:dyDescent="0.35">
      <c r="C136" s="29"/>
    </row>
    <row r="137" spans="1:14" x14ac:dyDescent="0.35">
      <c r="A137" s="1" t="s">
        <v>125</v>
      </c>
      <c r="C137" s="12" t="str">
        <f>IF(C$27&lt;&gt;"",0.2,"")</f>
        <v/>
      </c>
      <c r="D137" s="12" t="str">
        <f t="shared" ref="D137:L137" si="54">IF(D$27&lt;&gt;"",0.2,"")</f>
        <v/>
      </c>
      <c r="E137" s="12" t="str">
        <f t="shared" si="54"/>
        <v/>
      </c>
      <c r="F137" s="12" t="str">
        <f t="shared" si="54"/>
        <v/>
      </c>
      <c r="G137" s="12" t="str">
        <f t="shared" si="54"/>
        <v/>
      </c>
      <c r="H137" s="12" t="str">
        <f t="shared" si="54"/>
        <v/>
      </c>
      <c r="I137" s="12" t="str">
        <f t="shared" si="54"/>
        <v/>
      </c>
      <c r="J137" s="12" t="str">
        <f t="shared" si="54"/>
        <v/>
      </c>
      <c r="K137" s="12" t="str">
        <f t="shared" si="54"/>
        <v/>
      </c>
      <c r="L137" s="12" t="str">
        <f t="shared" si="54"/>
        <v/>
      </c>
    </row>
    <row r="138" spans="1:14" x14ac:dyDescent="0.35">
      <c r="A138" t="s">
        <v>126</v>
      </c>
      <c r="C138" s="14" t="str">
        <f t="shared" ref="C138:L138" si="55">IF(C$27&lt;&gt;"",C115+C137,"")</f>
        <v/>
      </c>
      <c r="D138" s="14" t="str">
        <f t="shared" si="55"/>
        <v/>
      </c>
      <c r="E138" s="14" t="str">
        <f t="shared" si="55"/>
        <v/>
      </c>
      <c r="F138" s="14" t="str">
        <f t="shared" si="55"/>
        <v/>
      </c>
      <c r="G138" s="14" t="str">
        <f t="shared" si="55"/>
        <v/>
      </c>
      <c r="H138" s="14" t="str">
        <f t="shared" si="55"/>
        <v/>
      </c>
      <c r="I138" s="14" t="str">
        <f t="shared" si="55"/>
        <v/>
      </c>
      <c r="J138" s="14" t="str">
        <f t="shared" si="55"/>
        <v/>
      </c>
      <c r="K138" s="14" t="str">
        <f t="shared" si="55"/>
        <v/>
      </c>
      <c r="L138" s="14" t="str">
        <f t="shared" si="55"/>
        <v/>
      </c>
    </row>
    <row r="140" spans="1:14" x14ac:dyDescent="0.35">
      <c r="D140" s="18"/>
    </row>
  </sheetData>
  <mergeCells count="9">
    <mergeCell ref="C9:G9"/>
    <mergeCell ref="C10:G10"/>
    <mergeCell ref="C11:G11"/>
    <mergeCell ref="A3:G3"/>
    <mergeCell ref="C4:G4"/>
    <mergeCell ref="C5:G5"/>
    <mergeCell ref="C6:G6"/>
    <mergeCell ref="C7:G7"/>
    <mergeCell ref="C8:G8"/>
  </mergeCells>
  <conditionalFormatting sqref="D61">
    <cfRule type="cellIs" dxfId="352" priority="74" operator="greaterThan">
      <formula>$D$60</formula>
    </cfRule>
  </conditionalFormatting>
  <conditionalFormatting sqref="C61">
    <cfRule type="cellIs" dxfId="351" priority="72" operator="greaterThan">
      <formula>$C$60</formula>
    </cfRule>
  </conditionalFormatting>
  <conditionalFormatting sqref="E61">
    <cfRule type="cellIs" dxfId="350" priority="70" operator="greaterThan">
      <formula>$E$60</formula>
    </cfRule>
  </conditionalFormatting>
  <conditionalFormatting sqref="F61">
    <cfRule type="cellIs" dxfId="349" priority="69" operator="greaterThan">
      <formula>$F$60</formula>
    </cfRule>
  </conditionalFormatting>
  <conditionalFormatting sqref="G61">
    <cfRule type="cellIs" dxfId="348" priority="68" operator="greaterThan">
      <formula>$G$60</formula>
    </cfRule>
  </conditionalFormatting>
  <conditionalFormatting sqref="H61">
    <cfRule type="cellIs" dxfId="347" priority="67" operator="greaterThan">
      <formula>$H$60</formula>
    </cfRule>
  </conditionalFormatting>
  <conditionalFormatting sqref="I61">
    <cfRule type="cellIs" dxfId="346" priority="66" operator="greaterThan">
      <formula>$I$60</formula>
    </cfRule>
  </conditionalFormatting>
  <conditionalFormatting sqref="J61">
    <cfRule type="cellIs" dxfId="345" priority="65" operator="greaterThan">
      <formula>$J$60</formula>
    </cfRule>
  </conditionalFormatting>
  <conditionalFormatting sqref="K61">
    <cfRule type="cellIs" dxfId="344" priority="64" operator="greaterThan">
      <formula>$K$60</formula>
    </cfRule>
  </conditionalFormatting>
  <conditionalFormatting sqref="L61">
    <cfRule type="cellIs" dxfId="343" priority="63" operator="greaterThan">
      <formula>$L$60</formula>
    </cfRule>
  </conditionalFormatting>
  <conditionalFormatting sqref="C69">
    <cfRule type="cellIs" dxfId="342" priority="55" operator="greaterThan">
      <formula>$C$68</formula>
    </cfRule>
  </conditionalFormatting>
  <conditionalFormatting sqref="D69">
    <cfRule type="cellIs" dxfId="341" priority="54" operator="greaterThan">
      <formula>$D$68</formula>
    </cfRule>
  </conditionalFormatting>
  <conditionalFormatting sqref="E69">
    <cfRule type="cellIs" dxfId="340" priority="53" operator="greaterThan">
      <formula>$E$68</formula>
    </cfRule>
  </conditionalFormatting>
  <conditionalFormatting sqref="F69">
    <cfRule type="cellIs" dxfId="339" priority="52" operator="greaterThan">
      <formula>$F$68</formula>
    </cfRule>
  </conditionalFormatting>
  <conditionalFormatting sqref="G69">
    <cfRule type="cellIs" dxfId="338" priority="51" operator="greaterThan">
      <formula>$G$68</formula>
    </cfRule>
  </conditionalFormatting>
  <conditionalFormatting sqref="H69">
    <cfRule type="cellIs" dxfId="337" priority="50" operator="greaterThan">
      <formula>$H$68</formula>
    </cfRule>
  </conditionalFormatting>
  <conditionalFormatting sqref="I69">
    <cfRule type="cellIs" dxfId="336" priority="49" operator="greaterThan">
      <formula>$I$68</formula>
    </cfRule>
  </conditionalFormatting>
  <conditionalFormatting sqref="J69">
    <cfRule type="cellIs" dxfId="335" priority="48" operator="greaterThan">
      <formula>$J$68</formula>
    </cfRule>
  </conditionalFormatting>
  <conditionalFormatting sqref="K69">
    <cfRule type="cellIs" dxfId="334" priority="47" operator="greaterThan">
      <formula>$K$68</formula>
    </cfRule>
  </conditionalFormatting>
  <conditionalFormatting sqref="L69">
    <cfRule type="cellIs" dxfId="333" priority="46" operator="greaterThan">
      <formula>$L$68</formula>
    </cfRule>
  </conditionalFormatting>
  <conditionalFormatting sqref="C77">
    <cfRule type="cellIs" dxfId="332" priority="45" operator="greaterThan">
      <formula>$C$76</formula>
    </cfRule>
  </conditionalFormatting>
  <conditionalFormatting sqref="D77">
    <cfRule type="cellIs" dxfId="331" priority="44" operator="greaterThan">
      <formula>$D$76</formula>
    </cfRule>
  </conditionalFormatting>
  <conditionalFormatting sqref="E77">
    <cfRule type="cellIs" dxfId="330" priority="43" operator="greaterThan">
      <formula>$E$76</formula>
    </cfRule>
  </conditionalFormatting>
  <conditionalFormatting sqref="F77">
    <cfRule type="cellIs" dxfId="329" priority="42" operator="greaterThan">
      <formula>$F$76</formula>
    </cfRule>
  </conditionalFormatting>
  <conditionalFormatting sqref="G77">
    <cfRule type="cellIs" dxfId="328" priority="41" operator="greaterThan">
      <formula>$G$76</formula>
    </cfRule>
  </conditionalFormatting>
  <conditionalFormatting sqref="H77">
    <cfRule type="cellIs" dxfId="327" priority="40" operator="greaterThan">
      <formula>$H$76</formula>
    </cfRule>
  </conditionalFormatting>
  <conditionalFormatting sqref="I77">
    <cfRule type="cellIs" dxfId="326" priority="39" operator="greaterThan">
      <formula>$I$76</formula>
    </cfRule>
  </conditionalFormatting>
  <conditionalFormatting sqref="J77">
    <cfRule type="cellIs" dxfId="325" priority="38" operator="greaterThan">
      <formula>$J$76</formula>
    </cfRule>
  </conditionalFormatting>
  <conditionalFormatting sqref="K77">
    <cfRule type="cellIs" dxfId="324" priority="37" operator="greaterThan">
      <formula>$K$76</formula>
    </cfRule>
  </conditionalFormatting>
  <conditionalFormatting sqref="L77">
    <cfRule type="cellIs" dxfId="323" priority="36" operator="greaterThan">
      <formula>$L$76</formula>
    </cfRule>
  </conditionalFormatting>
  <conditionalFormatting sqref="C85">
    <cfRule type="cellIs" dxfId="322" priority="35" operator="greaterThan">
      <formula>$C$84</formula>
    </cfRule>
  </conditionalFormatting>
  <conditionalFormatting sqref="D85">
    <cfRule type="cellIs" dxfId="321" priority="34" operator="greaterThan">
      <formula>$D$84</formula>
    </cfRule>
  </conditionalFormatting>
  <conditionalFormatting sqref="E85">
    <cfRule type="cellIs" dxfId="320" priority="33" operator="greaterThan">
      <formula>$E$84</formula>
    </cfRule>
  </conditionalFormatting>
  <conditionalFormatting sqref="F85">
    <cfRule type="cellIs" dxfId="319" priority="32" operator="greaterThan">
      <formula>$F$84</formula>
    </cfRule>
  </conditionalFormatting>
  <conditionalFormatting sqref="G85">
    <cfRule type="cellIs" dxfId="318" priority="31" operator="greaterThan">
      <formula>$G$84</formula>
    </cfRule>
  </conditionalFormatting>
  <conditionalFormatting sqref="H85">
    <cfRule type="cellIs" dxfId="317" priority="30" operator="greaterThan">
      <formula>$H$84</formula>
    </cfRule>
  </conditionalFormatting>
  <conditionalFormatting sqref="I85">
    <cfRule type="cellIs" dxfId="316" priority="29" operator="greaterThan">
      <formula>$I$84</formula>
    </cfRule>
  </conditionalFormatting>
  <conditionalFormatting sqref="J85">
    <cfRule type="cellIs" dxfId="315" priority="28" operator="greaterThan">
      <formula>$J$84</formula>
    </cfRule>
  </conditionalFormatting>
  <conditionalFormatting sqref="K85">
    <cfRule type="cellIs" dxfId="314" priority="27" operator="greaterThan">
      <formula>$K$84</formula>
    </cfRule>
  </conditionalFormatting>
  <conditionalFormatting sqref="L85">
    <cfRule type="cellIs" dxfId="313" priority="26" operator="greaterThan">
      <formula>$L$84</formula>
    </cfRule>
  </conditionalFormatting>
  <conditionalFormatting sqref="C93">
    <cfRule type="cellIs" dxfId="312" priority="25" operator="greaterThan">
      <formula>$C$92</formula>
    </cfRule>
  </conditionalFormatting>
  <conditionalFormatting sqref="D93">
    <cfRule type="cellIs" dxfId="311" priority="24" operator="greaterThan">
      <formula>$D$92</formula>
    </cfRule>
  </conditionalFormatting>
  <conditionalFormatting sqref="E93">
    <cfRule type="cellIs" dxfId="310" priority="23" operator="greaterThan">
      <formula>$E$92</formula>
    </cfRule>
  </conditionalFormatting>
  <conditionalFormatting sqref="F93">
    <cfRule type="cellIs" dxfId="309" priority="22" operator="greaterThan">
      <formula>$F$92</formula>
    </cfRule>
  </conditionalFormatting>
  <conditionalFormatting sqref="G93">
    <cfRule type="cellIs" dxfId="308" priority="21" operator="greaterThan">
      <formula>$G$92</formula>
    </cfRule>
  </conditionalFormatting>
  <conditionalFormatting sqref="H93">
    <cfRule type="cellIs" dxfId="307" priority="20" operator="greaterThan">
      <formula>$H$92</formula>
    </cfRule>
  </conditionalFormatting>
  <conditionalFormatting sqref="I93">
    <cfRule type="cellIs" dxfId="306" priority="19" operator="greaterThan">
      <formula>$I$92</formula>
    </cfRule>
  </conditionalFormatting>
  <conditionalFormatting sqref="J93">
    <cfRule type="cellIs" dxfId="305" priority="18" operator="greaterThan">
      <formula>$J$92</formula>
    </cfRule>
  </conditionalFormatting>
  <conditionalFormatting sqref="K93">
    <cfRule type="cellIs" dxfId="304" priority="17" operator="greaterThan">
      <formula>$K$92</formula>
    </cfRule>
  </conditionalFormatting>
  <conditionalFormatting sqref="L93">
    <cfRule type="cellIs" dxfId="303" priority="16" operator="greaterThan">
      <formula>$L$92</formula>
    </cfRule>
  </conditionalFormatting>
  <conditionalFormatting sqref="C101">
    <cfRule type="cellIs" dxfId="302" priority="15" operator="greaterThan">
      <formula>$C$100</formula>
    </cfRule>
  </conditionalFormatting>
  <conditionalFormatting sqref="D101">
    <cfRule type="cellIs" dxfId="301" priority="14" operator="greaterThan">
      <formula>$D$100</formula>
    </cfRule>
  </conditionalFormatting>
  <conditionalFormatting sqref="E101">
    <cfRule type="cellIs" dxfId="300" priority="13" operator="greaterThan">
      <formula>$E$100</formula>
    </cfRule>
  </conditionalFormatting>
  <conditionalFormatting sqref="F101">
    <cfRule type="cellIs" dxfId="299" priority="12" operator="greaterThan">
      <formula>$F$100</formula>
    </cfRule>
  </conditionalFormatting>
  <conditionalFormatting sqref="G101">
    <cfRule type="cellIs" dxfId="298" priority="11" operator="greaterThan">
      <formula>$G$100</formula>
    </cfRule>
  </conditionalFormatting>
  <conditionalFormatting sqref="H101">
    <cfRule type="cellIs" dxfId="297" priority="10" operator="greaterThan">
      <formula>$H$100</formula>
    </cfRule>
  </conditionalFormatting>
  <conditionalFormatting sqref="I101">
    <cfRule type="cellIs" dxfId="296" priority="9" operator="greaterThan">
      <formula>$I$100</formula>
    </cfRule>
  </conditionalFormatting>
  <conditionalFormatting sqref="J101">
    <cfRule type="cellIs" dxfId="295" priority="8" operator="greaterThan">
      <formula>$J$100</formula>
    </cfRule>
  </conditionalFormatting>
  <conditionalFormatting sqref="K101">
    <cfRule type="cellIs" dxfId="294" priority="7" operator="greaterThan">
      <formula>$K$100</formula>
    </cfRule>
  </conditionalFormatting>
  <conditionalFormatting sqref="L101">
    <cfRule type="cellIs" dxfId="293" priority="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3" id="{382CBB0D-E0FB-4AA4-A006-8A41BD957FED}">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71" id="{765F49C1-6519-41E3-8929-C7B929F03859}">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62" id="{EFD0B9D4-C34D-41ED-8AFB-2838D17934B5}">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61" id="{5F25631B-7A1F-4D2B-A564-153EFB4F6FC7}">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60" id="{E010ED52-7F63-43DD-A9F6-25F8F1B2DBA2}">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9" id="{82BCF03D-818D-4B88-B50F-92E0B41B5994}">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8" id="{CF49D857-0AD6-4F29-BC87-E534CF009C78}">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7" id="{CBCF46EC-D914-486C-B81C-16BD033BF815}">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6" id="{F4FEA2E5-1A26-458E-8576-918BF0771435}">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5" id="{DBD56FBB-D912-49B6-90F4-B8AC47427D2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 operator="equal" id="{7C68ABE6-57EC-4F34-A848-C2BAF6C9A340}">
            <xm:f>PowellReleaseTemperature!$B$7</xm:f>
            <x14:dxf>
              <font>
                <color auto="1"/>
              </font>
              <fill>
                <patternFill>
                  <bgColor rgb="FFFF0000"/>
                </patternFill>
              </fill>
            </x14:dxf>
          </x14:cfRule>
          <x14:cfRule type="cellIs" priority="2" operator="equal" id="{735AFB7E-852F-4F1C-9961-75F7A6EE7895}">
            <xm:f>PowellReleaseTemperature!$B$8</xm:f>
            <x14:dxf>
              <font>
                <color rgb="FF9C0006"/>
              </font>
              <fill>
                <patternFill>
                  <bgColor rgb="FFFFC7CE"/>
                </patternFill>
              </fill>
            </x14:dxf>
          </x14:cfRule>
          <x14:cfRule type="cellIs" priority="3" operator="equal" id="{63E9D535-53BF-47F5-8AF6-148C66C7E57F}">
            <xm:f>PowellReleaseTemperature!$B$9</xm:f>
            <x14:dxf>
              <font>
                <color auto="1"/>
              </font>
              <fill>
                <patternFill>
                  <bgColor theme="4" tint="0.39994506668294322"/>
                </patternFill>
              </fill>
            </x14:dxf>
          </x14:cfRule>
          <x14:cfRule type="cellIs" priority="4" operator="equal" id="{6B3EC5A2-BCFF-47C8-8D70-E131A829A956}">
            <xm:f>PowellReleaseTemperature!$B$10</xm:f>
            <x14:dxf>
              <font>
                <color auto="1"/>
              </font>
              <fill>
                <patternFill>
                  <bgColor theme="8" tint="-0.499984740745262"/>
                </patternFill>
              </fill>
            </x14:dxf>
          </x14:cfRule>
          <xm:sqref>C135:L135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B4251-7BC7-4C37-A538-CEEEDA6A4268}">
  <dimension ref="A1:N140"/>
  <sheetViews>
    <sheetView topLeftCell="A15" zoomScale="150" zoomScaleNormal="150" workbookViewId="0">
      <selection activeCell="B18" sqref="B17:B18"/>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2.453125" customWidth="1"/>
    <col min="20" max="20" width="14" customWidth="1"/>
    <col min="21" max="21" width="18.54296875" customWidth="1"/>
    <col min="26" max="26" width="10.90625" customWidth="1"/>
    <col min="27" max="27" width="11"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32" t="s">
        <v>152</v>
      </c>
      <c r="B3" s="132"/>
      <c r="C3" s="132"/>
      <c r="D3" s="132"/>
      <c r="E3" s="132"/>
      <c r="F3" s="132"/>
      <c r="G3" s="132"/>
      <c r="H3" s="103"/>
      <c r="I3" s="103"/>
      <c r="J3" s="103"/>
      <c r="K3" s="103"/>
    </row>
    <row r="4" spans="1:11" x14ac:dyDescent="0.35">
      <c r="A4" s="59" t="s">
        <v>38</v>
      </c>
      <c r="B4" s="59" t="s">
        <v>42</v>
      </c>
      <c r="C4" s="133" t="s">
        <v>43</v>
      </c>
      <c r="D4" s="134"/>
      <c r="E4" s="134"/>
      <c r="F4" s="134"/>
      <c r="G4" s="135"/>
    </row>
    <row r="5" spans="1:11" x14ac:dyDescent="0.35">
      <c r="A5" s="104" t="s">
        <v>51</v>
      </c>
      <c r="B5" s="104"/>
      <c r="C5" s="136"/>
      <c r="D5" s="136"/>
      <c r="E5" s="136"/>
      <c r="F5" s="136"/>
      <c r="G5" s="136"/>
    </row>
    <row r="6" spans="1:11" x14ac:dyDescent="0.35">
      <c r="A6" s="102" t="s">
        <v>39</v>
      </c>
      <c r="B6" s="102"/>
      <c r="C6" s="130"/>
      <c r="D6" s="130"/>
      <c r="E6" s="130"/>
      <c r="F6" s="130"/>
      <c r="G6" s="130"/>
    </row>
    <row r="7" spans="1:11" x14ac:dyDescent="0.35">
      <c r="A7" s="102" t="s">
        <v>40</v>
      </c>
      <c r="B7" s="102"/>
      <c r="C7" s="130"/>
      <c r="D7" s="130"/>
      <c r="E7" s="130"/>
      <c r="F7" s="130"/>
      <c r="G7" s="130"/>
    </row>
    <row r="8" spans="1:11" x14ac:dyDescent="0.35">
      <c r="A8" s="102" t="s">
        <v>41</v>
      </c>
      <c r="B8" s="102"/>
      <c r="C8" s="130"/>
      <c r="D8" s="130"/>
      <c r="E8" s="130"/>
      <c r="F8" s="130"/>
      <c r="G8" s="130"/>
    </row>
    <row r="9" spans="1:11" x14ac:dyDescent="0.35">
      <c r="A9" s="102" t="s">
        <v>148</v>
      </c>
      <c r="B9" s="102"/>
      <c r="C9" s="130"/>
      <c r="D9" s="130"/>
      <c r="E9" s="130"/>
      <c r="F9" s="130"/>
      <c r="G9" s="130"/>
    </row>
    <row r="10" spans="1:11" x14ac:dyDescent="0.35">
      <c r="A10" s="102" t="s">
        <v>160</v>
      </c>
      <c r="B10" s="102"/>
      <c r="C10" s="131"/>
      <c r="D10" s="131"/>
      <c r="E10" s="131"/>
      <c r="F10" s="131"/>
      <c r="G10" s="131"/>
    </row>
    <row r="11" spans="1:11" x14ac:dyDescent="0.35">
      <c r="A11" s="102"/>
      <c r="B11" s="102"/>
      <c r="C11" s="131"/>
      <c r="D11" s="131"/>
      <c r="E11" s="131"/>
      <c r="F11" s="131"/>
      <c r="G11" s="131"/>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20" t="s">
        <v>157</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180</v>
      </c>
    </row>
    <row r="31" spans="1:14" x14ac:dyDescent="0.35">
      <c r="A31" t="str">
        <f t="shared" si="2"/>
        <v xml:space="preserve">    Lower Basin Balance</v>
      </c>
      <c r="B31" s="53">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177</v>
      </c>
    </row>
    <row r="32" spans="1:14" x14ac:dyDescent="0.35">
      <c r="A32" t="str">
        <f t="shared" si="2"/>
        <v xml:space="preserve">    Mexico Balance</v>
      </c>
      <c r="B32" s="69">
        <v>0.17399999999999999</v>
      </c>
      <c r="C32" s="57" t="str">
        <f t="shared" si="4"/>
        <v/>
      </c>
      <c r="D32" s="57" t="str">
        <f t="shared" si="5"/>
        <v/>
      </c>
      <c r="E32" s="57" t="str">
        <f t="shared" si="5"/>
        <v/>
      </c>
      <c r="F32" s="57" t="str">
        <f t="shared" si="5"/>
        <v/>
      </c>
      <c r="G32" s="57" t="str">
        <f t="shared" si="5"/>
        <v/>
      </c>
      <c r="H32" s="14" t="str">
        <f t="shared" si="5"/>
        <v/>
      </c>
      <c r="I32" s="14" t="str">
        <f t="shared" si="5"/>
        <v/>
      </c>
      <c r="J32" s="14" t="str">
        <f t="shared" si="5"/>
        <v/>
      </c>
      <c r="K32" s="14" t="str">
        <f t="shared" si="5"/>
        <v/>
      </c>
      <c r="L32" s="14" t="str">
        <f t="shared" si="5"/>
        <v/>
      </c>
      <c r="N32" t="s">
        <v>176</v>
      </c>
    </row>
    <row r="33" spans="1:14" x14ac:dyDescent="0.35">
      <c r="A33" t="str">
        <f t="shared" si="2"/>
        <v xml:space="preserve">    Mohave &amp; Havasu Evap &amp; ET Balance</v>
      </c>
      <c r="B33" s="54">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179</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205</v>
      </c>
      <c r="C36"/>
    </row>
    <row r="37" spans="1:14" x14ac:dyDescent="0.35">
      <c r="A37" t="s">
        <v>113</v>
      </c>
      <c r="C37" s="14" t="str">
        <f>IF(C$27&lt;&gt;"",B22,"")</f>
        <v/>
      </c>
      <c r="D37" s="14" t="str">
        <f>IF(D$27&lt;&gt;"",C129,"")</f>
        <v/>
      </c>
      <c r="E37" s="14" t="str">
        <f t="shared" ref="E37:L38" si="6">IF(E$27&lt;&gt;"",D129,"")</f>
        <v/>
      </c>
      <c r="F37" s="14" t="str">
        <f t="shared" si="6"/>
        <v/>
      </c>
      <c r="G37" s="14" t="str">
        <f t="shared" si="6"/>
        <v/>
      </c>
      <c r="H37" s="14" t="str">
        <f t="shared" si="6"/>
        <v/>
      </c>
      <c r="I37" s="14" t="str">
        <f t="shared" si="6"/>
        <v/>
      </c>
      <c r="J37" s="14" t="str">
        <f t="shared" si="6"/>
        <v/>
      </c>
      <c r="K37" s="14" t="str">
        <f t="shared" si="6"/>
        <v/>
      </c>
      <c r="L37" s="14" t="str">
        <f t="shared" si="6"/>
        <v/>
      </c>
    </row>
    <row r="38" spans="1:14" x14ac:dyDescent="0.35">
      <c r="A38" t="s">
        <v>114</v>
      </c>
      <c r="C38" s="14" t="str">
        <f>IF(C$27&lt;&gt;"",C22,"")</f>
        <v/>
      </c>
      <c r="D38" s="14" t="str">
        <f>IF(D$27&lt;&gt;"",C130,"")</f>
        <v/>
      </c>
      <c r="E38" s="14" t="str">
        <f t="shared" si="6"/>
        <v/>
      </c>
      <c r="F38" s="14" t="str">
        <f t="shared" si="6"/>
        <v/>
      </c>
      <c r="G38" s="14" t="str">
        <f t="shared" si="6"/>
        <v/>
      </c>
      <c r="H38" s="14" t="str">
        <f t="shared" si="6"/>
        <v/>
      </c>
      <c r="I38" s="14" t="str">
        <f t="shared" si="6"/>
        <v/>
      </c>
      <c r="J38" s="14" t="str">
        <f t="shared" si="6"/>
        <v/>
      </c>
      <c r="K38" s="14" t="str">
        <f t="shared" si="6"/>
        <v/>
      </c>
      <c r="L38" s="14" t="str">
        <f t="shared" si="6"/>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7">IF(A6="","","    "&amp;A6&amp;" Share")</f>
        <v xml:space="preserve">    Upper Basin Share</v>
      </c>
      <c r="B40" s="1"/>
      <c r="C40" s="14" t="str">
        <f>IF(OR(C$27="",$A40=""),"",C$39*C30/C$29)</f>
        <v/>
      </c>
      <c r="D40" s="14" t="str">
        <f t="shared" ref="D40:L40" si="8">IF(OR(D$27="",$A40=""),"",D$39*D30/D$29)</f>
        <v/>
      </c>
      <c r="E40" s="14" t="str">
        <f t="shared" si="8"/>
        <v/>
      </c>
      <c r="F40" s="14" t="str">
        <f t="shared" si="8"/>
        <v/>
      </c>
      <c r="G40" s="14" t="str">
        <f t="shared" si="8"/>
        <v/>
      </c>
      <c r="H40" s="14" t="str">
        <f t="shared" si="8"/>
        <v/>
      </c>
      <c r="I40" s="14" t="str">
        <f t="shared" si="8"/>
        <v/>
      </c>
      <c r="J40" s="14" t="str">
        <f t="shared" si="8"/>
        <v/>
      </c>
      <c r="K40" s="14" t="str">
        <f t="shared" si="8"/>
        <v/>
      </c>
      <c r="L40" s="14" t="str">
        <f t="shared" si="8"/>
        <v/>
      </c>
    </row>
    <row r="41" spans="1:14" x14ac:dyDescent="0.35">
      <c r="A41" t="str">
        <f t="shared" si="7"/>
        <v xml:space="preserve">    Lower Basin Share</v>
      </c>
      <c r="B41" s="1"/>
      <c r="C41" s="14" t="str">
        <f t="shared" ref="C41:L45" si="9">IF(OR(C$27="",$A41=""),"",C$39*C31/C$29)</f>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4" x14ac:dyDescent="0.35">
      <c r="A42" t="str">
        <f t="shared" si="7"/>
        <v xml:space="preserve">    Mexico Share</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4" x14ac:dyDescent="0.35">
      <c r="A43" t="str">
        <f t="shared" si="7"/>
        <v xml:space="preserve">    Mohave &amp; Havasu Evap &amp; ET Share</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4" x14ac:dyDescent="0.35">
      <c r="A44" t="str">
        <f t="shared" si="7"/>
        <v xml:space="preserve">    Shared, Reserve Share</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7"/>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272</v>
      </c>
      <c r="B46" s="1"/>
      <c r="C46" s="50" t="str">
        <f>IF(C$27&lt;&gt;"",1.5-0.21/9/2-VLOOKUP(C38,LowerBasinCuts!$C$5:$P$13,13),"")</f>
        <v/>
      </c>
      <c r="D46" s="50" t="str">
        <f>IF(D$27&lt;&gt;"",1.5-0.21/9/2-VLOOKUP(D38,LowerBasinCuts!$C$5:$P$13,13),"")</f>
        <v/>
      </c>
      <c r="E46" s="50" t="str">
        <f>IF(E$27&lt;&gt;"",1.5-0.21/9/2-VLOOKUP(E38,LowerBasinCuts!$C$5:$P$13,13),"")</f>
        <v/>
      </c>
      <c r="F46" s="50" t="str">
        <f>IF(F$27&lt;&gt;"",1.5-0.21/9/2-VLOOKUP(F38,LowerBasinCuts!$C$5:$P$13,13),"")</f>
        <v/>
      </c>
      <c r="G46" s="50" t="str">
        <f>IF(G$27&lt;&gt;"",1.5-0.21/9/2-VLOOKUP(G38,LowerBasinCuts!$C$5:$P$13,13),"")</f>
        <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189</v>
      </c>
      <c r="B47" s="1"/>
      <c r="C47" s="52" t="str">
        <f>IF(C27="","",SUM(C27:C28))</f>
        <v/>
      </c>
      <c r="D47" s="52" t="str">
        <f t="shared" ref="D47:L47" si="10">IF(D27="","",SUM(D27:D28))</f>
        <v/>
      </c>
      <c r="E47" s="52" t="str">
        <f t="shared" si="10"/>
        <v/>
      </c>
      <c r="F47" s="52" t="str">
        <f t="shared" si="10"/>
        <v/>
      </c>
      <c r="G47" s="52" t="str">
        <f t="shared" si="10"/>
        <v/>
      </c>
      <c r="H47" s="52" t="str">
        <f t="shared" si="10"/>
        <v/>
      </c>
      <c r="I47" s="52" t="str">
        <f t="shared" si="10"/>
        <v/>
      </c>
      <c r="J47" s="52" t="str">
        <f t="shared" si="10"/>
        <v/>
      </c>
      <c r="K47" s="52" t="str">
        <f t="shared" si="10"/>
        <v/>
      </c>
      <c r="L47" s="52" t="str">
        <f t="shared" si="10"/>
        <v/>
      </c>
      <c r="M47" s="46"/>
      <c r="N47" s="46"/>
    </row>
    <row r="48" spans="1:14" x14ac:dyDescent="0.35">
      <c r="A48" t="str">
        <f>IF(A6="","","    To "&amp;A6)</f>
        <v xml:space="preserve">    To Upper Basin</v>
      </c>
      <c r="B48" s="24" t="s">
        <v>147</v>
      </c>
      <c r="C48" s="14" t="str">
        <f>IF(OR(C$27="",$A48=""),"",IF(C$47&gt;SUM(C49:C53),C$47-SUM(C49:C53),0))</f>
        <v/>
      </c>
      <c r="D48" s="14" t="str">
        <f t="shared" ref="D48:L48" si="11">IF(OR(D$27="",$A48=""),"",IF(D$47&gt;SUM(D49:D53),D$47-SUM(D49:D53),0))</f>
        <v/>
      </c>
      <c r="E48" s="14" t="str">
        <f t="shared" si="11"/>
        <v/>
      </c>
      <c r="F48" s="14" t="str">
        <f t="shared" si="11"/>
        <v/>
      </c>
      <c r="G48" s="14" t="str">
        <f t="shared" si="11"/>
        <v/>
      </c>
      <c r="H48" s="14" t="str">
        <f t="shared" si="11"/>
        <v/>
      </c>
      <c r="I48" s="14" t="str">
        <f t="shared" si="11"/>
        <v/>
      </c>
      <c r="J48" s="14" t="str">
        <f t="shared" si="11"/>
        <v/>
      </c>
      <c r="K48" s="14" t="str">
        <f t="shared" si="11"/>
        <v/>
      </c>
      <c r="L48" s="14" t="str">
        <f t="shared" si="11"/>
        <v/>
      </c>
      <c r="M48" s="29"/>
      <c r="N48" s="29"/>
    </row>
    <row r="49" spans="1:14" x14ac:dyDescent="0.35">
      <c r="A49" t="str">
        <f t="shared" ref="A49:A53" si="12">IF(A7="","","    To "&amp;A7)</f>
        <v xml:space="preserve">    To Lower Basin</v>
      </c>
      <c r="B49" s="44">
        <f>7.5</f>
        <v>7.5</v>
      </c>
      <c r="C49" s="14" t="str">
        <f>IF(OR(C$27="",$A49=""),"",C28-C52/2-C51-C50/2+MIN($B49,C27-C50/2-C52/2))</f>
        <v/>
      </c>
      <c r="D49" s="14" t="str">
        <f t="shared" ref="D49:G49" si="13">IF(OR(D$27="",$A49=""),"",D28-D52/2-D51-D50/2+MIN($B49,D27-D50/2-D52/2))</f>
        <v/>
      </c>
      <c r="E49" s="14" t="str">
        <f t="shared" si="13"/>
        <v/>
      </c>
      <c r="F49" s="14" t="str">
        <f t="shared" si="13"/>
        <v/>
      </c>
      <c r="G49" s="14" t="str">
        <f t="shared" si="13"/>
        <v/>
      </c>
      <c r="H49" s="14" t="str">
        <f>IF(OR(H$27="",$A49=""),"",H28-H52/2-H51-H50/2+MIN($B49,H27-H50/2-H52/2))</f>
        <v/>
      </c>
      <c r="I49" s="14" t="str">
        <f t="shared" ref="I49:L49" si="14">IF(OR(I$27="",$A49=""),"",I28-I52/2-I51-I50/2+MIN($B49,I27-I50/2-I52/2))</f>
        <v/>
      </c>
      <c r="J49" s="14" t="str">
        <f t="shared" si="14"/>
        <v/>
      </c>
      <c r="K49" s="14" t="str">
        <f t="shared" si="14"/>
        <v/>
      </c>
      <c r="L49" s="14" t="str">
        <f t="shared" si="14"/>
        <v/>
      </c>
      <c r="M49" s="29"/>
      <c r="N49" s="29"/>
    </row>
    <row r="50" spans="1:14" x14ac:dyDescent="0.35">
      <c r="A50" t="str">
        <f t="shared" si="12"/>
        <v xml:space="preserve">    To Mexico</v>
      </c>
      <c r="B50" s="44" t="s">
        <v>191</v>
      </c>
      <c r="C50" s="14" t="str">
        <f>IF(OR(C$27="",$A50=""),"",IF(C$47&gt;SUM(C51:C52,C46),C46,C$47-SUM(C51:C52)))</f>
        <v/>
      </c>
      <c r="D50" s="14" t="str">
        <f t="shared" ref="D50:L50" si="15">IF(OR(D$27="",$A50=""),"",IF(D$47&gt;SUM(D51:D52,D46),D46,D$47-SUM(D51:D52)))</f>
        <v/>
      </c>
      <c r="E50" s="14" t="str">
        <f t="shared" si="15"/>
        <v/>
      </c>
      <c r="F50" s="14" t="str">
        <f t="shared" si="15"/>
        <v/>
      </c>
      <c r="G50" s="14" t="str">
        <f t="shared" si="15"/>
        <v/>
      </c>
      <c r="H50" s="14" t="str">
        <f t="shared" si="15"/>
        <v/>
      </c>
      <c r="I50" s="14" t="str">
        <f t="shared" si="15"/>
        <v/>
      </c>
      <c r="J50" s="14" t="str">
        <f t="shared" si="15"/>
        <v/>
      </c>
      <c r="K50" s="14" t="str">
        <f t="shared" si="15"/>
        <v/>
      </c>
      <c r="L50" s="14" t="str">
        <f t="shared" si="15"/>
        <v/>
      </c>
      <c r="M50" s="29"/>
      <c r="N50" s="29"/>
    </row>
    <row r="51" spans="1:14" x14ac:dyDescent="0.35">
      <c r="A51" t="str">
        <f t="shared" si="12"/>
        <v xml:space="preserve">    To Mohave &amp; Havasu Evap &amp; ET</v>
      </c>
      <c r="B51" s="44">
        <v>0.6</v>
      </c>
      <c r="C51" s="14" t="str">
        <f>IF(OR(C$27="",$A51=""),"",IF(C$47&gt;C52+$B$51,$B51,C$47-C52))</f>
        <v/>
      </c>
      <c r="D51" s="14" t="str">
        <f t="shared" ref="D51:L51" si="16">IF(OR(D$27="",$A51=""),"",IF(D$47&gt;D52+$B$51,$B51,D$47-D52))</f>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c r="M51" s="29"/>
      <c r="N51" s="29"/>
    </row>
    <row r="52" spans="1:14" x14ac:dyDescent="0.35">
      <c r="A52" t="str">
        <f t="shared" si="12"/>
        <v xml:space="preserve">    To Shared, Reserve</v>
      </c>
      <c r="B52" s="44" t="s">
        <v>190</v>
      </c>
      <c r="C52" s="14" t="str">
        <f>IF(OR(C$27="",$A52=""),"",IF(C$47&gt;C44,C44,C$47))</f>
        <v/>
      </c>
      <c r="D52" s="14" t="str">
        <f t="shared" ref="D52:L52" si="17">IF(OR(D$27="",$A52=""),"",IF(D$47&gt;D44,D44,D$47))</f>
        <v/>
      </c>
      <c r="E52" s="14" t="str">
        <f t="shared" si="17"/>
        <v/>
      </c>
      <c r="F52" s="14" t="str">
        <f t="shared" si="17"/>
        <v/>
      </c>
      <c r="G52" s="14" t="str">
        <f t="shared" si="17"/>
        <v/>
      </c>
      <c r="H52" s="14" t="str">
        <f t="shared" si="17"/>
        <v/>
      </c>
      <c r="I52" s="14" t="str">
        <f t="shared" si="17"/>
        <v/>
      </c>
      <c r="J52" s="14" t="str">
        <f t="shared" si="17"/>
        <v/>
      </c>
      <c r="K52" s="14" t="str">
        <f t="shared" si="17"/>
        <v/>
      </c>
      <c r="L52" s="14" t="str">
        <f t="shared" si="17"/>
        <v/>
      </c>
      <c r="M52" s="29"/>
      <c r="N52" s="29"/>
    </row>
    <row r="53" spans="1:14" x14ac:dyDescent="0.35">
      <c r="A53" t="str">
        <f t="shared" si="12"/>
        <v/>
      </c>
      <c r="B53" s="44"/>
      <c r="C53" s="57" t="str">
        <f t="shared" ref="C53:L53" si="18">IF(OR(C$27="",$A53=""),"",IF(C$27&gt;$B53,$B53,C$27))</f>
        <v/>
      </c>
      <c r="D53" s="57" t="str">
        <f t="shared" si="18"/>
        <v/>
      </c>
      <c r="E53" s="57" t="str">
        <f t="shared" si="18"/>
        <v/>
      </c>
      <c r="F53" s="57" t="str">
        <f t="shared" si="18"/>
        <v/>
      </c>
      <c r="G53" s="57" t="str">
        <f t="shared" si="18"/>
        <v/>
      </c>
      <c r="H53" s="57" t="str">
        <f t="shared" si="18"/>
        <v/>
      </c>
      <c r="I53" s="57" t="str">
        <f t="shared" si="18"/>
        <v/>
      </c>
      <c r="J53" s="57" t="str">
        <f t="shared" si="18"/>
        <v/>
      </c>
      <c r="K53" s="57" t="str">
        <f t="shared" si="18"/>
        <v/>
      </c>
      <c r="L53" s="57" t="str">
        <f t="shared" si="18"/>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19">IF(OR(C$27="",$A59=""),"",C$112)</f>
        <v/>
      </c>
      <c r="D59" s="78" t="str">
        <f t="shared" si="19"/>
        <v/>
      </c>
      <c r="E59" s="78" t="str">
        <f t="shared" si="19"/>
        <v/>
      </c>
      <c r="F59" s="78" t="str">
        <f t="shared" si="19"/>
        <v/>
      </c>
      <c r="G59" s="78" t="str">
        <f t="shared" si="19"/>
        <v/>
      </c>
      <c r="H59" s="78" t="str">
        <f t="shared" si="19"/>
        <v/>
      </c>
      <c r="I59" s="78" t="str">
        <f t="shared" si="19"/>
        <v/>
      </c>
      <c r="J59" s="78" t="str">
        <f t="shared" si="19"/>
        <v/>
      </c>
      <c r="K59" s="78" t="str">
        <f t="shared" si="19"/>
        <v/>
      </c>
      <c r="L59" s="78" t="str">
        <f t="shared" si="19"/>
        <v/>
      </c>
      <c r="M59" t="str">
        <f t="shared" si="19"/>
        <v/>
      </c>
      <c r="N59" t="str">
        <f>IF(A59="","","If non-zero, players need to change amount(s)")</f>
        <v>If non-zero, players need to change amount(s)</v>
      </c>
    </row>
    <row r="60" spans="1:14" x14ac:dyDescent="0.35">
      <c r="A60" s="1" t="str">
        <f>IF(A58="","","   Available Water [maf]")</f>
        <v xml:space="preserve">   Available Water [maf]</v>
      </c>
      <c r="C60" s="14" t="str">
        <f>IF(OR(C$27="",$A60=""),"",C30+C48-C40-C57)</f>
        <v/>
      </c>
      <c r="D60" s="14" t="str">
        <f t="shared" ref="D60:L60" si="20">IF(OR(D$27="",$A60=""),"",D30+D48-D40-D57)</f>
        <v/>
      </c>
      <c r="E60" s="14" t="str">
        <f t="shared" si="20"/>
        <v/>
      </c>
      <c r="F60" s="14" t="str">
        <f t="shared" si="20"/>
        <v/>
      </c>
      <c r="G60" s="14" t="str">
        <f t="shared" si="20"/>
        <v/>
      </c>
      <c r="H60" s="14" t="str">
        <f t="shared" si="20"/>
        <v/>
      </c>
      <c r="I60" s="14" t="str">
        <f t="shared" si="20"/>
        <v/>
      </c>
      <c r="J60" s="14" t="str">
        <f t="shared" si="20"/>
        <v/>
      </c>
      <c r="K60" s="14" t="str">
        <f t="shared" si="20"/>
        <v/>
      </c>
      <c r="L60" s="14" t="str">
        <f t="shared" si="20"/>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IF(OR(C$27="",$A62=""),"",C60-C61)</f>
        <v/>
      </c>
      <c r="D62" s="77" t="str">
        <f t="shared" ref="D62:L62" si="21">IF(OR(D$27="",$A62=""),"",D60-D61)</f>
        <v/>
      </c>
      <c r="E62" s="77" t="str">
        <f t="shared" si="21"/>
        <v/>
      </c>
      <c r="F62" s="77" t="str">
        <f t="shared" si="21"/>
        <v/>
      </c>
      <c r="G62" s="77" t="str">
        <f t="shared" si="21"/>
        <v/>
      </c>
      <c r="H62" s="77" t="str">
        <f t="shared" si="21"/>
        <v/>
      </c>
      <c r="I62" s="77" t="str">
        <f t="shared" si="21"/>
        <v/>
      </c>
      <c r="J62" s="77" t="str">
        <f t="shared" si="21"/>
        <v/>
      </c>
      <c r="K62" s="77" t="str">
        <f t="shared" si="21"/>
        <v/>
      </c>
      <c r="L62" s="77" t="str">
        <f t="shared" si="21"/>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2">IF(A66="","",N58)</f>
        <v>Add if multiple transactions, e.g.: $350*0.5 + $450*0.25</v>
      </c>
    </row>
    <row r="67" spans="1:14" x14ac:dyDescent="0.35">
      <c r="A67" s="32" t="str">
        <f>IF(A66="","","   Volume all players (should be zero)")</f>
        <v xml:space="preserve">   Volume all players (should be zero)</v>
      </c>
      <c r="C67" s="78" t="str">
        <f t="shared" ref="C67:M67" si="23">IF(OR(C$27="",$A67=""),"",C$112)</f>
        <v/>
      </c>
      <c r="D67" s="78" t="str">
        <f t="shared" si="23"/>
        <v/>
      </c>
      <c r="E67" s="78" t="str">
        <f t="shared" si="23"/>
        <v/>
      </c>
      <c r="F67" s="78" t="str">
        <f t="shared" si="23"/>
        <v/>
      </c>
      <c r="G67" s="78" t="str">
        <f t="shared" si="23"/>
        <v/>
      </c>
      <c r="H67" s="78" t="str">
        <f t="shared" si="23"/>
        <v/>
      </c>
      <c r="I67" s="78" t="str">
        <f t="shared" si="23"/>
        <v/>
      </c>
      <c r="J67" s="78" t="str">
        <f t="shared" si="23"/>
        <v/>
      </c>
      <c r="K67" s="78" t="str">
        <f t="shared" si="23"/>
        <v/>
      </c>
      <c r="L67" s="78" t="str">
        <f t="shared" si="23"/>
        <v/>
      </c>
      <c r="M67" t="str">
        <f t="shared" si="23"/>
        <v/>
      </c>
      <c r="N67" t="str">
        <f t="shared" si="22"/>
        <v>If non-zero, players need to change amount(s)</v>
      </c>
    </row>
    <row r="68" spans="1:14" x14ac:dyDescent="0.35">
      <c r="A68" s="1" t="str">
        <f>IF(A66="","","   Available Water [maf]")</f>
        <v xml:space="preserve">   Available Water [maf]</v>
      </c>
      <c r="C68" s="14" t="str">
        <f t="shared" ref="C68:L68" si="24">IF(OR(C$27="",$A68=""),"",C31+C49-C41-C65)</f>
        <v/>
      </c>
      <c r="D68" s="14" t="str">
        <f t="shared" si="24"/>
        <v/>
      </c>
      <c r="E68" s="14" t="str">
        <f t="shared" si="24"/>
        <v/>
      </c>
      <c r="F68" s="14" t="str">
        <f t="shared" si="24"/>
        <v/>
      </c>
      <c r="G68" s="14" t="str">
        <f t="shared" si="24"/>
        <v/>
      </c>
      <c r="H68" s="14" t="str">
        <f t="shared" si="24"/>
        <v/>
      </c>
      <c r="I68" s="14" t="str">
        <f t="shared" si="24"/>
        <v/>
      </c>
      <c r="J68" s="14" t="str">
        <f t="shared" si="24"/>
        <v/>
      </c>
      <c r="K68" s="14" t="str">
        <f t="shared" si="24"/>
        <v/>
      </c>
      <c r="L68" s="14" t="str">
        <f t="shared" si="24"/>
        <v/>
      </c>
      <c r="N68" t="str">
        <f t="shared" si="22"/>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2"/>
        <v>Must be less than Available water</v>
      </c>
    </row>
    <row r="70" spans="1:14" x14ac:dyDescent="0.35">
      <c r="A70" s="32" t="str">
        <f>IF(A69="","","   End of Year Balance [maf]")</f>
        <v xml:space="preserve">   End of Year Balance [maf]</v>
      </c>
      <c r="C70" s="77" t="str">
        <f>IF(OR(C$27="",$A70=""),"",C68-C69)</f>
        <v/>
      </c>
      <c r="D70" s="77" t="str">
        <f t="shared" ref="D70:L70" si="25">IF(OR(D$27="",$A70=""),"",D68-D69)</f>
        <v/>
      </c>
      <c r="E70" s="77" t="str">
        <f t="shared" si="25"/>
        <v/>
      </c>
      <c r="F70" s="77" t="str">
        <f t="shared" si="25"/>
        <v/>
      </c>
      <c r="G70" s="77" t="str">
        <f t="shared" si="25"/>
        <v/>
      </c>
      <c r="H70" s="77" t="str">
        <f t="shared" si="25"/>
        <v/>
      </c>
      <c r="I70" s="77" t="str">
        <f t="shared" si="25"/>
        <v/>
      </c>
      <c r="J70" s="77" t="str">
        <f t="shared" si="25"/>
        <v/>
      </c>
      <c r="K70" s="77" t="str">
        <f t="shared" si="25"/>
        <v/>
      </c>
      <c r="L70" s="77" t="str">
        <f t="shared" si="25"/>
        <v/>
      </c>
      <c r="N70" t="str">
        <f t="shared" si="22"/>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6">IF(A74="","",N66)</f>
        <v>Add if multiple transactions, e.g.: $350*0.5 + $450*0.25</v>
      </c>
    </row>
    <row r="75" spans="1:14" x14ac:dyDescent="0.35">
      <c r="A75" s="32" t="str">
        <f>IF(A74="","","   Volume all players (should be zero)")</f>
        <v xml:space="preserve">   Volume all players (should be zero)</v>
      </c>
      <c r="C75" s="78" t="str">
        <f t="shared" ref="C75:M75" si="27">IF(OR(C$27="",$A75=""),"",C$112)</f>
        <v/>
      </c>
      <c r="D75" s="78" t="str">
        <f t="shared" si="27"/>
        <v/>
      </c>
      <c r="E75" s="78" t="str">
        <f t="shared" si="27"/>
        <v/>
      </c>
      <c r="F75" s="78" t="str">
        <f t="shared" si="27"/>
        <v/>
      </c>
      <c r="G75" s="78" t="str">
        <f t="shared" si="27"/>
        <v/>
      </c>
      <c r="H75" s="78" t="str">
        <f t="shared" si="27"/>
        <v/>
      </c>
      <c r="I75" s="78" t="str">
        <f t="shared" si="27"/>
        <v/>
      </c>
      <c r="J75" s="78" t="str">
        <f t="shared" si="27"/>
        <v/>
      </c>
      <c r="K75" s="78" t="str">
        <f t="shared" si="27"/>
        <v/>
      </c>
      <c r="L75" s="78" t="str">
        <f t="shared" si="27"/>
        <v/>
      </c>
      <c r="M75" t="str">
        <f t="shared" si="27"/>
        <v/>
      </c>
      <c r="N75" t="str">
        <f t="shared" si="26"/>
        <v>If non-zero, players need to change amount(s)</v>
      </c>
    </row>
    <row r="76" spans="1:14" x14ac:dyDescent="0.35">
      <c r="A76" s="1" t="str">
        <f>IF(A74="","","   Available Water [maf]")</f>
        <v xml:space="preserve">   Available Water [maf]</v>
      </c>
      <c r="C76" s="14" t="str">
        <f t="shared" ref="C76:L76" si="28">IF(OR(C$27="",$A76=""),"",C32+C50-C42-C73)</f>
        <v/>
      </c>
      <c r="D76" s="14" t="str">
        <f t="shared" si="28"/>
        <v/>
      </c>
      <c r="E76" s="14" t="str">
        <f t="shared" si="28"/>
        <v/>
      </c>
      <c r="F76" s="14" t="str">
        <f>IF(OR(F$27="",$A76=""),"",F32+F50-F42-F73)</f>
        <v/>
      </c>
      <c r="G76" s="14" t="str">
        <f t="shared" si="28"/>
        <v/>
      </c>
      <c r="H76" s="14" t="str">
        <f t="shared" si="28"/>
        <v/>
      </c>
      <c r="I76" s="14" t="str">
        <f t="shared" si="28"/>
        <v/>
      </c>
      <c r="J76" s="14" t="str">
        <f t="shared" si="28"/>
        <v/>
      </c>
      <c r="K76" s="14" t="str">
        <f t="shared" si="28"/>
        <v/>
      </c>
      <c r="L76" s="14" t="str">
        <f t="shared" si="28"/>
        <v/>
      </c>
      <c r="N76" t="str">
        <f t="shared" si="26"/>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26"/>
        <v>Must be less than Available water</v>
      </c>
    </row>
    <row r="78" spans="1:14" x14ac:dyDescent="0.35">
      <c r="A78" s="32" t="str">
        <f>IF(A77="","","   End of Year Balance [maf]")</f>
        <v xml:space="preserve">   End of Year Balance [maf]</v>
      </c>
      <c r="C78" s="77" t="str">
        <f>IF(OR(C$27="",$A78=""),"",C76-C77)</f>
        <v/>
      </c>
      <c r="D78" s="77" t="str">
        <f t="shared" ref="D78:L78" si="29">IF(OR(D$27="",$A78=""),"",D76-D77)</f>
        <v/>
      </c>
      <c r="E78" s="77" t="str">
        <f t="shared" si="29"/>
        <v/>
      </c>
      <c r="F78" s="77" t="str">
        <f t="shared" si="29"/>
        <v/>
      </c>
      <c r="G78" s="77" t="str">
        <f t="shared" si="29"/>
        <v/>
      </c>
      <c r="H78" s="77" t="str">
        <f t="shared" si="29"/>
        <v/>
      </c>
      <c r="I78" s="77" t="str">
        <f t="shared" si="29"/>
        <v/>
      </c>
      <c r="J78" s="77" t="str">
        <f t="shared" si="29"/>
        <v/>
      </c>
      <c r="K78" s="77" t="str">
        <f t="shared" si="29"/>
        <v/>
      </c>
      <c r="L78" s="77" t="str">
        <f t="shared" si="29"/>
        <v/>
      </c>
      <c r="N78" t="str">
        <f t="shared" si="26"/>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0">IF(A82="","",N74)</f>
        <v>Add if multiple transactions, e.g.: $350*0.5 + $450*0.25</v>
      </c>
    </row>
    <row r="83" spans="1:14" x14ac:dyDescent="0.35">
      <c r="A83" s="32" t="str">
        <f>IF(A82="","","   Volume all players (should be zero)")</f>
        <v xml:space="preserve">   Volume all players (should be zero)</v>
      </c>
      <c r="C83" s="78" t="str">
        <f t="shared" ref="C83:M83" si="31">IF(OR(C$27="",$A83=""),"",C$112)</f>
        <v/>
      </c>
      <c r="D83" s="78" t="str">
        <f t="shared" si="31"/>
        <v/>
      </c>
      <c r="E83" s="78" t="str">
        <f t="shared" si="31"/>
        <v/>
      </c>
      <c r="F83" s="78" t="str">
        <f t="shared" si="31"/>
        <v/>
      </c>
      <c r="G83" s="78" t="str">
        <f t="shared" si="31"/>
        <v/>
      </c>
      <c r="H83" s="78" t="str">
        <f t="shared" si="31"/>
        <v/>
      </c>
      <c r="I83" s="78" t="str">
        <f t="shared" si="31"/>
        <v/>
      </c>
      <c r="J83" s="78" t="str">
        <f t="shared" si="31"/>
        <v/>
      </c>
      <c r="K83" s="78" t="str">
        <f t="shared" si="31"/>
        <v/>
      </c>
      <c r="L83" s="78" t="str">
        <f t="shared" si="31"/>
        <v/>
      </c>
      <c r="M83" t="str">
        <f t="shared" si="31"/>
        <v/>
      </c>
      <c r="N83" t="str">
        <f t="shared" si="30"/>
        <v>If non-zero, players need to change amount(s)</v>
      </c>
    </row>
    <row r="84" spans="1:14" x14ac:dyDescent="0.35">
      <c r="A84" s="1" t="str">
        <f>IF(A82="","","   Available Water [maf]")</f>
        <v xml:space="preserve">   Available Water [maf]</v>
      </c>
      <c r="C84" s="14" t="str">
        <f t="shared" ref="C84:L84" si="32">IF(OR(C$27="",$A84=""),"",C33+C51-C43-C81)</f>
        <v/>
      </c>
      <c r="D84" s="14" t="str">
        <f t="shared" si="32"/>
        <v/>
      </c>
      <c r="E84" s="14" t="str">
        <f t="shared" si="32"/>
        <v/>
      </c>
      <c r="F84" s="14" t="str">
        <f t="shared" si="32"/>
        <v/>
      </c>
      <c r="G84" s="14" t="str">
        <f t="shared" si="32"/>
        <v/>
      </c>
      <c r="H84" s="14" t="str">
        <f t="shared" si="32"/>
        <v/>
      </c>
      <c r="I84" s="14" t="str">
        <f t="shared" si="32"/>
        <v/>
      </c>
      <c r="J84" s="14" t="str">
        <f t="shared" si="32"/>
        <v/>
      </c>
      <c r="K84" s="14" t="str">
        <f t="shared" si="32"/>
        <v/>
      </c>
      <c r="L84" s="14" t="str">
        <f t="shared" si="32"/>
        <v/>
      </c>
      <c r="N84" t="str">
        <f t="shared" si="30"/>
        <v>Available water = Account Balance + Available Inflow - Evaporation + Sales - Purchases</v>
      </c>
    </row>
    <row r="85" spans="1:14" x14ac:dyDescent="0.35">
      <c r="A85" s="1" t="str">
        <f>IF(A84="","","   Account Withdraw [maf]")</f>
        <v xml:space="preserve">   Account Withdraw [maf]</v>
      </c>
      <c r="C85" s="43" t="str">
        <f>IF(C27="","",C84)</f>
        <v/>
      </c>
      <c r="D85" s="43" t="str">
        <f t="shared" ref="D85:L85" si="33">IF(D27="","",D84)</f>
        <v/>
      </c>
      <c r="E85" s="43" t="str">
        <f t="shared" si="33"/>
        <v/>
      </c>
      <c r="F85" s="43" t="str">
        <f t="shared" si="33"/>
        <v/>
      </c>
      <c r="G85" s="43" t="str">
        <f t="shared" si="33"/>
        <v/>
      </c>
      <c r="H85" s="43" t="str">
        <f t="shared" si="33"/>
        <v/>
      </c>
      <c r="I85" s="43" t="str">
        <f t="shared" si="33"/>
        <v/>
      </c>
      <c r="J85" s="43" t="str">
        <f t="shared" si="33"/>
        <v/>
      </c>
      <c r="K85" s="43" t="str">
        <f t="shared" si="33"/>
        <v/>
      </c>
      <c r="L85" s="43" t="str">
        <f t="shared" si="33"/>
        <v/>
      </c>
      <c r="N85" t="str">
        <f t="shared" si="30"/>
        <v>Must be less than Available water</v>
      </c>
    </row>
    <row r="86" spans="1:14" x14ac:dyDescent="0.35">
      <c r="A86" s="32" t="str">
        <f>IF(A85="","","   End of Year Balance [maf]")</f>
        <v xml:space="preserve">   End of Year Balance [maf]</v>
      </c>
      <c r="C86" s="77" t="str">
        <f>IF(OR(C$27="",$A86=""),"",C84-C85)</f>
        <v/>
      </c>
      <c r="D86" s="77" t="str">
        <f t="shared" ref="D86:L86" si="34">IF(OR(D$27="",$A86=""),"",D84-D85)</f>
        <v/>
      </c>
      <c r="E86" s="77" t="str">
        <f t="shared" si="34"/>
        <v/>
      </c>
      <c r="F86" s="77" t="str">
        <f t="shared" si="34"/>
        <v/>
      </c>
      <c r="G86" s="77" t="str">
        <f t="shared" si="34"/>
        <v/>
      </c>
      <c r="H86" s="77" t="str">
        <f t="shared" si="34"/>
        <v/>
      </c>
      <c r="I86" s="77" t="str">
        <f t="shared" si="34"/>
        <v/>
      </c>
      <c r="J86" s="77" t="str">
        <f t="shared" si="34"/>
        <v/>
      </c>
      <c r="K86" s="77" t="str">
        <f t="shared" si="34"/>
        <v/>
      </c>
      <c r="L86" s="77" t="str">
        <f t="shared" si="34"/>
        <v/>
      </c>
      <c r="N86" t="str">
        <f t="shared" si="30"/>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5">IF(A90="","",N82)</f>
        <v>Add if multiple transactions, e.g.: $350*0.5 + $450*0.25</v>
      </c>
    </row>
    <row r="91" spans="1:14" x14ac:dyDescent="0.35">
      <c r="A91" s="32" t="str">
        <f>IF(A90="","","   Volume all players (should be zero)")</f>
        <v xml:space="preserve">   Volume all players (should be zero)</v>
      </c>
      <c r="C91" s="78" t="str">
        <f t="shared" ref="C91:M91" si="36">IF(OR(C$27="",$A91=""),"",C$112)</f>
        <v/>
      </c>
      <c r="D91" s="78" t="str">
        <f t="shared" si="36"/>
        <v/>
      </c>
      <c r="E91" s="78" t="str">
        <f t="shared" si="36"/>
        <v/>
      </c>
      <c r="F91" s="78" t="str">
        <f t="shared" si="36"/>
        <v/>
      </c>
      <c r="G91" s="78" t="str">
        <f t="shared" si="36"/>
        <v/>
      </c>
      <c r="H91" s="78" t="str">
        <f t="shared" si="36"/>
        <v/>
      </c>
      <c r="I91" s="78" t="str">
        <f t="shared" si="36"/>
        <v/>
      </c>
      <c r="J91" s="78" t="str">
        <f t="shared" si="36"/>
        <v/>
      </c>
      <c r="K91" s="78" t="str">
        <f t="shared" si="36"/>
        <v/>
      </c>
      <c r="L91" s="78" t="str">
        <f t="shared" si="36"/>
        <v/>
      </c>
      <c r="M91" t="str">
        <f t="shared" si="36"/>
        <v/>
      </c>
      <c r="N91" t="str">
        <f t="shared" si="35"/>
        <v>If non-zero, players need to change amount(s)</v>
      </c>
    </row>
    <row r="92" spans="1:14" x14ac:dyDescent="0.35">
      <c r="A92" s="1" t="str">
        <f>IF(A90="","","   Available Water [maf]")</f>
        <v xml:space="preserve">   Available Water [maf]</v>
      </c>
      <c r="C92" s="14" t="str">
        <f t="shared" ref="C92:L92" si="37">IF(OR(C$27="",$A92=""),"",C34+C52-C44-C89)</f>
        <v/>
      </c>
      <c r="D92" s="14" t="str">
        <f t="shared" si="37"/>
        <v/>
      </c>
      <c r="E92" s="14" t="str">
        <f t="shared" si="37"/>
        <v/>
      </c>
      <c r="F92" s="14" t="str">
        <f t="shared" si="37"/>
        <v/>
      </c>
      <c r="G92" s="14" t="str">
        <f t="shared" si="37"/>
        <v/>
      </c>
      <c r="H92" s="14" t="str">
        <f t="shared" si="37"/>
        <v/>
      </c>
      <c r="I92" s="14" t="str">
        <f t="shared" si="37"/>
        <v/>
      </c>
      <c r="J92" s="14" t="str">
        <f t="shared" si="37"/>
        <v/>
      </c>
      <c r="K92" s="14" t="str">
        <f t="shared" si="37"/>
        <v/>
      </c>
      <c r="L92" s="14" t="str">
        <f t="shared" si="37"/>
        <v/>
      </c>
      <c r="N92" t="str">
        <f t="shared" si="35"/>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5"/>
        <v>Must be less than Available water</v>
      </c>
    </row>
    <row r="94" spans="1:14" x14ac:dyDescent="0.35">
      <c r="A94" s="32" t="str">
        <f>IF(A93="","","   End of Year Balance [maf]")</f>
        <v xml:space="preserve">   End of Year Balance [maf]</v>
      </c>
      <c r="C94" s="77" t="str">
        <f>IF(OR(C$27="",$A94=""),"",C92-C93)</f>
        <v/>
      </c>
      <c r="D94" s="77" t="str">
        <f t="shared" ref="D94:L94" si="38">IF(OR(D$27="",$A94=""),"",D92-D93)</f>
        <v/>
      </c>
      <c r="E94" s="77" t="str">
        <f t="shared" si="38"/>
        <v/>
      </c>
      <c r="F94" s="77" t="str">
        <f t="shared" si="38"/>
        <v/>
      </c>
      <c r="G94" s="77" t="str">
        <f t="shared" si="38"/>
        <v/>
      </c>
      <c r="H94" s="77" t="str">
        <f t="shared" si="38"/>
        <v/>
      </c>
      <c r="I94" s="77" t="str">
        <f t="shared" si="38"/>
        <v/>
      </c>
      <c r="J94" s="77" t="str">
        <f t="shared" si="38"/>
        <v/>
      </c>
      <c r="K94" s="77" t="str">
        <f t="shared" si="38"/>
        <v/>
      </c>
      <c r="L94" s="77" t="str">
        <f t="shared" si="38"/>
        <v/>
      </c>
      <c r="N94" t="str">
        <f t="shared" si="35"/>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39">IF(A98="","",N90)</f>
        <v/>
      </c>
    </row>
    <row r="99" spans="1:14" x14ac:dyDescent="0.35">
      <c r="A99" s="32" t="str">
        <f>IF(A98="","","   Volume all players (should be zero)")</f>
        <v/>
      </c>
      <c r="C99" s="78" t="str">
        <f t="shared" ref="C99:M99" si="40">IF(OR(C$27="",$A99=""),"",C$112)</f>
        <v/>
      </c>
      <c r="D99" s="78" t="str">
        <f t="shared" si="40"/>
        <v/>
      </c>
      <c r="E99" s="78" t="str">
        <f t="shared" si="40"/>
        <v/>
      </c>
      <c r="F99" s="78" t="str">
        <f t="shared" si="40"/>
        <v/>
      </c>
      <c r="G99" s="78" t="str">
        <f t="shared" si="40"/>
        <v/>
      </c>
      <c r="H99" s="78" t="str">
        <f t="shared" si="40"/>
        <v/>
      </c>
      <c r="I99" s="78" t="str">
        <f t="shared" si="40"/>
        <v/>
      </c>
      <c r="J99" s="78" t="str">
        <f t="shared" si="40"/>
        <v/>
      </c>
      <c r="K99" s="78" t="str">
        <f t="shared" si="40"/>
        <v/>
      </c>
      <c r="L99" s="78" t="str">
        <f t="shared" si="40"/>
        <v/>
      </c>
      <c r="M99" t="str">
        <f t="shared" si="40"/>
        <v/>
      </c>
      <c r="N99" t="str">
        <f t="shared" si="39"/>
        <v/>
      </c>
    </row>
    <row r="100" spans="1:14" x14ac:dyDescent="0.35">
      <c r="A100" s="1" t="str">
        <f>IF(A98="","","   Available Water [maf]")</f>
        <v/>
      </c>
      <c r="C100" s="14" t="str">
        <f t="shared" ref="C100:L100" si="41">IF(OR(C$27="",$A100=""),"",C35+C53-C45-C97)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43"/>
      <c r="D101" s="43"/>
      <c r="E101" s="43"/>
      <c r="F101" s="43"/>
      <c r="G101" s="43"/>
      <c r="H101" s="43"/>
      <c r="I101" s="43"/>
      <c r="J101" s="43"/>
      <c r="K101" s="43"/>
      <c r="L101" s="43"/>
      <c r="N101" t="str">
        <f t="shared" si="39"/>
        <v/>
      </c>
    </row>
    <row r="102" spans="1:14" x14ac:dyDescent="0.35">
      <c r="A102" s="32" t="str">
        <f>IF(A101="","","   End of Year Balance [maf]")</f>
        <v/>
      </c>
      <c r="C102" s="77" t="str">
        <f>IF(OR(C$27="",$A102=""),"",C100-C101)</f>
        <v/>
      </c>
      <c r="D102" s="77" t="str">
        <f t="shared" ref="D102:L102" si="42">IF(OR(D$27="",$A102=""),"",D100-D101)</f>
        <v/>
      </c>
      <c r="E102" s="77" t="str">
        <f t="shared" si="42"/>
        <v/>
      </c>
      <c r="F102" s="77" t="str">
        <f t="shared" si="42"/>
        <v/>
      </c>
      <c r="G102" s="77" t="str">
        <f t="shared" si="42"/>
        <v/>
      </c>
      <c r="H102" s="77" t="str">
        <f t="shared" si="42"/>
        <v/>
      </c>
      <c r="I102" s="77" t="str">
        <f t="shared" si="42"/>
        <v/>
      </c>
      <c r="J102" s="77" t="str">
        <f t="shared" si="42"/>
        <v/>
      </c>
      <c r="K102" s="77" t="str">
        <f t="shared" si="42"/>
        <v/>
      </c>
      <c r="L102" s="77" t="str">
        <f t="shared" si="42"/>
        <v/>
      </c>
      <c r="N102" t="str">
        <f t="shared" si="39"/>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43">IF(A6="","","    "&amp;A6)</f>
        <v xml:space="preserve">    Upper Basin</v>
      </c>
      <c r="B106" s="1"/>
      <c r="C106" s="78" t="str">
        <f t="shared" ref="C106:L111" ca="1" si="44">IF(OR(C$27="",$A106=""),"",OFFSET(C$57,8*(ROW(B106)-ROW(B$106)),0))</f>
        <v/>
      </c>
      <c r="D106" s="78" t="str">
        <f t="shared" ca="1" si="44"/>
        <v/>
      </c>
      <c r="E106" s="78" t="str">
        <f t="shared" ca="1" si="44"/>
        <v/>
      </c>
      <c r="F106" s="78" t="str">
        <f t="shared" ca="1" si="44"/>
        <v/>
      </c>
      <c r="G106" s="78" t="str">
        <f t="shared" ca="1" si="44"/>
        <v/>
      </c>
      <c r="H106" s="78" t="str">
        <f t="shared" ca="1" si="44"/>
        <v/>
      </c>
      <c r="I106" s="78" t="str">
        <f t="shared" ca="1" si="44"/>
        <v/>
      </c>
      <c r="J106" s="78" t="str">
        <f t="shared" ca="1" si="44"/>
        <v/>
      </c>
      <c r="K106" s="78" t="str">
        <f t="shared" ca="1" si="44"/>
        <v/>
      </c>
      <c r="L106" s="78" t="str">
        <f t="shared" ca="1" si="44"/>
        <v/>
      </c>
      <c r="M106" s="78">
        <f ca="1">IF(OR($A106=""),"",SUM(C106:L106))</f>
        <v>0</v>
      </c>
      <c r="N106" s="75">
        <f>IF(OR($A106=""),"",M58)</f>
        <v>0</v>
      </c>
    </row>
    <row r="107" spans="1:14" x14ac:dyDescent="0.35">
      <c r="A107" t="str">
        <f t="shared" si="43"/>
        <v xml:space="preserve">    Lower Basin</v>
      </c>
      <c r="B107" s="1"/>
      <c r="C107" s="78" t="str">
        <f t="shared" ca="1" si="44"/>
        <v/>
      </c>
      <c r="D107" s="78" t="str">
        <f t="shared" ca="1" si="44"/>
        <v/>
      </c>
      <c r="E107" s="78" t="str">
        <f t="shared" ca="1" si="44"/>
        <v/>
      </c>
      <c r="F107" s="78" t="str">
        <f t="shared" ca="1" si="44"/>
        <v/>
      </c>
      <c r="G107" s="78" t="str">
        <f t="shared" ca="1" si="44"/>
        <v/>
      </c>
      <c r="H107" s="78" t="str">
        <f t="shared" ca="1" si="44"/>
        <v/>
      </c>
      <c r="I107" s="78" t="str">
        <f t="shared" ca="1" si="44"/>
        <v/>
      </c>
      <c r="J107" s="78" t="str">
        <f t="shared" ca="1" si="44"/>
        <v/>
      </c>
      <c r="K107" s="78" t="str">
        <f t="shared" ca="1" si="44"/>
        <v/>
      </c>
      <c r="L107" s="78" t="str">
        <f t="shared" ca="1" si="44"/>
        <v/>
      </c>
      <c r="M107" s="78">
        <f t="shared" ref="M107:M111" ca="1" si="45">IF(OR($A107=""),"",SUM(C107:L107))</f>
        <v>0</v>
      </c>
      <c r="N107" s="75">
        <f>IF(OR($A107=""),"",M66)</f>
        <v>0</v>
      </c>
    </row>
    <row r="108" spans="1:14" x14ac:dyDescent="0.35">
      <c r="A108" t="str">
        <f t="shared" si="43"/>
        <v xml:space="preserve">    Mexico</v>
      </c>
      <c r="B108" s="1"/>
      <c r="C108" s="78" t="str">
        <f t="shared" ca="1" si="44"/>
        <v/>
      </c>
      <c r="D108" s="78" t="str">
        <f t="shared" ca="1" si="44"/>
        <v/>
      </c>
      <c r="E108" s="78" t="str">
        <f t="shared" ca="1" si="44"/>
        <v/>
      </c>
      <c r="F108" s="78" t="str">
        <f t="shared" ca="1" si="44"/>
        <v/>
      </c>
      <c r="G108" s="78" t="str">
        <f t="shared" ca="1" si="44"/>
        <v/>
      </c>
      <c r="H108" s="78" t="str">
        <f t="shared" ca="1" si="44"/>
        <v/>
      </c>
      <c r="I108" s="78" t="str">
        <f t="shared" ca="1" si="44"/>
        <v/>
      </c>
      <c r="J108" s="78" t="str">
        <f t="shared" ca="1" si="44"/>
        <v/>
      </c>
      <c r="K108" s="78" t="str">
        <f t="shared" ca="1" si="44"/>
        <v/>
      </c>
      <c r="L108" s="78" t="str">
        <f t="shared" ca="1" si="44"/>
        <v/>
      </c>
      <c r="M108" s="78">
        <f t="shared" ca="1" si="45"/>
        <v>0</v>
      </c>
      <c r="N108" s="75">
        <f>IF(OR($A108=""),"",M74)</f>
        <v>0</v>
      </c>
    </row>
    <row r="109" spans="1:14" x14ac:dyDescent="0.35">
      <c r="A109" t="str">
        <f t="shared" si="43"/>
        <v xml:space="preserve">    Mohave &amp; Havasu Evap &amp; ET</v>
      </c>
      <c r="B109" s="1"/>
      <c r="C109" s="78" t="str">
        <f t="shared" ca="1" si="44"/>
        <v/>
      </c>
      <c r="D109" s="78" t="str">
        <f t="shared" ca="1" si="44"/>
        <v/>
      </c>
      <c r="E109" s="78" t="str">
        <f t="shared" ca="1" si="44"/>
        <v/>
      </c>
      <c r="F109" s="78" t="str">
        <f t="shared" ca="1" si="44"/>
        <v/>
      </c>
      <c r="G109" s="78" t="str">
        <f t="shared" ca="1" si="44"/>
        <v/>
      </c>
      <c r="H109" s="78" t="str">
        <f t="shared" ca="1" si="44"/>
        <v/>
      </c>
      <c r="I109" s="78" t="str">
        <f t="shared" ca="1" si="44"/>
        <v/>
      </c>
      <c r="J109" s="78" t="str">
        <f t="shared" ca="1" si="44"/>
        <v/>
      </c>
      <c r="K109" s="78" t="str">
        <f t="shared" ca="1" si="44"/>
        <v/>
      </c>
      <c r="L109" s="78" t="str">
        <f t="shared" ca="1" si="44"/>
        <v/>
      </c>
      <c r="M109" s="78">
        <f t="shared" ca="1" si="45"/>
        <v>0</v>
      </c>
      <c r="N109" s="75">
        <f>IF(OR($A109=""),"",M82)</f>
        <v>0</v>
      </c>
    </row>
    <row r="110" spans="1:14" x14ac:dyDescent="0.35">
      <c r="A110" t="str">
        <f t="shared" si="43"/>
        <v xml:space="preserve">    Shared, Reserve</v>
      </c>
      <c r="B110" s="1"/>
      <c r="C110" s="78" t="str">
        <f t="shared" ca="1" si="44"/>
        <v/>
      </c>
      <c r="D110" s="78" t="str">
        <f t="shared" ca="1" si="44"/>
        <v/>
      </c>
      <c r="E110" s="78" t="str">
        <f t="shared" ca="1" si="44"/>
        <v/>
      </c>
      <c r="F110" s="78" t="str">
        <f t="shared" ca="1" si="44"/>
        <v/>
      </c>
      <c r="G110" s="78" t="str">
        <f t="shared" ca="1" si="44"/>
        <v/>
      </c>
      <c r="H110" s="78" t="str">
        <f t="shared" ca="1" si="44"/>
        <v/>
      </c>
      <c r="I110" s="78" t="str">
        <f t="shared" ca="1" si="44"/>
        <v/>
      </c>
      <c r="J110" s="78" t="str">
        <f t="shared" ca="1" si="44"/>
        <v/>
      </c>
      <c r="K110" s="78" t="str">
        <f t="shared" ca="1" si="44"/>
        <v/>
      </c>
      <c r="L110" s="78" t="str">
        <f t="shared" ca="1" si="44"/>
        <v/>
      </c>
      <c r="M110" s="78">
        <f t="shared" ca="1" si="45"/>
        <v>0</v>
      </c>
      <c r="N110" s="75">
        <f>IF(OR($A110=""),"",M90)</f>
        <v>0</v>
      </c>
    </row>
    <row r="111" spans="1:14" x14ac:dyDescent="0.35">
      <c r="A111" t="str">
        <f t="shared" si="43"/>
        <v/>
      </c>
      <c r="B111" s="1"/>
      <c r="C111" s="78" t="str">
        <f t="shared" ca="1" si="44"/>
        <v/>
      </c>
      <c r="D111" s="78" t="str">
        <f t="shared" ca="1" si="44"/>
        <v/>
      </c>
      <c r="E111" s="78" t="str">
        <f t="shared" ca="1" si="44"/>
        <v/>
      </c>
      <c r="F111" s="78" t="str">
        <f t="shared" ca="1" si="44"/>
        <v/>
      </c>
      <c r="G111" s="78" t="str">
        <f t="shared" ca="1" si="44"/>
        <v/>
      </c>
      <c r="H111" s="78" t="str">
        <f t="shared" ca="1" si="44"/>
        <v/>
      </c>
      <c r="I111" s="78" t="str">
        <f t="shared" ca="1" si="44"/>
        <v/>
      </c>
      <c r="J111" s="78" t="str">
        <f t="shared" ca="1" si="44"/>
        <v/>
      </c>
      <c r="K111" s="78" t="str">
        <f t="shared" ca="1" si="44"/>
        <v/>
      </c>
      <c r="L111" s="78" t="str">
        <f t="shared" ca="1" si="44"/>
        <v/>
      </c>
      <c r="M111" s="78" t="str">
        <f t="shared" si="45"/>
        <v/>
      </c>
      <c r="N111" s="75" t="str">
        <f>IF(OR($A111=""),"",M98)</f>
        <v/>
      </c>
    </row>
    <row r="112" spans="1:14" x14ac:dyDescent="0.35">
      <c r="A112" t="s">
        <v>146</v>
      </c>
      <c r="B112" s="1"/>
      <c r="C112" s="52" t="str">
        <f>IF(C$27&lt;&gt;"",SUM(C106:C111),"")</f>
        <v/>
      </c>
      <c r="D112" s="52" t="str">
        <f t="shared" ref="D112:L112" si="46">IF(D$27&lt;&gt;"",SUM(D106:D111),"")</f>
        <v/>
      </c>
      <c r="E112" s="52" t="str">
        <f t="shared" si="46"/>
        <v/>
      </c>
      <c r="F112" s="52" t="str">
        <f t="shared" si="46"/>
        <v/>
      </c>
      <c r="G112" s="52" t="str">
        <f t="shared" si="46"/>
        <v/>
      </c>
      <c r="H112" s="52" t="str">
        <f t="shared" si="46"/>
        <v/>
      </c>
      <c r="I112" s="52" t="str">
        <f t="shared" si="46"/>
        <v/>
      </c>
      <c r="J112" s="52" t="str">
        <f t="shared" si="46"/>
        <v/>
      </c>
      <c r="K112" s="52" t="str">
        <f t="shared" si="46"/>
        <v/>
      </c>
      <c r="L112" s="52" t="str">
        <f t="shared" si="4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9" ca="1" si="47">IF(OR(C$27="",$A114=""),"",OFFSET(C$61,8*(ROW(B114)-ROW(B$114)),0))</f>
        <v/>
      </c>
      <c r="D114" s="78" t="str">
        <f t="shared" ca="1" si="47"/>
        <v/>
      </c>
      <c r="E114" s="78" t="str">
        <f t="shared" ca="1" si="47"/>
        <v/>
      </c>
      <c r="F114" s="78" t="str">
        <f t="shared" ca="1" si="47"/>
        <v/>
      </c>
      <c r="G114" s="78" t="str">
        <f t="shared" ca="1" si="47"/>
        <v/>
      </c>
      <c r="H114" s="78" t="str">
        <f t="shared" ca="1" si="47"/>
        <v/>
      </c>
      <c r="I114" s="78" t="str">
        <f t="shared" ca="1" si="47"/>
        <v/>
      </c>
      <c r="J114" s="78" t="str">
        <f t="shared" ca="1" si="47"/>
        <v/>
      </c>
      <c r="K114" s="78" t="str">
        <f t="shared" ca="1" si="47"/>
        <v/>
      </c>
      <c r="L114" s="78" t="str">
        <f t="shared" ca="1" si="47"/>
        <v/>
      </c>
    </row>
    <row r="115" spans="1:12" x14ac:dyDescent="0.35">
      <c r="A115" t="str">
        <f>IF(A7="","","    "&amp;A7&amp;" - Release from Mead")</f>
        <v xml:space="preserve">    Lower Basin - Release from Mead</v>
      </c>
      <c r="C115" s="78" t="str">
        <f t="shared" ca="1" si="47"/>
        <v/>
      </c>
      <c r="D115" s="78" t="str">
        <f t="shared" ca="1" si="47"/>
        <v/>
      </c>
      <c r="E115" s="78" t="str">
        <f t="shared" ca="1" si="47"/>
        <v/>
      </c>
      <c r="F115" s="78" t="str">
        <f t="shared" ca="1" si="47"/>
        <v/>
      </c>
      <c r="G115" s="78" t="str">
        <f t="shared" ca="1" si="47"/>
        <v/>
      </c>
      <c r="H115" s="78" t="str">
        <f t="shared" ca="1" si="47"/>
        <v/>
      </c>
      <c r="I115" s="78" t="str">
        <f t="shared" ca="1" si="47"/>
        <v/>
      </c>
      <c r="J115" s="78" t="str">
        <f t="shared" ca="1" si="47"/>
        <v/>
      </c>
      <c r="K115" s="78" t="str">
        <f t="shared" ca="1" si="47"/>
        <v/>
      </c>
      <c r="L115" s="78" t="str">
        <f t="shared" ca="1" si="47"/>
        <v/>
      </c>
    </row>
    <row r="116" spans="1:12" x14ac:dyDescent="0.35">
      <c r="A116" t="str">
        <f>IF(A8="","","    "&amp;A8&amp;" - Release from Mead")</f>
        <v xml:space="preserve">    Mexico - Release from Mead</v>
      </c>
      <c r="C116" s="78" t="str">
        <f t="shared" ca="1" si="47"/>
        <v/>
      </c>
      <c r="D116" s="78" t="str">
        <f t="shared" ca="1" si="47"/>
        <v/>
      </c>
      <c r="E116" s="78" t="str">
        <f t="shared" ca="1" si="47"/>
        <v/>
      </c>
      <c r="F116" s="78" t="str">
        <f t="shared" ca="1" si="47"/>
        <v/>
      </c>
      <c r="G116" s="78" t="str">
        <f t="shared" ca="1" si="47"/>
        <v/>
      </c>
      <c r="H116" s="78" t="str">
        <f t="shared" ca="1" si="47"/>
        <v/>
      </c>
      <c r="I116" s="78" t="str">
        <f t="shared" ca="1" si="47"/>
        <v/>
      </c>
      <c r="J116" s="78" t="str">
        <f t="shared" ca="1" si="47"/>
        <v/>
      </c>
      <c r="K116" s="78" t="str">
        <f t="shared" ca="1" si="47"/>
        <v/>
      </c>
      <c r="L116" s="78" t="str">
        <f t="shared" ca="1" si="47"/>
        <v/>
      </c>
    </row>
    <row r="117" spans="1:12" x14ac:dyDescent="0.35">
      <c r="A117" t="str">
        <f>IF(A9="","","    "&amp;A9&amp;" - Release from Mead")</f>
        <v xml:space="preserve">    Mohave &amp; Havasu Evap &amp; ET - Release from Mead</v>
      </c>
      <c r="C117" s="78" t="str">
        <f t="shared" ca="1" si="47"/>
        <v/>
      </c>
      <c r="D117" s="78" t="str">
        <f t="shared" ca="1" si="47"/>
        <v/>
      </c>
      <c r="E117" s="78" t="str">
        <f t="shared" ca="1" si="47"/>
        <v/>
      </c>
      <c r="F117" s="78" t="str">
        <f t="shared" ca="1" si="47"/>
        <v/>
      </c>
      <c r="G117" s="78" t="str">
        <f t="shared" ca="1" si="47"/>
        <v/>
      </c>
      <c r="H117" s="78" t="str">
        <f t="shared" ca="1" si="47"/>
        <v/>
      </c>
      <c r="I117" s="78" t="str">
        <f t="shared" ca="1" si="47"/>
        <v/>
      </c>
      <c r="J117" s="78" t="str">
        <f t="shared" ca="1" si="47"/>
        <v/>
      </c>
      <c r="K117" s="78" t="str">
        <f t="shared" ca="1" si="47"/>
        <v/>
      </c>
      <c r="L117" s="78" t="str">
        <f t="shared" ca="1" si="47"/>
        <v/>
      </c>
    </row>
    <row r="118" spans="1:12" x14ac:dyDescent="0.35">
      <c r="A118" t="str">
        <f>IF(A10="","","    "&amp;A10&amp;" - Release from Mead")</f>
        <v xml:space="preserve">    Shared, Reserve - Release from Mead</v>
      </c>
      <c r="C118" s="78" t="str">
        <f t="shared" ca="1" si="47"/>
        <v/>
      </c>
      <c r="D118" s="78" t="str">
        <f t="shared" ca="1" si="47"/>
        <v/>
      </c>
      <c r="E118" s="78" t="str">
        <f t="shared" ca="1" si="47"/>
        <v/>
      </c>
      <c r="F118" s="78" t="str">
        <f t="shared" ca="1" si="47"/>
        <v/>
      </c>
      <c r="G118" s="78" t="str">
        <f t="shared" ca="1" si="47"/>
        <v/>
      </c>
      <c r="H118" s="78" t="str">
        <f t="shared" ca="1" si="47"/>
        <v/>
      </c>
      <c r="I118" s="78" t="str">
        <f t="shared" ca="1" si="47"/>
        <v/>
      </c>
      <c r="J118" s="78" t="str">
        <f t="shared" ca="1" si="47"/>
        <v/>
      </c>
      <c r="K118" s="78" t="str">
        <f t="shared" ca="1" si="47"/>
        <v/>
      </c>
      <c r="L118" s="78" t="str">
        <f t="shared" ca="1" si="47"/>
        <v/>
      </c>
    </row>
    <row r="119" spans="1:12" x14ac:dyDescent="0.35">
      <c r="A119" t="str">
        <f>IF(A11="","","    "&amp;A11&amp;" - Release from Mead")</f>
        <v/>
      </c>
      <c r="C119" s="78" t="str">
        <f t="shared" ca="1" si="47"/>
        <v/>
      </c>
      <c r="D119" s="78" t="str">
        <f t="shared" ca="1" si="47"/>
        <v/>
      </c>
      <c r="E119" s="78" t="str">
        <f t="shared" ca="1" si="47"/>
        <v/>
      </c>
      <c r="F119" s="78" t="str">
        <f t="shared" ca="1" si="47"/>
        <v/>
      </c>
      <c r="G119" s="78" t="str">
        <f t="shared" ca="1" si="47"/>
        <v/>
      </c>
      <c r="H119" s="78" t="str">
        <f t="shared" ca="1" si="47"/>
        <v/>
      </c>
      <c r="I119" s="78" t="str">
        <f t="shared" ca="1" si="47"/>
        <v/>
      </c>
      <c r="J119" s="78" t="str">
        <f t="shared" ca="1" si="47"/>
        <v/>
      </c>
      <c r="K119" s="78" t="str">
        <f t="shared" ca="1" si="47"/>
        <v/>
      </c>
      <c r="L119" s="78" t="str">
        <f t="shared" ca="1" si="47"/>
        <v/>
      </c>
    </row>
    <row r="120" spans="1:12" x14ac:dyDescent="0.35">
      <c r="A120" s="1" t="s">
        <v>139</v>
      </c>
      <c r="B120" s="1"/>
      <c r="D120" s="2"/>
      <c r="E120" s="2"/>
      <c r="F120" s="2"/>
      <c r="G120" s="2"/>
      <c r="H120" s="2"/>
      <c r="I120" s="2"/>
      <c r="J120" s="2"/>
      <c r="K120" s="2"/>
      <c r="L120" s="2"/>
    </row>
    <row r="121" spans="1:12" x14ac:dyDescent="0.35">
      <c r="A121" t="str">
        <f t="shared" ref="A121:A126" si="48">IF(A6="","","    "&amp;A6)</f>
        <v xml:space="preserve">    Upper Basin</v>
      </c>
      <c r="C121" s="78" t="str">
        <f t="shared" ref="C121:L126" ca="1" si="49">IF(OR(C$27="",$A121=""),"",OFFSET(C$62,8*(ROW(B121)-ROW(B$121)),0))</f>
        <v/>
      </c>
      <c r="D121" s="78" t="str">
        <f t="shared" ca="1" si="49"/>
        <v/>
      </c>
      <c r="E121" s="78" t="str">
        <f t="shared" ca="1" si="49"/>
        <v/>
      </c>
      <c r="F121" s="78" t="str">
        <f t="shared" ca="1" si="49"/>
        <v/>
      </c>
      <c r="G121" s="78" t="str">
        <f t="shared" ca="1" si="49"/>
        <v/>
      </c>
      <c r="H121" s="78" t="str">
        <f t="shared" ca="1" si="49"/>
        <v/>
      </c>
      <c r="I121" s="78" t="str">
        <f t="shared" ca="1" si="49"/>
        <v/>
      </c>
      <c r="J121" s="78" t="str">
        <f t="shared" ca="1" si="49"/>
        <v/>
      </c>
      <c r="K121" s="78" t="str">
        <f t="shared" ca="1" si="49"/>
        <v/>
      </c>
      <c r="L121" s="78" t="str">
        <f t="shared" ca="1" si="49"/>
        <v/>
      </c>
    </row>
    <row r="122" spans="1:12" x14ac:dyDescent="0.35">
      <c r="A122" t="str">
        <f t="shared" si="48"/>
        <v xml:space="preserve">    Lower Basin</v>
      </c>
      <c r="C122" s="78" t="str">
        <f t="shared" ca="1" si="49"/>
        <v/>
      </c>
      <c r="D122" s="78" t="str">
        <f t="shared" ca="1" si="49"/>
        <v/>
      </c>
      <c r="E122" s="78" t="str">
        <f t="shared" ca="1" si="49"/>
        <v/>
      </c>
      <c r="F122" s="78" t="str">
        <f t="shared" ca="1" si="49"/>
        <v/>
      </c>
      <c r="G122" s="78" t="str">
        <f t="shared" ca="1" si="49"/>
        <v/>
      </c>
      <c r="H122" s="78" t="str">
        <f t="shared" ca="1" si="49"/>
        <v/>
      </c>
      <c r="I122" s="78" t="str">
        <f t="shared" ca="1" si="49"/>
        <v/>
      </c>
      <c r="J122" s="78" t="str">
        <f t="shared" ca="1" si="49"/>
        <v/>
      </c>
      <c r="K122" s="78" t="str">
        <f t="shared" ca="1" si="49"/>
        <v/>
      </c>
      <c r="L122" s="78" t="str">
        <f t="shared" ca="1" si="49"/>
        <v/>
      </c>
    </row>
    <row r="123" spans="1:12" x14ac:dyDescent="0.35">
      <c r="A123" t="str">
        <f t="shared" si="48"/>
        <v xml:space="preserve">    Mexico</v>
      </c>
      <c r="C123" s="78" t="str">
        <f t="shared" ca="1" si="49"/>
        <v/>
      </c>
      <c r="D123" s="78" t="str">
        <f t="shared" ca="1" si="49"/>
        <v/>
      </c>
      <c r="E123" s="78" t="str">
        <f t="shared" ca="1" si="49"/>
        <v/>
      </c>
      <c r="F123" s="78" t="str">
        <f t="shared" ca="1" si="49"/>
        <v/>
      </c>
      <c r="G123" s="78" t="str">
        <f t="shared" ca="1" si="49"/>
        <v/>
      </c>
      <c r="H123" s="78" t="str">
        <f t="shared" ca="1" si="49"/>
        <v/>
      </c>
      <c r="I123" s="78" t="str">
        <f t="shared" ca="1" si="49"/>
        <v/>
      </c>
      <c r="J123" s="78" t="str">
        <f t="shared" ca="1" si="49"/>
        <v/>
      </c>
      <c r="K123" s="78" t="str">
        <f t="shared" ca="1" si="49"/>
        <v/>
      </c>
      <c r="L123" s="78" t="str">
        <f t="shared" ca="1" si="49"/>
        <v/>
      </c>
    </row>
    <row r="124" spans="1:12" x14ac:dyDescent="0.35">
      <c r="A124" t="str">
        <f t="shared" si="48"/>
        <v xml:space="preserve">    Mohave &amp; Havasu Evap &amp; ET</v>
      </c>
      <c r="C124" s="78" t="str">
        <f t="shared" ca="1" si="49"/>
        <v/>
      </c>
      <c r="D124" s="78" t="str">
        <f t="shared" ca="1" si="49"/>
        <v/>
      </c>
      <c r="E124" s="78" t="str">
        <f t="shared" ca="1" si="49"/>
        <v/>
      </c>
      <c r="F124" s="78" t="str">
        <f t="shared" ca="1" si="49"/>
        <v/>
      </c>
      <c r="G124" s="78" t="str">
        <f t="shared" ca="1" si="49"/>
        <v/>
      </c>
      <c r="H124" s="78" t="str">
        <f t="shared" ca="1" si="49"/>
        <v/>
      </c>
      <c r="I124" s="78" t="str">
        <f t="shared" ca="1" si="49"/>
        <v/>
      </c>
      <c r="J124" s="78" t="str">
        <f t="shared" ca="1" si="49"/>
        <v/>
      </c>
      <c r="K124" s="78" t="str">
        <f t="shared" ca="1" si="49"/>
        <v/>
      </c>
      <c r="L124" s="78" t="str">
        <f t="shared" ca="1" si="49"/>
        <v/>
      </c>
    </row>
    <row r="125" spans="1:12" x14ac:dyDescent="0.35">
      <c r="A125" t="str">
        <f t="shared" si="48"/>
        <v xml:space="preserve">    Shared, Reserve</v>
      </c>
      <c r="C125" s="78" t="str">
        <f t="shared" ca="1" si="49"/>
        <v/>
      </c>
      <c r="D125" s="78" t="str">
        <f t="shared" ca="1" si="49"/>
        <v/>
      </c>
      <c r="E125" s="78" t="str">
        <f t="shared" ca="1" si="49"/>
        <v/>
      </c>
      <c r="F125" s="78" t="str">
        <f t="shared" ca="1" si="49"/>
        <v/>
      </c>
      <c r="G125" s="78" t="str">
        <f t="shared" ca="1" si="49"/>
        <v/>
      </c>
      <c r="H125" s="78" t="str">
        <f t="shared" ca="1" si="49"/>
        <v/>
      </c>
      <c r="I125" s="78" t="str">
        <f t="shared" ca="1" si="49"/>
        <v/>
      </c>
      <c r="J125" s="78" t="str">
        <f t="shared" ca="1" si="49"/>
        <v/>
      </c>
      <c r="K125" s="78" t="str">
        <f t="shared" ca="1" si="49"/>
        <v/>
      </c>
      <c r="L125" s="78" t="str">
        <f t="shared" ca="1" si="49"/>
        <v/>
      </c>
    </row>
    <row r="126" spans="1:12" x14ac:dyDescent="0.35">
      <c r="A126" t="str">
        <f t="shared" si="48"/>
        <v/>
      </c>
      <c r="C126" s="78" t="str">
        <f t="shared" ca="1" si="49"/>
        <v/>
      </c>
      <c r="D126" s="78" t="str">
        <f t="shared" ca="1" si="49"/>
        <v/>
      </c>
      <c r="E126" s="78" t="str">
        <f t="shared" ca="1" si="49"/>
        <v/>
      </c>
      <c r="F126" s="78" t="str">
        <f t="shared" ca="1" si="49"/>
        <v/>
      </c>
      <c r="G126" s="78" t="str">
        <f t="shared" ca="1" si="49"/>
        <v/>
      </c>
      <c r="H126" s="78" t="str">
        <f t="shared" ca="1" si="49"/>
        <v/>
      </c>
      <c r="I126" s="78" t="str">
        <f t="shared" ca="1" si="49"/>
        <v/>
      </c>
      <c r="J126" s="78" t="str">
        <f t="shared" ca="1" si="49"/>
        <v/>
      </c>
      <c r="K126" s="78" t="str">
        <f t="shared" ca="1" si="49"/>
        <v/>
      </c>
      <c r="L126" s="78" t="str">
        <f t="shared" ca="1" si="49"/>
        <v/>
      </c>
    </row>
    <row r="127" spans="1:12" x14ac:dyDescent="0.35">
      <c r="A127" s="1" t="s">
        <v>123</v>
      </c>
      <c r="B127" s="1"/>
      <c r="C127" s="14" t="str">
        <f>IF(C$27&lt;&gt;"",SUM(C121:C126),"")</f>
        <v/>
      </c>
      <c r="D127" s="14" t="str">
        <f t="shared" ref="D127:L127" si="50">IF(D$27&lt;&gt;"",SUM(D121:D126),"")</f>
        <v/>
      </c>
      <c r="E127" s="14" t="str">
        <f t="shared" si="50"/>
        <v/>
      </c>
      <c r="F127" s="14" t="str">
        <f t="shared" si="50"/>
        <v/>
      </c>
      <c r="G127" s="14" t="str">
        <f t="shared" si="50"/>
        <v/>
      </c>
      <c r="H127" s="14" t="str">
        <f t="shared" si="50"/>
        <v/>
      </c>
      <c r="I127" s="14" t="str">
        <f t="shared" si="50"/>
        <v/>
      </c>
      <c r="J127" s="14" t="str">
        <f t="shared" si="50"/>
        <v/>
      </c>
      <c r="K127" s="14" t="str">
        <f t="shared" si="50"/>
        <v/>
      </c>
      <c r="L127" s="14" t="str">
        <f t="shared" si="50"/>
        <v/>
      </c>
    </row>
    <row r="128" spans="1:12" x14ac:dyDescent="0.35">
      <c r="A128" s="1" t="s">
        <v>206</v>
      </c>
      <c r="B128" s="1"/>
      <c r="C128" s="87"/>
      <c r="D128" s="87"/>
      <c r="E128" s="87"/>
      <c r="F128" s="87"/>
      <c r="G128" s="87"/>
      <c r="H128" s="87"/>
      <c r="I128" s="87"/>
      <c r="J128" s="87"/>
      <c r="K128" s="87"/>
      <c r="L128" s="87"/>
    </row>
    <row r="129" spans="1:14" x14ac:dyDescent="0.35">
      <c r="A129" s="1" t="s">
        <v>202</v>
      </c>
      <c r="B129" s="1"/>
      <c r="C129" s="14" t="str">
        <f>IF(C27="","",C$128*C$127)</f>
        <v/>
      </c>
      <c r="D129" s="14" t="str">
        <f t="shared" ref="D129:L129" si="51">IF(D27="","",D$128*D$127)</f>
        <v/>
      </c>
      <c r="E129" s="14" t="str">
        <f t="shared" si="51"/>
        <v/>
      </c>
      <c r="F129" s="14" t="str">
        <f t="shared" si="51"/>
        <v/>
      </c>
      <c r="G129" s="14" t="str">
        <f t="shared" si="51"/>
        <v/>
      </c>
      <c r="H129" s="14" t="str">
        <f t="shared" si="51"/>
        <v/>
      </c>
      <c r="I129" s="14" t="str">
        <f t="shared" si="51"/>
        <v/>
      </c>
      <c r="J129" s="14" t="str">
        <f t="shared" si="51"/>
        <v/>
      </c>
      <c r="K129" s="14" t="str">
        <f t="shared" si="51"/>
        <v/>
      </c>
      <c r="L129" s="14" t="str">
        <f t="shared" si="51"/>
        <v/>
      </c>
    </row>
    <row r="130" spans="1:14" x14ac:dyDescent="0.35">
      <c r="A130" s="1" t="s">
        <v>203</v>
      </c>
      <c r="B130" s="1"/>
      <c r="C130" s="14" t="str">
        <f>IF(C28="","",(1-C$128)*C$127)</f>
        <v/>
      </c>
      <c r="D130" s="14" t="str">
        <f t="shared" ref="D130:L130" si="52">IF(D28="","",(1-D$128)*D$127)</f>
        <v/>
      </c>
      <c r="E130" s="14" t="str">
        <f t="shared" si="52"/>
        <v/>
      </c>
      <c r="F130" s="14" t="str">
        <f t="shared" si="52"/>
        <v/>
      </c>
      <c r="G130" s="14" t="str">
        <f t="shared" si="52"/>
        <v/>
      </c>
      <c r="H130" s="14" t="str">
        <f t="shared" si="52"/>
        <v/>
      </c>
      <c r="I130" s="14" t="str">
        <f t="shared" si="52"/>
        <v/>
      </c>
      <c r="J130" s="14" t="str">
        <f t="shared" si="52"/>
        <v/>
      </c>
      <c r="K130" s="14" t="str">
        <f t="shared" si="52"/>
        <v/>
      </c>
      <c r="L130" s="14" t="str">
        <f t="shared" si="52"/>
        <v/>
      </c>
    </row>
    <row r="131" spans="1:14" x14ac:dyDescent="0.35">
      <c r="A131" s="32" t="s">
        <v>305</v>
      </c>
      <c r="B131" s="1"/>
      <c r="C131" s="141" t="str">
        <f>IF(C$27&lt;&gt;"",VLOOKUP(C129*1000000,'Powell-Elevation-Area'!$B$5:$H$689,7),"")</f>
        <v/>
      </c>
      <c r="D131" s="141" t="str">
        <f>IF(D$27&lt;&gt;"",VLOOKUP(D129*1000000,'Powell-Elevation-Area'!$B$5:$H$689,7),"")</f>
        <v/>
      </c>
      <c r="E131" s="141" t="str">
        <f>IF(E$27&lt;&gt;"",VLOOKUP(E129*1000000,'Powell-Elevation-Area'!$B$5:$H$689,7),"")</f>
        <v/>
      </c>
      <c r="F131" s="141" t="str">
        <f>IF(F$27&lt;&gt;"",VLOOKUP(F129*1000000,'Powell-Elevation-Area'!$B$5:$H$689,7),"")</f>
        <v/>
      </c>
      <c r="G131" s="141" t="str">
        <f>IF(G$27&lt;&gt;"",VLOOKUP(G129*1000000,'Powell-Elevation-Area'!$B$5:$H$689,7),"")</f>
        <v/>
      </c>
      <c r="H131" s="141" t="str">
        <f>IF(H$27&lt;&gt;"",VLOOKUP(H129*1000000,'Powell-Elevation-Area'!$B$5:$H$689,7),"")</f>
        <v/>
      </c>
      <c r="I131" s="141" t="str">
        <f>IF(I$27&lt;&gt;"",VLOOKUP(I129*1000000,'Powell-Elevation-Area'!$B$5:$H$689,7),"")</f>
        <v/>
      </c>
      <c r="J131" s="141" t="str">
        <f>IF(J$27&lt;&gt;"",VLOOKUP(J129*1000000,'Powell-Elevation-Area'!$B$5:$H$689,7),"")</f>
        <v/>
      </c>
      <c r="K131" s="141" t="str">
        <f>IF(K$27&lt;&gt;"",VLOOKUP(K129*1000000,'Powell-Elevation-Area'!$B$5:$H$689,7),"")</f>
        <v/>
      </c>
      <c r="L131" s="141" t="str">
        <f>IF(L$27&lt;&gt;"",VLOOKUP(L129*1000000,'Powell-Elevation-Area'!$B$5:$H$689,7),"")</f>
        <v/>
      </c>
    </row>
    <row r="132" spans="1:14" x14ac:dyDescent="0.35">
      <c r="A132" s="32" t="s">
        <v>306</v>
      </c>
      <c r="B132" s="1"/>
      <c r="C132" s="141" t="str">
        <f>IF(C$27&lt;&gt;"",VLOOKUP(C130*1000000,'Mead-Elevation-Area'!$B$5:$H$689,7),"")</f>
        <v/>
      </c>
      <c r="D132" s="141" t="str">
        <f>IF(D$27&lt;&gt;"",VLOOKUP(D130*1000000,'Mead-Elevation-Area'!$B$5:$H$689,7),"")</f>
        <v/>
      </c>
      <c r="E132" s="141" t="str">
        <f>IF(E$27&lt;&gt;"",VLOOKUP(E130*1000000,'Mead-Elevation-Area'!$B$5:$H$689,7),"")</f>
        <v/>
      </c>
      <c r="F132" s="141" t="str">
        <f>IF(F$27&lt;&gt;"",VLOOKUP(F130*1000000,'Mead-Elevation-Area'!$B$5:$H$689,7),"")</f>
        <v/>
      </c>
      <c r="G132" s="141" t="str">
        <f>IF(G$27&lt;&gt;"",VLOOKUP(G130*1000000,'Mead-Elevation-Area'!$B$5:$H$689,7),"")</f>
        <v/>
      </c>
      <c r="H132" s="141" t="str">
        <f>IF(H$27&lt;&gt;"",VLOOKUP(H130*1000000,'Mead-Elevation-Area'!$B$5:$H$689,7),"")</f>
        <v/>
      </c>
      <c r="I132" s="141" t="str">
        <f>IF(I$27&lt;&gt;"",VLOOKUP(I130*1000000,'Mead-Elevation-Area'!$B$5:$H$689,7),"")</f>
        <v/>
      </c>
      <c r="J132" s="141" t="str">
        <f>IF(J$27&lt;&gt;"",VLOOKUP(J130*1000000,'Mead-Elevation-Area'!$B$5:$H$689,7),"")</f>
        <v/>
      </c>
      <c r="K132" s="141" t="str">
        <f>IF(K$27&lt;&gt;"",VLOOKUP(K130*1000000,'Mead-Elevation-Area'!$B$5:$H$689,7),"")</f>
        <v/>
      </c>
      <c r="L132" s="141" t="str">
        <f>IF(L$27&lt;&gt;"",VLOOKUP(L130*1000000,'Mead-Elevation-Area'!$B$5:$H$689,7),"")</f>
        <v/>
      </c>
    </row>
    <row r="133" spans="1:14" x14ac:dyDescent="0.35">
      <c r="A133" s="1" t="s">
        <v>319</v>
      </c>
      <c r="B133" s="1"/>
    </row>
    <row r="134" spans="1:14" x14ac:dyDescent="0.35">
      <c r="A134" s="32" t="s">
        <v>320</v>
      </c>
      <c r="B134" s="1"/>
      <c r="C134" s="14" t="str">
        <f>IF(C$27&lt;&gt;"",-C129+C37+C27-C61-VLOOKUP(C37*1000000,'Powell-Elevation-Area'!$B$5:$D$689,3)*$B$21/1000000,"")</f>
        <v/>
      </c>
      <c r="D134" s="14" t="str">
        <f>IF(D$27&lt;&gt;"",-D129+D37+D27-D61-VLOOKUP(D37*1000000,'Powell-Elevation-Area'!$B$5:$D$689,3)*$B$21/1000000,"")</f>
        <v/>
      </c>
      <c r="E134" s="14" t="str">
        <f>IF(E$27&lt;&gt;"",-E129+E37+E27-E61-VLOOKUP(E37*1000000,'Powell-Elevation-Area'!$B$5:$D$689,3)*$B$21/1000000,"")</f>
        <v/>
      </c>
      <c r="F134" s="14" t="str">
        <f>IF(F$27&lt;&gt;"",-F129+F37+F27-F61-VLOOKUP(F37*1000000,'Powell-Elevation-Area'!$B$5:$D$689,3)*$B$21/1000000,"")</f>
        <v/>
      </c>
      <c r="G134" s="14" t="str">
        <f>IF(G$27&lt;&gt;"",-G129+G37+G27-G61-VLOOKUP(G37*1000000,'Powell-Elevation-Area'!$B$5:$D$689,3)*$B$21/1000000,"")</f>
        <v/>
      </c>
      <c r="H134" s="14" t="str">
        <f>IF(H$27&lt;&gt;"",-H129+H37+H27-H61-VLOOKUP(H37*1000000,'Powell-Elevation-Area'!$B$5:$D$689,3)*$B$21/1000000,"")</f>
        <v/>
      </c>
      <c r="I134" s="14" t="str">
        <f>IF(I$27&lt;&gt;"",-I129+I37+I27-I61-VLOOKUP(I37*1000000,'Powell-Elevation-Area'!$B$5:$D$689,3)*$B$21/1000000,"")</f>
        <v/>
      </c>
      <c r="J134" s="14" t="str">
        <f>IF(J$27&lt;&gt;"",-J129+J37+J27-J61-VLOOKUP(J37*1000000,'Powell-Elevation-Area'!$B$5:$D$689,3)*$B$21/1000000,"")</f>
        <v/>
      </c>
      <c r="K134" s="14" t="str">
        <f>IF(K$27&lt;&gt;"",-K129+K37+K27-K61-VLOOKUP(K37*1000000,'Powell-Elevation-Area'!$B$5:$D$689,3)*$B$21/1000000,"")</f>
        <v/>
      </c>
      <c r="L134" s="14" t="str">
        <f>IF(L$27&lt;&gt;"",-L129+L37+L27-L61-VLOOKUP(L37*1000000,'Powell-Elevation-Area'!$B$5:$D$689,3)*$B$21/1000000,"")</f>
        <v/>
      </c>
      <c r="N134" t="s">
        <v>204</v>
      </c>
    </row>
    <row r="135" spans="1:14" x14ac:dyDescent="0.35">
      <c r="A135" s="32" t="s">
        <v>327</v>
      </c>
      <c r="B135" s="1"/>
      <c r="C135" s="141" t="str">
        <f>IF(C$27&lt;&gt;"",VLOOKUP(C131,PowellReleaseTemperature!$A$5:$B$11,2),"")</f>
        <v/>
      </c>
      <c r="D135" s="141" t="str">
        <f>IF(D$27&lt;&gt;"",VLOOKUP(D131,PowellReleaseTemperature!$A$5:$B$11,2),"")</f>
        <v/>
      </c>
      <c r="E135" s="141" t="str">
        <f>IF(E$27&lt;&gt;"",VLOOKUP(E131,PowellReleaseTemperature!$A$5:$B$11,2),"")</f>
        <v/>
      </c>
      <c r="F135" s="141" t="str">
        <f>IF(F$27&lt;&gt;"",VLOOKUP(F131,PowellReleaseTemperature!$A$5:$B$11,2),"")</f>
        <v/>
      </c>
      <c r="G135" s="141" t="str">
        <f>IF(G$27&lt;&gt;"",VLOOKUP(G131,PowellReleaseTemperature!$A$5:$B$11,2),"")</f>
        <v/>
      </c>
      <c r="H135" s="141" t="str">
        <f>IF(H$27&lt;&gt;"",VLOOKUP(H131,PowellReleaseTemperature!$A$5:$B$11,2),"")</f>
        <v/>
      </c>
      <c r="I135" s="141" t="str">
        <f>IF(I$27&lt;&gt;"",VLOOKUP(I131,PowellReleaseTemperature!$A$5:$B$11,2),"")</f>
        <v/>
      </c>
      <c r="J135" s="141" t="str">
        <f>IF(J$27&lt;&gt;"",VLOOKUP(J131,PowellReleaseTemperature!$A$5:$B$11,2),"")</f>
        <v/>
      </c>
      <c r="K135" s="141" t="str">
        <f>IF(K$27&lt;&gt;"",VLOOKUP(K131,PowellReleaseTemperature!$A$5:$B$11,2),"")</f>
        <v/>
      </c>
      <c r="L135" s="141" t="str">
        <f>IF(L$27&lt;&gt;"",VLOOKUP(L131,PowellReleaseTemperature!$A$5:$B$11,2),"")</f>
        <v/>
      </c>
      <c r="N135" t="s">
        <v>326</v>
      </c>
    </row>
    <row r="136" spans="1:14" x14ac:dyDescent="0.35">
      <c r="C136" s="29"/>
    </row>
    <row r="137" spans="1:14" x14ac:dyDescent="0.35">
      <c r="A137" s="1" t="s">
        <v>125</v>
      </c>
      <c r="C137" s="12" t="str">
        <f>IF(C$27&lt;&gt;"",0.2,"")</f>
        <v/>
      </c>
      <c r="D137" s="12" t="str">
        <f t="shared" ref="D137:L137" si="53">IF(D$27&lt;&gt;"",0.2,"")</f>
        <v/>
      </c>
      <c r="E137" s="12" t="str">
        <f t="shared" si="53"/>
        <v/>
      </c>
      <c r="F137" s="12" t="str">
        <f t="shared" si="53"/>
        <v/>
      </c>
      <c r="G137" s="12" t="str">
        <f t="shared" si="53"/>
        <v/>
      </c>
      <c r="H137" s="12" t="str">
        <f t="shared" si="53"/>
        <v/>
      </c>
      <c r="I137" s="12" t="str">
        <f t="shared" si="53"/>
        <v/>
      </c>
      <c r="J137" s="12" t="str">
        <f t="shared" si="53"/>
        <v/>
      </c>
      <c r="K137" s="12" t="str">
        <f t="shared" si="53"/>
        <v/>
      </c>
      <c r="L137" s="12" t="str">
        <f t="shared" si="53"/>
        <v/>
      </c>
    </row>
    <row r="138" spans="1:14" x14ac:dyDescent="0.35">
      <c r="A138" t="s">
        <v>126</v>
      </c>
      <c r="C138" s="14" t="str">
        <f t="shared" ref="C138:L138" si="54">IF(C$27&lt;&gt;"",C115+C137,"")</f>
        <v/>
      </c>
      <c r="D138" s="14" t="str">
        <f t="shared" si="54"/>
        <v/>
      </c>
      <c r="E138" s="14" t="str">
        <f t="shared" si="54"/>
        <v/>
      </c>
      <c r="F138" s="14" t="str">
        <f t="shared" si="54"/>
        <v/>
      </c>
      <c r="G138" s="14" t="str">
        <f t="shared" si="54"/>
        <v/>
      </c>
      <c r="H138" s="14" t="str">
        <f t="shared" si="54"/>
        <v/>
      </c>
      <c r="I138" s="14" t="str">
        <f t="shared" si="54"/>
        <v/>
      </c>
      <c r="J138" s="14" t="str">
        <f t="shared" si="54"/>
        <v/>
      </c>
      <c r="K138" s="14" t="str">
        <f t="shared" si="54"/>
        <v/>
      </c>
      <c r="L138" s="14" t="str">
        <f t="shared" si="54"/>
        <v/>
      </c>
    </row>
    <row r="140" spans="1:14" x14ac:dyDescent="0.35">
      <c r="D140" s="18"/>
    </row>
  </sheetData>
  <mergeCells count="9">
    <mergeCell ref="C9:G9"/>
    <mergeCell ref="C10:G10"/>
    <mergeCell ref="C11:G11"/>
    <mergeCell ref="A3:G3"/>
    <mergeCell ref="C4:G4"/>
    <mergeCell ref="C5:G5"/>
    <mergeCell ref="C6:G6"/>
    <mergeCell ref="C7:G7"/>
    <mergeCell ref="C8:G8"/>
  </mergeCells>
  <conditionalFormatting sqref="D61">
    <cfRule type="cellIs" dxfId="288" priority="65" operator="greaterThan">
      <formula>$D$60</formula>
    </cfRule>
  </conditionalFormatting>
  <conditionalFormatting sqref="C61">
    <cfRule type="cellIs" dxfId="287" priority="63" operator="greaterThan">
      <formula>$C$60</formula>
    </cfRule>
  </conditionalFormatting>
  <conditionalFormatting sqref="E61">
    <cfRule type="cellIs" dxfId="286" priority="61" operator="greaterThan">
      <formula>$E$60</formula>
    </cfRule>
  </conditionalFormatting>
  <conditionalFormatting sqref="F61">
    <cfRule type="cellIs" dxfId="285" priority="60" operator="greaterThan">
      <formula>$F$60</formula>
    </cfRule>
  </conditionalFormatting>
  <conditionalFormatting sqref="G61">
    <cfRule type="cellIs" dxfId="284" priority="59" operator="greaterThan">
      <formula>$G$60</formula>
    </cfRule>
  </conditionalFormatting>
  <conditionalFormatting sqref="H61">
    <cfRule type="cellIs" dxfId="283" priority="58" operator="greaterThan">
      <formula>$H$60</formula>
    </cfRule>
  </conditionalFormatting>
  <conditionalFormatting sqref="I61">
    <cfRule type="cellIs" dxfId="282" priority="57" operator="greaterThan">
      <formula>$I$60</formula>
    </cfRule>
  </conditionalFormatting>
  <conditionalFormatting sqref="J61">
    <cfRule type="cellIs" dxfId="281" priority="56" operator="greaterThan">
      <formula>$J$60</formula>
    </cfRule>
  </conditionalFormatting>
  <conditionalFormatting sqref="K61">
    <cfRule type="cellIs" dxfId="280" priority="55" operator="greaterThan">
      <formula>$K$60</formula>
    </cfRule>
  </conditionalFormatting>
  <conditionalFormatting sqref="L61">
    <cfRule type="cellIs" dxfId="279" priority="54" operator="greaterThan">
      <formula>$L$60</formula>
    </cfRule>
  </conditionalFormatting>
  <conditionalFormatting sqref="C69">
    <cfRule type="cellIs" dxfId="278" priority="46" operator="greaterThan">
      <formula>$C$68</formula>
    </cfRule>
  </conditionalFormatting>
  <conditionalFormatting sqref="D69">
    <cfRule type="cellIs" dxfId="277" priority="45" operator="greaterThan">
      <formula>$D$68</formula>
    </cfRule>
  </conditionalFormatting>
  <conditionalFormatting sqref="E69">
    <cfRule type="cellIs" dxfId="276" priority="44" operator="greaterThan">
      <formula>$E$68</formula>
    </cfRule>
  </conditionalFormatting>
  <conditionalFormatting sqref="F69">
    <cfRule type="cellIs" dxfId="275" priority="43" operator="greaterThan">
      <formula>$F$68</formula>
    </cfRule>
  </conditionalFormatting>
  <conditionalFormatting sqref="G69">
    <cfRule type="cellIs" dxfId="274" priority="42" operator="greaterThan">
      <formula>$G$68</formula>
    </cfRule>
  </conditionalFormatting>
  <conditionalFormatting sqref="H69">
    <cfRule type="cellIs" dxfId="273" priority="41" operator="greaterThan">
      <formula>$H$68</formula>
    </cfRule>
  </conditionalFormatting>
  <conditionalFormatting sqref="I69">
    <cfRule type="cellIs" dxfId="272" priority="40" operator="greaterThan">
      <formula>$I$68</formula>
    </cfRule>
  </conditionalFormatting>
  <conditionalFormatting sqref="J69">
    <cfRule type="cellIs" dxfId="271" priority="39" operator="greaterThan">
      <formula>$J$68</formula>
    </cfRule>
  </conditionalFormatting>
  <conditionalFormatting sqref="K69">
    <cfRule type="cellIs" dxfId="270" priority="38" operator="greaterThan">
      <formula>$K$68</formula>
    </cfRule>
  </conditionalFormatting>
  <conditionalFormatting sqref="L69">
    <cfRule type="cellIs" dxfId="269" priority="37" operator="greaterThan">
      <formula>$L$68</formula>
    </cfRule>
  </conditionalFormatting>
  <conditionalFormatting sqref="C77">
    <cfRule type="cellIs" dxfId="268" priority="36" operator="greaterThan">
      <formula>$C$76</formula>
    </cfRule>
  </conditionalFormatting>
  <conditionalFormatting sqref="D77">
    <cfRule type="cellIs" dxfId="267" priority="35" operator="greaterThan">
      <formula>$D$76</formula>
    </cfRule>
  </conditionalFormatting>
  <conditionalFormatting sqref="E77">
    <cfRule type="cellIs" dxfId="266" priority="34" operator="greaterThan">
      <formula>$E$76</formula>
    </cfRule>
  </conditionalFormatting>
  <conditionalFormatting sqref="F77">
    <cfRule type="cellIs" dxfId="265" priority="33" operator="greaterThan">
      <formula>$F$76</formula>
    </cfRule>
  </conditionalFormatting>
  <conditionalFormatting sqref="G77">
    <cfRule type="cellIs" dxfId="264" priority="32" operator="greaterThan">
      <formula>$G$76</formula>
    </cfRule>
  </conditionalFormatting>
  <conditionalFormatting sqref="H77">
    <cfRule type="cellIs" dxfId="263" priority="31" operator="greaterThan">
      <formula>$H$76</formula>
    </cfRule>
  </conditionalFormatting>
  <conditionalFormatting sqref="I77">
    <cfRule type="cellIs" dxfId="262" priority="30" operator="greaterThan">
      <formula>$I$76</formula>
    </cfRule>
  </conditionalFormatting>
  <conditionalFormatting sqref="J77">
    <cfRule type="cellIs" dxfId="261" priority="29" operator="greaterThan">
      <formula>$J$76</formula>
    </cfRule>
  </conditionalFormatting>
  <conditionalFormatting sqref="K77">
    <cfRule type="cellIs" dxfId="260" priority="28" operator="greaterThan">
      <formula>$K$76</formula>
    </cfRule>
  </conditionalFormatting>
  <conditionalFormatting sqref="L77">
    <cfRule type="cellIs" dxfId="259" priority="27" operator="greaterThan">
      <formula>$L$76</formula>
    </cfRule>
  </conditionalFormatting>
  <conditionalFormatting sqref="C85:L85">
    <cfRule type="cellIs" dxfId="258" priority="26" operator="greaterThan">
      <formula>$C$84</formula>
    </cfRule>
  </conditionalFormatting>
  <conditionalFormatting sqref="C93">
    <cfRule type="cellIs" dxfId="257" priority="25" operator="greaterThan">
      <formula>$C$92</formula>
    </cfRule>
  </conditionalFormatting>
  <conditionalFormatting sqref="D93">
    <cfRule type="cellIs" dxfId="256" priority="24" operator="greaterThan">
      <formula>$D$92</formula>
    </cfRule>
  </conditionalFormatting>
  <conditionalFormatting sqref="E93">
    <cfRule type="cellIs" dxfId="255" priority="23" operator="greaterThan">
      <formula>$E$92</formula>
    </cfRule>
  </conditionalFormatting>
  <conditionalFormatting sqref="F93">
    <cfRule type="cellIs" dxfId="254" priority="22" operator="greaterThan">
      <formula>$F$92</formula>
    </cfRule>
  </conditionalFormatting>
  <conditionalFormatting sqref="G93">
    <cfRule type="cellIs" dxfId="253" priority="21" operator="greaterThan">
      <formula>$G$92</formula>
    </cfRule>
  </conditionalFormatting>
  <conditionalFormatting sqref="H93">
    <cfRule type="cellIs" dxfId="252" priority="20" operator="greaterThan">
      <formula>$H$92</formula>
    </cfRule>
  </conditionalFormatting>
  <conditionalFormatting sqref="I93">
    <cfRule type="cellIs" dxfId="251" priority="19" operator="greaterThan">
      <formula>$I$92</formula>
    </cfRule>
  </conditionalFormatting>
  <conditionalFormatting sqref="J93">
    <cfRule type="cellIs" dxfId="250" priority="18" operator="greaterThan">
      <formula>$J$92</formula>
    </cfRule>
  </conditionalFormatting>
  <conditionalFormatting sqref="K93">
    <cfRule type="cellIs" dxfId="249" priority="17" operator="greaterThan">
      <formula>$K$92</formula>
    </cfRule>
  </conditionalFormatting>
  <conditionalFormatting sqref="L93">
    <cfRule type="cellIs" dxfId="248" priority="16" operator="greaterThan">
      <formula>$L$92</formula>
    </cfRule>
  </conditionalFormatting>
  <conditionalFormatting sqref="C101">
    <cfRule type="cellIs" dxfId="247" priority="15" operator="greaterThan">
      <formula>$C$100</formula>
    </cfRule>
  </conditionalFormatting>
  <conditionalFormatting sqref="D101">
    <cfRule type="cellIs" dxfId="246" priority="14" operator="greaterThan">
      <formula>$D$100</formula>
    </cfRule>
  </conditionalFormatting>
  <conditionalFormatting sqref="E101">
    <cfRule type="cellIs" dxfId="245" priority="13" operator="greaterThan">
      <formula>$E$100</formula>
    </cfRule>
  </conditionalFormatting>
  <conditionalFormatting sqref="F101">
    <cfRule type="cellIs" dxfId="244" priority="12" operator="greaterThan">
      <formula>$F$100</formula>
    </cfRule>
  </conditionalFormatting>
  <conditionalFormatting sqref="G101">
    <cfRule type="cellIs" dxfId="243" priority="11" operator="greaterThan">
      <formula>$G$100</formula>
    </cfRule>
  </conditionalFormatting>
  <conditionalFormatting sqref="H101">
    <cfRule type="cellIs" dxfId="242" priority="10" operator="greaterThan">
      <formula>$H$100</formula>
    </cfRule>
  </conditionalFormatting>
  <conditionalFormatting sqref="I101">
    <cfRule type="cellIs" dxfId="241" priority="9" operator="greaterThan">
      <formula>$I$100</formula>
    </cfRule>
  </conditionalFormatting>
  <conditionalFormatting sqref="J101">
    <cfRule type="cellIs" dxfId="240" priority="8" operator="greaterThan">
      <formula>$J$100</formula>
    </cfRule>
  </conditionalFormatting>
  <conditionalFormatting sqref="K101">
    <cfRule type="cellIs" dxfId="239" priority="7" operator="greaterThan">
      <formula>$K$100</formula>
    </cfRule>
  </conditionalFormatting>
  <conditionalFormatting sqref="L101">
    <cfRule type="cellIs" dxfId="238" priority="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4" id="{07F73B66-D5D7-48E3-BFE3-C46D62AE35E1}">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2" id="{51856275-C67A-494D-8999-32968763714F}">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3" id="{4FC82413-8CA6-466F-8356-7250FF84B1BB}">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2" id="{FDDA2E27-322E-4C79-B2F5-7BE490B384FB}">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1" id="{96C410E2-B353-4698-9148-E6950E845021}">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0" id="{076B8B40-27EB-4BF0-A0F6-AE944250E01E}">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49" id="{155B0F52-6A5A-4A97-8BD5-7BD71A1714FE}">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48" id="{13B7F938-E2C6-4199-8B29-F5536AD5A30B}">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47" id="{51E4A980-1527-411E-A50F-D74691EC0B73}">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5" id="{ED783948-1DED-4ABD-BB55-606211B77056}">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 operator="equal" id="{ED1512ED-AF62-472F-81FA-A51F7C495E63}">
            <xm:f>PowellReleaseTemperature!$B$7</xm:f>
            <x14:dxf>
              <font>
                <color auto="1"/>
              </font>
              <fill>
                <patternFill>
                  <bgColor rgb="FFFF0000"/>
                </patternFill>
              </fill>
            </x14:dxf>
          </x14:cfRule>
          <x14:cfRule type="cellIs" priority="2" operator="equal" id="{6B5030BE-4A63-4258-A1F0-74BFEEB3C65D}">
            <xm:f>PowellReleaseTemperature!$B$8</xm:f>
            <x14:dxf>
              <font>
                <color rgb="FF9C0006"/>
              </font>
              <fill>
                <patternFill>
                  <bgColor rgb="FFFFC7CE"/>
                </patternFill>
              </fill>
            </x14:dxf>
          </x14:cfRule>
          <x14:cfRule type="cellIs" priority="3" operator="equal" id="{58F5EB0F-83BE-4CDE-B4EB-6B187F5B9833}">
            <xm:f>PowellReleaseTemperature!$B$9</xm:f>
            <x14:dxf>
              <font>
                <color auto="1"/>
              </font>
              <fill>
                <patternFill>
                  <bgColor theme="4" tint="0.39994506668294322"/>
                </patternFill>
              </fill>
            </x14:dxf>
          </x14:cfRule>
          <x14:cfRule type="cellIs" priority="4" operator="equal" id="{FA739986-B770-42B3-9D58-DE2A4C2A124D}">
            <xm:f>PowellReleaseTemperature!$B$10</xm:f>
            <x14:dxf>
              <font>
                <color auto="1"/>
              </font>
              <fill>
                <patternFill>
                  <bgColor theme="8" tint="-0.499984740745262"/>
                </patternFill>
              </fill>
            </x14:dxf>
          </x14:cfRule>
          <xm:sqref>C135:L135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0"/>
  <sheetViews>
    <sheetView topLeftCell="A121" zoomScale="150" zoomScaleNormal="150" workbookViewId="0">
      <selection activeCell="N134" sqref="N134:N135"/>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32" t="s">
        <v>152</v>
      </c>
      <c r="B3" s="132"/>
      <c r="C3" s="132"/>
      <c r="D3" s="132"/>
      <c r="E3" s="132"/>
      <c r="F3" s="132"/>
      <c r="G3" s="132"/>
      <c r="H3" s="73"/>
      <c r="I3" s="73"/>
      <c r="J3" s="73"/>
      <c r="K3" s="73"/>
    </row>
    <row r="4" spans="1:11" x14ac:dyDescent="0.35">
      <c r="A4" s="59" t="s">
        <v>38</v>
      </c>
      <c r="B4" s="59" t="s">
        <v>42</v>
      </c>
      <c r="C4" s="133" t="s">
        <v>43</v>
      </c>
      <c r="D4" s="134"/>
      <c r="E4" s="134"/>
      <c r="F4" s="134"/>
      <c r="G4" s="135"/>
    </row>
    <row r="5" spans="1:11" x14ac:dyDescent="0.35">
      <c r="A5" s="74" t="s">
        <v>51</v>
      </c>
      <c r="B5" s="74"/>
      <c r="C5" s="136"/>
      <c r="D5" s="136"/>
      <c r="E5" s="136"/>
      <c r="F5" s="136"/>
      <c r="G5" s="136"/>
    </row>
    <row r="6" spans="1:11" x14ac:dyDescent="0.35">
      <c r="A6" s="72" t="s">
        <v>39</v>
      </c>
      <c r="B6" s="72" t="s">
        <v>156</v>
      </c>
      <c r="C6" s="130" t="s">
        <v>200</v>
      </c>
      <c r="D6" s="130"/>
      <c r="E6" s="130"/>
      <c r="F6" s="130"/>
      <c r="G6" s="130"/>
    </row>
    <row r="7" spans="1:11" x14ac:dyDescent="0.35">
      <c r="A7" s="72" t="s">
        <v>40</v>
      </c>
      <c r="B7" s="72" t="s">
        <v>156</v>
      </c>
      <c r="C7" s="130" t="s">
        <v>199</v>
      </c>
      <c r="D7" s="130"/>
      <c r="E7" s="130"/>
      <c r="F7" s="130"/>
      <c r="G7" s="130"/>
    </row>
    <row r="8" spans="1:11" x14ac:dyDescent="0.35">
      <c r="A8" s="72" t="s">
        <v>41</v>
      </c>
      <c r="B8" s="72" t="s">
        <v>156</v>
      </c>
      <c r="C8" s="130" t="s">
        <v>201</v>
      </c>
      <c r="D8" s="130"/>
      <c r="E8" s="130"/>
      <c r="F8" s="130"/>
      <c r="G8" s="130"/>
    </row>
    <row r="9" spans="1:11" x14ac:dyDescent="0.35">
      <c r="A9" s="72" t="s">
        <v>148</v>
      </c>
      <c r="B9" s="72" t="s">
        <v>156</v>
      </c>
      <c r="C9" s="130" t="s">
        <v>154</v>
      </c>
      <c r="D9" s="130"/>
      <c r="E9" s="130"/>
      <c r="F9" s="130"/>
      <c r="G9" s="130"/>
    </row>
    <row r="10" spans="1:11" x14ac:dyDescent="0.35">
      <c r="A10" s="72" t="s">
        <v>160</v>
      </c>
      <c r="B10" s="72" t="s">
        <v>156</v>
      </c>
      <c r="C10" s="131" t="s">
        <v>187</v>
      </c>
      <c r="D10" s="131"/>
      <c r="E10" s="131"/>
      <c r="F10" s="131"/>
      <c r="G10" s="131"/>
    </row>
    <row r="11" spans="1:11" x14ac:dyDescent="0.35">
      <c r="A11" s="72"/>
      <c r="B11" s="72"/>
      <c r="C11" s="131"/>
      <c r="D11" s="131"/>
      <c r="E11" s="131"/>
      <c r="F11" s="131"/>
      <c r="G11" s="131"/>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20" t="s">
        <v>157</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v>11</v>
      </c>
      <c r="D27" s="45">
        <v>9</v>
      </c>
      <c r="E27" s="45">
        <v>8.5</v>
      </c>
      <c r="F27" s="45">
        <v>8.5</v>
      </c>
      <c r="G27" s="45">
        <v>8.5</v>
      </c>
      <c r="H27" s="45"/>
      <c r="I27" s="45"/>
      <c r="J27" s="45"/>
      <c r="K27" s="45"/>
      <c r="L27" s="45"/>
    </row>
    <row r="28" spans="1:14" x14ac:dyDescent="0.35">
      <c r="A28" s="1" t="s">
        <v>121</v>
      </c>
      <c r="B28" s="1"/>
      <c r="C28" s="12">
        <f>IF(C$27&lt;&gt;"",0.8,"")</f>
        <v>0.8</v>
      </c>
      <c r="D28" s="12">
        <f t="shared" ref="D28:L28" si="0">IF(D$27&lt;&gt;"",0.8,"")</f>
        <v>0.8</v>
      </c>
      <c r="E28" s="12">
        <f t="shared" si="0"/>
        <v>0.8</v>
      </c>
      <c r="F28" s="12">
        <f t="shared" si="0"/>
        <v>0.8</v>
      </c>
      <c r="G28" s="12">
        <f t="shared" si="0"/>
        <v>0.8</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f>IF(C$27&lt;&gt;"",SUM(B22:C22),"")</f>
        <v>21.1</v>
      </c>
      <c r="D29" s="14">
        <f ca="1">IF(D$27&lt;&gt;"",C127,"")</f>
        <v>19.278102320000027</v>
      </c>
      <c r="E29" s="14">
        <f t="shared" ref="E29:L29" ca="1" si="1">IF(E$27&lt;&gt;"",D127,"")</f>
        <v>16.611442566000605</v>
      </c>
      <c r="F29" s="14">
        <f t="shared" ca="1" si="1"/>
        <v>14.515209246000605</v>
      </c>
      <c r="G29" s="14">
        <f t="shared" ca="1" si="1"/>
        <v>13.887864038000608</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f>IF(OR(C$27="",$A30=""),"",B30)</f>
        <v>5.0734237499999999</v>
      </c>
      <c r="D30" s="14">
        <f ca="1">IF(OR(D$27="",$A30=""),"",C121)</f>
        <v>3.2233582945981318</v>
      </c>
      <c r="E30" s="14">
        <f t="shared" ref="E30:L30" ca="1" si="3">IF(OR(E$27="",$A30=""),"",D121)</f>
        <v>1.2474557698953324</v>
      </c>
      <c r="F30" s="14">
        <f t="shared" ca="1" si="3"/>
        <v>1.0607975732377293</v>
      </c>
      <c r="G30" s="14">
        <f t="shared" ca="1" si="3"/>
        <v>0.46332738043578137</v>
      </c>
      <c r="H30" s="14" t="str">
        <f t="shared" si="3"/>
        <v/>
      </c>
      <c r="I30" s="14" t="str">
        <f t="shared" si="3"/>
        <v/>
      </c>
      <c r="J30" s="14" t="str">
        <f t="shared" si="3"/>
        <v/>
      </c>
      <c r="K30" s="14" t="str">
        <f t="shared" si="3"/>
        <v/>
      </c>
      <c r="L30" s="14" t="str">
        <f t="shared" si="3"/>
        <v/>
      </c>
      <c r="N30" t="s">
        <v>180</v>
      </c>
    </row>
    <row r="31" spans="1:14" x14ac:dyDescent="0.35">
      <c r="A31" t="str">
        <f t="shared" si="2"/>
        <v xml:space="preserve">    Lower Basin Balance</v>
      </c>
      <c r="B31" s="53">
        <f>C22-C24-B32</f>
        <v>4.2614069999999993</v>
      </c>
      <c r="C31" s="14">
        <f t="shared" ref="C31:C35" si="4">IF(OR(C$27="",$A31=""),"",B31)</f>
        <v>4.2614069999999993</v>
      </c>
      <c r="D31" s="14">
        <f t="shared" ref="D31:L31" ca="1" si="5">IF(OR(D$27="",$A31=""),"",C122)</f>
        <v>4.3506684655908359</v>
      </c>
      <c r="E31" s="14">
        <f t="shared" ca="1" si="5"/>
        <v>3.4182393515752318</v>
      </c>
      <c r="F31" s="14">
        <f t="shared" ca="1" si="5"/>
        <v>1.7144613702462808</v>
      </c>
      <c r="G31" s="14">
        <f t="shared" ca="1" si="5"/>
        <v>1.7797333190881321</v>
      </c>
      <c r="H31" s="14" t="str">
        <f t="shared" si="5"/>
        <v/>
      </c>
      <c r="I31" s="14" t="str">
        <f t="shared" si="5"/>
        <v/>
      </c>
      <c r="J31" s="14" t="str">
        <f t="shared" si="5"/>
        <v/>
      </c>
      <c r="K31" s="14" t="str">
        <f t="shared" si="5"/>
        <v/>
      </c>
      <c r="L31" s="14" t="str">
        <f t="shared" si="5"/>
        <v/>
      </c>
      <c r="N31" t="s">
        <v>177</v>
      </c>
    </row>
    <row r="32" spans="1:14" x14ac:dyDescent="0.35">
      <c r="A32" t="str">
        <f t="shared" si="2"/>
        <v xml:space="preserve">    Mexico Balance</v>
      </c>
      <c r="B32" s="69">
        <v>0.17399999999999999</v>
      </c>
      <c r="C32" s="57">
        <f t="shared" si="4"/>
        <v>0.17399999999999999</v>
      </c>
      <c r="D32" s="57">
        <f t="shared" ref="D32:L32" ca="1" si="6">IF(OR(D$27="",$A32=""),"",C123)</f>
        <v>0.11290630981105854</v>
      </c>
      <c r="E32" s="57">
        <f t="shared" ca="1" si="6"/>
        <v>0.35457819453003792</v>
      </c>
      <c r="F32" s="57">
        <f t="shared" ca="1" si="6"/>
        <v>0.14878105251659535</v>
      </c>
      <c r="G32" s="57">
        <f t="shared" ca="1" si="6"/>
        <v>5.3634088476694597E-2</v>
      </c>
      <c r="H32" s="14" t="str">
        <f t="shared" si="6"/>
        <v/>
      </c>
      <c r="I32" s="14" t="str">
        <f t="shared" si="6"/>
        <v/>
      </c>
      <c r="J32" s="14" t="str">
        <f t="shared" si="6"/>
        <v/>
      </c>
      <c r="K32" s="14" t="str">
        <f t="shared" si="6"/>
        <v/>
      </c>
      <c r="L32" s="14" t="str">
        <f t="shared" si="6"/>
        <v/>
      </c>
      <c r="N32" t="s">
        <v>176</v>
      </c>
    </row>
    <row r="33" spans="1:14" x14ac:dyDescent="0.35">
      <c r="A33" t="str">
        <f t="shared" si="2"/>
        <v xml:space="preserve">    Mohave &amp; Havasu Evap &amp; ET Balance</v>
      </c>
      <c r="B33" s="54">
        <v>0</v>
      </c>
      <c r="C33" s="14">
        <f t="shared" si="4"/>
        <v>0</v>
      </c>
      <c r="D33" s="14">
        <f t="shared" ref="D33:L33" ca="1" si="7">IF(OR(D$27="",$A33=""),"",C124)</f>
        <v>0</v>
      </c>
      <c r="E33" s="14">
        <f t="shared" ca="1" si="7"/>
        <v>0</v>
      </c>
      <c r="F33" s="14">
        <f t="shared" ca="1" si="7"/>
        <v>0</v>
      </c>
      <c r="G33" s="14">
        <f t="shared" ca="1" si="7"/>
        <v>0</v>
      </c>
      <c r="H33" s="14" t="str">
        <f t="shared" si="7"/>
        <v/>
      </c>
      <c r="I33" s="14" t="str">
        <f t="shared" si="7"/>
        <v/>
      </c>
      <c r="J33" s="14" t="str">
        <f t="shared" si="7"/>
        <v/>
      </c>
      <c r="K33" s="14" t="str">
        <f t="shared" si="7"/>
        <v/>
      </c>
      <c r="L33" s="14" t="str">
        <f t="shared" si="7"/>
        <v/>
      </c>
    </row>
    <row r="34" spans="1:14" x14ac:dyDescent="0.35">
      <c r="A34" t="str">
        <f t="shared" si="2"/>
        <v xml:space="preserve">    Shared, Reserve Balance</v>
      </c>
      <c r="B34" s="53">
        <f>SUM(B24:C24)</f>
        <v>11.59116925</v>
      </c>
      <c r="C34" s="14">
        <f t="shared" si="4"/>
        <v>11.59116925</v>
      </c>
      <c r="D34" s="14">
        <f t="shared" ref="D34:L34" ca="1" si="8">IF(OR(D$27="",$A34=""),"",C125)</f>
        <v>11.59116925</v>
      </c>
      <c r="E34" s="14">
        <f t="shared" ca="1" si="8"/>
        <v>11.59116925</v>
      </c>
      <c r="F34" s="14">
        <f t="shared" ca="1" si="8"/>
        <v>11.59116925</v>
      </c>
      <c r="G34" s="14">
        <f t="shared" ca="1" si="8"/>
        <v>11.59116925</v>
      </c>
      <c r="H34" s="14" t="str">
        <f t="shared" si="8"/>
        <v/>
      </c>
      <c r="I34" s="14" t="str">
        <f t="shared" si="8"/>
        <v/>
      </c>
      <c r="J34" s="14" t="str">
        <f t="shared" si="8"/>
        <v/>
      </c>
      <c r="K34" s="14" t="str">
        <f t="shared" si="8"/>
        <v/>
      </c>
      <c r="L34" s="14" t="str">
        <f t="shared" si="8"/>
        <v/>
      </c>
      <c r="N34" t="s">
        <v>179</v>
      </c>
    </row>
    <row r="35" spans="1:14" x14ac:dyDescent="0.35">
      <c r="A35" t="str">
        <f t="shared" si="2"/>
        <v/>
      </c>
      <c r="B35" s="54"/>
      <c r="C35" s="14" t="str">
        <f t="shared" si="4"/>
        <v/>
      </c>
      <c r="D35" s="14" t="str">
        <f t="shared" ref="D35:L35" si="9">IF(OR(D$27="",$A35=""),"",C126)</f>
        <v/>
      </c>
      <c r="E35" s="14" t="str">
        <f t="shared" si="9"/>
        <v/>
      </c>
      <c r="F35" s="14" t="str">
        <f t="shared" si="9"/>
        <v/>
      </c>
      <c r="G35" s="14" t="str">
        <f t="shared" si="9"/>
        <v/>
      </c>
      <c r="H35" s="14" t="str">
        <f t="shared" si="9"/>
        <v/>
      </c>
      <c r="I35" s="14" t="str">
        <f t="shared" si="9"/>
        <v/>
      </c>
      <c r="J35" s="14" t="str">
        <f t="shared" si="9"/>
        <v/>
      </c>
      <c r="K35" s="14" t="str">
        <f t="shared" si="9"/>
        <v/>
      </c>
      <c r="L35" s="14" t="str">
        <f t="shared" si="9"/>
        <v/>
      </c>
    </row>
    <row r="36" spans="1:14" x14ac:dyDescent="0.35">
      <c r="A36" s="1" t="s">
        <v>205</v>
      </c>
      <c r="C36"/>
    </row>
    <row r="37" spans="1:14" x14ac:dyDescent="0.35">
      <c r="A37" t="s">
        <v>113</v>
      </c>
      <c r="C37" s="14">
        <f>IF(C$27&lt;&gt;"",B22,"")</f>
        <v>11</v>
      </c>
      <c r="D37" s="14">
        <f ca="1">IF(D$27&lt;&gt;"",C129,"")</f>
        <v>9.6390511600000135</v>
      </c>
      <c r="E37" s="14">
        <f t="shared" ref="E37:G37" ca="1" si="10">IF(E$27&lt;&gt;"",D129,"")</f>
        <v>10.797437667900393</v>
      </c>
      <c r="F37" s="14">
        <f t="shared" ca="1" si="10"/>
        <v>12.337927859100514</v>
      </c>
      <c r="G37" s="14">
        <f t="shared" ca="1" si="10"/>
        <v>6.9439320190003038</v>
      </c>
      <c r="H37" s="14" t="str">
        <f t="shared" ref="H37:L38" si="11">IF(H27&lt;&gt;"",$B37*H$29,"")</f>
        <v/>
      </c>
      <c r="I37" s="14" t="str">
        <f t="shared" si="11"/>
        <v/>
      </c>
      <c r="J37" s="14" t="str">
        <f t="shared" si="11"/>
        <v/>
      </c>
      <c r="K37" s="14" t="str">
        <f t="shared" si="11"/>
        <v/>
      </c>
      <c r="L37" s="14" t="str">
        <f t="shared" si="11"/>
        <v/>
      </c>
    </row>
    <row r="38" spans="1:14" x14ac:dyDescent="0.35">
      <c r="A38" t="s">
        <v>114</v>
      </c>
      <c r="C38" s="14">
        <f>IF(C$27&lt;&gt;"",C22,"")</f>
        <v>10.1</v>
      </c>
      <c r="D38" s="14">
        <f ca="1">IF(D$27&lt;&gt;"",C130,"")</f>
        <v>9.6390511600000135</v>
      </c>
      <c r="E38" s="14">
        <f t="shared" ref="E38:G38" ca="1" si="12">IF(E$27&lt;&gt;"",D130,"")</f>
        <v>5.8140048981002117</v>
      </c>
      <c r="F38" s="14">
        <f t="shared" ca="1" si="12"/>
        <v>2.1772813869000913</v>
      </c>
      <c r="G38" s="14">
        <f t="shared" ca="1" si="12"/>
        <v>6.9439320190003038</v>
      </c>
      <c r="H38" s="14" t="str">
        <f t="shared" si="11"/>
        <v/>
      </c>
      <c r="I38" s="14" t="str">
        <f t="shared" si="11"/>
        <v/>
      </c>
      <c r="J38" s="14" t="str">
        <f t="shared" si="11"/>
        <v/>
      </c>
      <c r="K38" s="14" t="str">
        <f t="shared" si="11"/>
        <v/>
      </c>
      <c r="L38" s="14" t="str">
        <f t="shared" si="11"/>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0.96665975399942705</v>
      </c>
      <c r="E39" s="14">
        <f ca="1">IF(E$27&lt;&gt;"",VLOOKUP(E37*1000000,'Powell-Elevation-Area'!$B$5:$D$689,3)*$B$21/1000000 + VLOOKUP(E38*1000000,'Mead-Elevation-Area'!$B$5:$D$676,3)*$C$21/1000000,"")</f>
        <v>0.89623332000000011</v>
      </c>
      <c r="F39" s="14">
        <f ca="1">IF(F$27&lt;&gt;"",VLOOKUP(F37*1000000,'Powell-Elevation-Area'!$B$5:$D$689,3)*$B$21/1000000 + VLOOKUP(F38*1000000,'Mead-Elevation-Area'!$B$5:$D$676,3)*$C$21/1000000,"")</f>
        <v>0.82734520800000011</v>
      </c>
      <c r="G39" s="14">
        <f ca="1">IF(G$27&lt;&gt;"",VLOOKUP(G37*1000000,'Powell-Elevation-Area'!$B$5:$D$689,3)*$B$21/1000000 + VLOOKUP(G38*1000000,'Mead-Elevation-Area'!$B$5:$D$676,3)*$C$21/1000000,"")</f>
        <v>0.79838537009939992</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3">IF(A6="","","    "&amp;A6&amp;" Share")</f>
        <v xml:space="preserve">    Upper Basin Share</v>
      </c>
      <c r="B40" s="1"/>
      <c r="C40" s="14">
        <f>IF(OR(C$27="",$A40=""),"",C$39*C30/C$29)</f>
        <v>0.24571184643515467</v>
      </c>
      <c r="D40" s="14">
        <f t="shared" ref="D40:L40" ca="1" si="14">IF(OR(D$27="",$A40=""),"",D$39*D30/D$29)</f>
        <v>0.16162849871772225</v>
      </c>
      <c r="E40" s="14">
        <f t="shared" ca="1" si="14"/>
        <v>6.7303692726526643E-2</v>
      </c>
      <c r="F40" s="14">
        <f t="shared" ca="1" si="14"/>
        <v>6.0463874409394637E-2</v>
      </c>
      <c r="G40" s="14">
        <f t="shared" ca="1" si="14"/>
        <v>2.6635759184726444E-2</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ref="C41:L45" si="15">IF(OR(C$27="",$A41=""),"",C$39*C31/C$29)</f>
        <v>0.20638492544244763</v>
      </c>
      <c r="D41" s="14">
        <f t="shared" ca="1" si="15"/>
        <v>0.21815508803052647</v>
      </c>
      <c r="E41" s="14">
        <f t="shared" ca="1" si="15"/>
        <v>0.18442347739787537</v>
      </c>
      <c r="F41" s="14">
        <f t="shared" ca="1" si="15"/>
        <v>9.7721732765595648E-2</v>
      </c>
      <c r="G41" s="14">
        <f t="shared" ca="1" si="15"/>
        <v>0.10231328883624181</v>
      </c>
      <c r="H41" s="14" t="str">
        <f t="shared" si="15"/>
        <v/>
      </c>
      <c r="I41" s="14" t="str">
        <f t="shared" si="15"/>
        <v/>
      </c>
      <c r="J41" s="14" t="str">
        <f t="shared" si="15"/>
        <v/>
      </c>
      <c r="K41" s="14" t="str">
        <f t="shared" si="15"/>
        <v/>
      </c>
      <c r="L41" s="14" t="str">
        <f t="shared" si="15"/>
        <v/>
      </c>
    </row>
    <row r="42" spans="1:14" x14ac:dyDescent="0.35">
      <c r="A42" t="str">
        <f t="shared" si="13"/>
        <v xml:space="preserve">    Mexico Share</v>
      </c>
      <c r="B42" s="1"/>
      <c r="C42" s="14">
        <f t="shared" si="15"/>
        <v>8.4270235222746598E-3</v>
      </c>
      <c r="D42" s="14">
        <f t="shared" ca="1" si="15"/>
        <v>5.6614486143541122E-3</v>
      </c>
      <c r="E42" s="14">
        <f t="shared" ca="1" si="15"/>
        <v>1.9130475346776102E-2</v>
      </c>
      <c r="F42" s="14">
        <f t="shared" ca="1" si="15"/>
        <v>8.4802973732340491E-3</v>
      </c>
      <c r="G42" s="14">
        <f t="shared" ca="1" si="15"/>
        <v>3.0833158692540408E-3</v>
      </c>
      <c r="H42" s="14" t="str">
        <f t="shared" si="15"/>
        <v/>
      </c>
      <c r="I42" s="14" t="str">
        <f t="shared" si="15"/>
        <v/>
      </c>
      <c r="J42" s="14" t="str">
        <f t="shared" si="15"/>
        <v/>
      </c>
      <c r="K42" s="14" t="str">
        <f t="shared" si="15"/>
        <v/>
      </c>
      <c r="L42" s="14" t="str">
        <f t="shared" si="15"/>
        <v/>
      </c>
    </row>
    <row r="43" spans="1:14" x14ac:dyDescent="0.35">
      <c r="A43" t="str">
        <f t="shared" si="13"/>
        <v xml:space="preserve">    Mohave &amp; Havasu Evap &amp; ET Share</v>
      </c>
      <c r="B43" s="1"/>
      <c r="C43" s="14">
        <f t="shared" si="15"/>
        <v>0</v>
      </c>
      <c r="D43" s="14">
        <f t="shared" ca="1" si="15"/>
        <v>0</v>
      </c>
      <c r="E43" s="14">
        <f t="shared" ca="1" si="15"/>
        <v>0</v>
      </c>
      <c r="F43" s="14">
        <f t="shared" ca="1" si="15"/>
        <v>0</v>
      </c>
      <c r="G43" s="14">
        <f t="shared" ca="1" si="15"/>
        <v>0</v>
      </c>
      <c r="H43" s="14" t="str">
        <f t="shared" si="15"/>
        <v/>
      </c>
      <c r="I43" s="14" t="str">
        <f t="shared" si="15"/>
        <v/>
      </c>
      <c r="J43" s="14" t="str">
        <f t="shared" si="15"/>
        <v/>
      </c>
      <c r="K43" s="14" t="str">
        <f t="shared" si="15"/>
        <v/>
      </c>
      <c r="L43" s="14" t="str">
        <f t="shared" si="15"/>
        <v/>
      </c>
    </row>
    <row r="44" spans="1:14" x14ac:dyDescent="0.35">
      <c r="A44" t="str">
        <f t="shared" si="13"/>
        <v xml:space="preserve">    Shared, Reserve Share</v>
      </c>
      <c r="B44" s="1"/>
      <c r="C44" s="14">
        <f t="shared" si="15"/>
        <v>0.56137388460009618</v>
      </c>
      <c r="D44" s="14">
        <f t="shared" ca="1" si="15"/>
        <v>0.58121471863682417</v>
      </c>
      <c r="E44" s="14">
        <f t="shared" ca="1" si="15"/>
        <v>0.62537567452882192</v>
      </c>
      <c r="F44" s="14">
        <f t="shared" ca="1" si="15"/>
        <v>0.66067930345177583</v>
      </c>
      <c r="G44" s="14">
        <f t="shared" ca="1" si="15"/>
        <v>0.6663530062091777</v>
      </c>
      <c r="H44" s="14" t="str">
        <f t="shared" si="15"/>
        <v/>
      </c>
      <c r="I44" s="14" t="str">
        <f t="shared" si="15"/>
        <v/>
      </c>
      <c r="J44" s="14" t="str">
        <f t="shared" si="15"/>
        <v/>
      </c>
      <c r="K44" s="14" t="str">
        <f t="shared" si="15"/>
        <v/>
      </c>
      <c r="L44" s="14" t="str">
        <f t="shared" si="15"/>
        <v/>
      </c>
    </row>
    <row r="45" spans="1:14" x14ac:dyDescent="0.35">
      <c r="A45" t="str">
        <f t="shared" si="13"/>
        <v/>
      </c>
      <c r="B45" s="1"/>
      <c r="C45" s="14" t="str">
        <f t="shared" si="15"/>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272</v>
      </c>
      <c r="B46" s="98"/>
      <c r="C46" s="50">
        <f>IF(C$27&lt;&gt;"",1.5-0.21/9/2-VLOOKUP(C38,LowerBasinCuts!$C$5:$P$13,13),"")</f>
        <v>1.4473333333333334</v>
      </c>
      <c r="D46" s="50">
        <f ca="1">IF(D$27&lt;&gt;"",1.5-0.21/9/2-VLOOKUP(D38,LowerBasinCuts!$C$5:$P$13,13),"")</f>
        <v>1.4473333333333334</v>
      </c>
      <c r="E46" s="50">
        <f ca="1">IF(E$27&lt;&gt;"",1.5-0.21/9/2-VLOOKUP(E38,LowerBasinCuts!$C$5:$P$13,13),"")</f>
        <v>1.2133333333333334</v>
      </c>
      <c r="F46" s="50">
        <f ca="1">IF(F$27&lt;&gt;"",1.5-0.21/9/2-VLOOKUP(F38,LowerBasinCuts!$C$5:$P$13,13),"")</f>
        <v>1.2133333333333334</v>
      </c>
      <c r="G46" s="50">
        <f ca="1">IF(G$27&lt;&gt;"",1.5-0.21/9/2-VLOOKUP(G38,LowerBasinCuts!$C$5:$P$13,13),"")</f>
        <v>1.3343333333333334</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189</v>
      </c>
      <c r="B47" s="1"/>
      <c r="C47" s="52">
        <f>IF(C27="","",SUM(C27:C28))</f>
        <v>11.8</v>
      </c>
      <c r="D47" s="52">
        <f t="shared" ref="D47:L47" si="16">IF(D27="","",SUM(D27:D28))</f>
        <v>9.8000000000000007</v>
      </c>
      <c r="E47" s="52">
        <f t="shared" si="16"/>
        <v>9.3000000000000007</v>
      </c>
      <c r="F47" s="52">
        <f t="shared" si="16"/>
        <v>9.3000000000000007</v>
      </c>
      <c r="G47" s="52">
        <f t="shared" si="16"/>
        <v>9.3000000000000007</v>
      </c>
      <c r="H47" s="52" t="str">
        <f t="shared" si="16"/>
        <v/>
      </c>
      <c r="I47" s="52" t="str">
        <f t="shared" si="16"/>
        <v/>
      </c>
      <c r="J47" s="52" t="str">
        <f t="shared" si="16"/>
        <v/>
      </c>
      <c r="K47" s="52" t="str">
        <f t="shared" si="16"/>
        <v/>
      </c>
      <c r="L47" s="52" t="str">
        <f t="shared" si="16"/>
        <v/>
      </c>
      <c r="M47" s="46"/>
      <c r="N47" s="46"/>
    </row>
    <row r="48" spans="1:14" x14ac:dyDescent="0.35">
      <c r="A48" t="str">
        <f>IF(A6="","","    To "&amp;A6)</f>
        <v xml:space="preserve">    To Upper Basin</v>
      </c>
      <c r="B48" s="24" t="s">
        <v>147</v>
      </c>
      <c r="C48" s="14">
        <f>IF(OR(C$27="",$A48=""),"",IF(C$47&gt;SUM(C49:C53),C$47-SUM(C49:C53),0))</f>
        <v>2.4956463910332864</v>
      </c>
      <c r="D48" s="14">
        <f t="shared" ref="D48:L48" ca="1" si="17">IF(OR(D$27="",$A48=""),"",IF(D$47&gt;SUM(D49:D53),D$47-SUM(D49:D53),0))</f>
        <v>0.48572597401492246</v>
      </c>
      <c r="E48" s="14">
        <f t="shared" ca="1" si="17"/>
        <v>8.064549606892335E-2</v>
      </c>
      <c r="F48" s="14">
        <f t="shared" ca="1" si="17"/>
        <v>6.2993681607446561E-2</v>
      </c>
      <c r="G48" s="14">
        <f t="shared" ca="1" si="17"/>
        <v>0</v>
      </c>
      <c r="H48" s="14" t="str">
        <f t="shared" si="17"/>
        <v/>
      </c>
      <c r="I48" s="14" t="str">
        <f t="shared" si="17"/>
        <v/>
      </c>
      <c r="J48" s="14" t="str">
        <f t="shared" si="17"/>
        <v/>
      </c>
      <c r="K48" s="14" t="str">
        <f t="shared" si="17"/>
        <v/>
      </c>
      <c r="L48" s="14" t="str">
        <f t="shared" si="17"/>
        <v/>
      </c>
      <c r="M48" s="29"/>
      <c r="N48" s="29"/>
    </row>
    <row r="49" spans="1:14" x14ac:dyDescent="0.35">
      <c r="A49" t="str">
        <f t="shared" ref="A49:A53" si="18">IF(A7="","","    To "&amp;A7)</f>
        <v xml:space="preserve">    To Lower Basin</v>
      </c>
      <c r="B49" s="44">
        <f>7.5</f>
        <v>7.5</v>
      </c>
      <c r="C49" s="14">
        <f>IF(OR(C$27="",$A49=""),"",C28-C52/2-C51-C50/2+MIN($B49,C27-C50/2-C52/2))</f>
        <v>6.6956463910332857</v>
      </c>
      <c r="D49" s="14">
        <f t="shared" ref="D49:G49" ca="1" si="19">IF(OR(D$27="",$A49=""),"",D28-D52/2-D51-D50/2+MIN($B49,D27-D50/2-D52/2))</f>
        <v>6.6857259740149217</v>
      </c>
      <c r="E49" s="14">
        <f t="shared" ca="1" si="19"/>
        <v>6.7806454960689226</v>
      </c>
      <c r="F49" s="14">
        <f t="shared" ca="1" si="19"/>
        <v>6.7629936816074459</v>
      </c>
      <c r="G49" s="14">
        <f t="shared" ca="1" si="19"/>
        <v>6.6993136604574888</v>
      </c>
      <c r="H49" s="14" t="str">
        <f>IF(OR(H$27="",$A49=""),"",H28-H52/2-H51-H50/2+MIN($B49,H27-H50/2-H52/2))</f>
        <v/>
      </c>
      <c r="I49" s="14" t="str">
        <f t="shared" ref="I49" si="20">IF(OR(I$27="",$A49=""),"",I28-I52/2-I51-I50/2+MIN($B49,I27-I50/2-I52/2))</f>
        <v/>
      </c>
      <c r="J49" s="14" t="str">
        <f t="shared" ref="J49" si="21">IF(OR(J$27="",$A49=""),"",J28-J52/2-J51-J50/2+MIN($B49,J27-J50/2-J52/2))</f>
        <v/>
      </c>
      <c r="K49" s="14" t="str">
        <f t="shared" ref="K49" si="22">IF(OR(K$27="",$A49=""),"",K28-K52/2-K51-K50/2+MIN($B49,K27-K50/2-K52/2))</f>
        <v/>
      </c>
      <c r="L49" s="14" t="str">
        <f t="shared" ref="L49" si="23">IF(OR(L$27="",$A49=""),"",L28-L52/2-L51-L50/2+MIN($B49,L27-L50/2-L52/2))</f>
        <v/>
      </c>
      <c r="M49" s="29"/>
      <c r="N49" s="29"/>
    </row>
    <row r="50" spans="1:14" x14ac:dyDescent="0.35">
      <c r="A50" t="str">
        <f t="shared" si="18"/>
        <v xml:space="preserve">    To Mexico</v>
      </c>
      <c r="B50" s="44" t="s">
        <v>191</v>
      </c>
      <c r="C50" s="14">
        <f>IF(OR(C$27="",$A50=""),"",IF(C$47&gt;SUM(C51:C52,C46),C46,C$47-SUM(C51:C52)))</f>
        <v>1.4473333333333334</v>
      </c>
      <c r="D50" s="14">
        <f t="shared" ref="D50:L50" ca="1" si="24">IF(OR(D$27="",$A50=""),"",IF(D$47&gt;SUM(D51:D52,D46),D46,D$47-SUM(D51:D52)))</f>
        <v>1.4473333333333334</v>
      </c>
      <c r="E50" s="14">
        <f t="shared" ca="1" si="24"/>
        <v>1.2133333333333334</v>
      </c>
      <c r="F50" s="14">
        <f t="shared" ca="1" si="24"/>
        <v>1.2133333333333334</v>
      </c>
      <c r="G50" s="14">
        <f t="shared" ca="1" si="24"/>
        <v>1.3343333333333334</v>
      </c>
      <c r="H50" s="14" t="str">
        <f t="shared" si="24"/>
        <v/>
      </c>
      <c r="I50" s="14" t="str">
        <f t="shared" si="24"/>
        <v/>
      </c>
      <c r="J50" s="14" t="str">
        <f t="shared" si="24"/>
        <v/>
      </c>
      <c r="K50" s="14" t="str">
        <f t="shared" si="24"/>
        <v/>
      </c>
      <c r="L50" s="14" t="str">
        <f t="shared" si="24"/>
        <v/>
      </c>
      <c r="M50" s="29"/>
      <c r="N50" s="29"/>
    </row>
    <row r="51" spans="1:14" x14ac:dyDescent="0.35">
      <c r="A51" t="str">
        <f t="shared" si="18"/>
        <v xml:space="preserve">    To Mohave &amp; Havasu Evap &amp; ET</v>
      </c>
      <c r="B51" s="44">
        <v>0.6</v>
      </c>
      <c r="C51" s="14">
        <f>IF(OR(C$27="",$A51=""),"",IF(C$47&gt;C52+$B$51,$B51,C$47-C52))</f>
        <v>0.6</v>
      </c>
      <c r="D51" s="14">
        <f t="shared" ref="D51:L51" ca="1" si="25">IF(OR(D$27="",$A51=""),"",IF(D$47&gt;D52+$B$51,$B51,D$47-D52))</f>
        <v>0.6</v>
      </c>
      <c r="E51" s="14">
        <f t="shared" ca="1" si="25"/>
        <v>0.6</v>
      </c>
      <c r="F51" s="14">
        <f t="shared" ca="1" si="25"/>
        <v>0.6</v>
      </c>
      <c r="G51" s="14">
        <f t="shared" ca="1" si="25"/>
        <v>0.6</v>
      </c>
      <c r="H51" s="14" t="str">
        <f t="shared" si="25"/>
        <v/>
      </c>
      <c r="I51" s="14" t="str">
        <f t="shared" si="25"/>
        <v/>
      </c>
      <c r="J51" s="14" t="str">
        <f t="shared" si="25"/>
        <v/>
      </c>
      <c r="K51" s="14" t="str">
        <f t="shared" si="25"/>
        <v/>
      </c>
      <c r="L51" s="14" t="str">
        <f t="shared" si="25"/>
        <v/>
      </c>
      <c r="M51" s="29"/>
      <c r="N51" s="29"/>
    </row>
    <row r="52" spans="1:14" x14ac:dyDescent="0.35">
      <c r="A52" t="str">
        <f t="shared" si="18"/>
        <v xml:space="preserve">    To Shared, Reserve</v>
      </c>
      <c r="B52" s="44" t="s">
        <v>190</v>
      </c>
      <c r="C52" s="14">
        <f>IF(OR(C$27="",$A52=""),"",IF(C$47&gt;C44,C44,C$47))</f>
        <v>0.56137388460009618</v>
      </c>
      <c r="D52" s="14">
        <f t="shared" ref="D52:L52" ca="1" si="26">IF(OR(D$27="",$A52=""),"",IF(D$47&gt;D44,D44,D$47))</f>
        <v>0.58121471863682417</v>
      </c>
      <c r="E52" s="14">
        <f t="shared" ca="1" si="26"/>
        <v>0.62537567452882192</v>
      </c>
      <c r="F52" s="14">
        <f t="shared" ca="1" si="26"/>
        <v>0.66067930345177583</v>
      </c>
      <c r="G52" s="14">
        <f t="shared" ca="1" si="26"/>
        <v>0.6663530062091777</v>
      </c>
      <c r="H52" s="14" t="str">
        <f t="shared" si="26"/>
        <v/>
      </c>
      <c r="I52" s="14" t="str">
        <f t="shared" si="26"/>
        <v/>
      </c>
      <c r="J52" s="14" t="str">
        <f t="shared" si="26"/>
        <v/>
      </c>
      <c r="K52" s="14" t="str">
        <f t="shared" si="26"/>
        <v/>
      </c>
      <c r="L52" s="14" t="str">
        <f t="shared" si="26"/>
        <v/>
      </c>
      <c r="M52" s="29"/>
      <c r="N52" s="29"/>
    </row>
    <row r="53" spans="1:14" x14ac:dyDescent="0.35">
      <c r="A53" t="str">
        <f t="shared" si="18"/>
        <v/>
      </c>
      <c r="B53" s="44"/>
      <c r="C53" s="57" t="str">
        <f t="shared" ref="C53:L53" si="27">IF(OR(C$27="",$A53=""),"",IF(C$27&gt;$B53,$B53,C$27))</f>
        <v/>
      </c>
      <c r="D53" s="57" t="str">
        <f t="shared" si="27"/>
        <v/>
      </c>
      <c r="E53" s="57" t="str">
        <f t="shared" si="27"/>
        <v/>
      </c>
      <c r="F53" s="57" t="str">
        <f t="shared" si="27"/>
        <v/>
      </c>
      <c r="G53" s="57" t="str">
        <f t="shared" si="27"/>
        <v/>
      </c>
      <c r="H53" s="57" t="str">
        <f t="shared" si="27"/>
        <v/>
      </c>
      <c r="I53" s="57" t="str">
        <f t="shared" si="27"/>
        <v/>
      </c>
      <c r="J53" s="57" t="str">
        <f t="shared" si="27"/>
        <v/>
      </c>
      <c r="K53" s="57" t="str">
        <f t="shared" si="27"/>
        <v/>
      </c>
      <c r="L53" s="57" t="str">
        <f t="shared" si="27"/>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v>0.6</v>
      </c>
      <c r="D57" s="25">
        <v>-0.6</v>
      </c>
      <c r="E57" s="25">
        <v>-1.8</v>
      </c>
      <c r="F57" s="25">
        <f>-F73</f>
        <v>-0.1</v>
      </c>
      <c r="G57" s="25"/>
      <c r="H57" s="25"/>
      <c r="I57" s="25"/>
      <c r="J57" s="25"/>
      <c r="K57" s="25"/>
      <c r="L57" s="25"/>
      <c r="M57" s="78">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76">
        <f>1000*C57</f>
        <v>600</v>
      </c>
      <c r="D58" s="76">
        <f>1000*D57</f>
        <v>-600</v>
      </c>
      <c r="E58" s="76">
        <f>-1.6*1000-0.2*1500</f>
        <v>-1900</v>
      </c>
      <c r="F58" s="25">
        <f>-F74</f>
        <v>-150</v>
      </c>
      <c r="G58" s="76"/>
      <c r="H58" s="76"/>
      <c r="I58" s="76"/>
      <c r="J58" s="76"/>
      <c r="K58" s="76"/>
      <c r="L58" s="76"/>
      <c r="M58" s="7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8">IF(OR(C$27="",$A59=""),"",C$112)</f>
        <v>0</v>
      </c>
      <c r="D59" s="78">
        <f t="shared" ca="1" si="28"/>
        <v>0</v>
      </c>
      <c r="E59" s="78">
        <f t="shared" ca="1" si="28"/>
        <v>5.5511151231257827E-17</v>
      </c>
      <c r="F59" s="78">
        <f t="shared" ca="1" si="28"/>
        <v>0</v>
      </c>
      <c r="G59" s="78">
        <f t="shared" ca="1" si="28"/>
        <v>0</v>
      </c>
      <c r="H59" s="78" t="str">
        <f t="shared" si="28"/>
        <v/>
      </c>
      <c r="I59" s="78" t="str">
        <f t="shared" si="28"/>
        <v/>
      </c>
      <c r="J59" s="78" t="str">
        <f t="shared" si="28"/>
        <v/>
      </c>
      <c r="K59" s="78" t="str">
        <f t="shared" si="28"/>
        <v/>
      </c>
      <c r="L59" s="78" t="str">
        <f t="shared" si="28"/>
        <v/>
      </c>
      <c r="M59" t="str">
        <f t="shared" si="28"/>
        <v/>
      </c>
      <c r="N59" t="str">
        <f>IF(A59="","","If non-zero, players need to change amount(s)")</f>
        <v>If non-zero, players need to change amount(s)</v>
      </c>
    </row>
    <row r="60" spans="1:14" x14ac:dyDescent="0.35">
      <c r="A60" s="1" t="str">
        <f>IF(A58="","","   Available Water [maf]")</f>
        <v xml:space="preserve">   Available Water [maf]</v>
      </c>
      <c r="C60" s="14">
        <f>IF(OR(C$27="",$A60=""),"",C30+C48-C40-C57)</f>
        <v>6.7233582945981318</v>
      </c>
      <c r="D60" s="14">
        <f t="shared" ref="D60:L60" ca="1" si="29">IF(OR(D$27="",$A60=""),"",D30+D48-D40-D57)</f>
        <v>4.1474557698953323</v>
      </c>
      <c r="E60" s="14">
        <f t="shared" ca="1" si="29"/>
        <v>3.0607975732377293</v>
      </c>
      <c r="F60" s="14">
        <f t="shared" ca="1" si="29"/>
        <v>1.1633273804357813</v>
      </c>
      <c r="G60" s="14">
        <f t="shared" ca="1" si="29"/>
        <v>0.43669162125105493</v>
      </c>
      <c r="H60" s="14" t="str">
        <f t="shared" si="29"/>
        <v/>
      </c>
      <c r="I60" s="14" t="str">
        <f t="shared" si="29"/>
        <v/>
      </c>
      <c r="J60" s="14" t="str">
        <f t="shared" si="29"/>
        <v/>
      </c>
      <c r="K60" s="14" t="str">
        <f t="shared" si="29"/>
        <v/>
      </c>
      <c r="L60" s="14" t="str">
        <f t="shared" si="29"/>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v>3.5</v>
      </c>
      <c r="D61" s="43">
        <v>2.9</v>
      </c>
      <c r="E61" s="43">
        <v>2</v>
      </c>
      <c r="F61" s="43">
        <v>0.7</v>
      </c>
      <c r="G61" s="43">
        <v>0.3</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3.2233582945981318</v>
      </c>
      <c r="D62" s="77">
        <f t="shared" ref="D62:L62" ca="1" si="30">IF(OR(D$27="",$A62=""),"",D60-D61)</f>
        <v>1.2474557698953324</v>
      </c>
      <c r="E62" s="77">
        <f t="shared" ca="1" si="30"/>
        <v>1.0607975732377293</v>
      </c>
      <c r="F62" s="77">
        <f t="shared" ca="1" si="30"/>
        <v>0.46332738043578137</v>
      </c>
      <c r="G62" s="77">
        <f t="shared" ca="1" si="30"/>
        <v>0.13669162125105494</v>
      </c>
      <c r="H62" s="77" t="str">
        <f t="shared" si="30"/>
        <v/>
      </c>
      <c r="I62" s="77" t="str">
        <f t="shared" si="30"/>
        <v/>
      </c>
      <c r="J62" s="77" t="str">
        <f t="shared" si="30"/>
        <v/>
      </c>
      <c r="K62" s="77" t="str">
        <f t="shared" si="30"/>
        <v/>
      </c>
      <c r="L62" s="77" t="str">
        <f t="shared" si="30"/>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f>-C57</f>
        <v>-0.6</v>
      </c>
      <c r="D65" s="25">
        <f t="shared" ref="D65" si="31">-D57</f>
        <v>0.6</v>
      </c>
      <c r="E65" s="25">
        <v>1.6</v>
      </c>
      <c r="F65" s="25"/>
      <c r="G65" s="25"/>
      <c r="H65" s="25"/>
      <c r="I65" s="25"/>
      <c r="J65" s="25"/>
      <c r="K65" s="25"/>
      <c r="L65" s="25"/>
      <c r="M65" s="78">
        <f>SUM(C65:L65)</f>
        <v>1.6</v>
      </c>
      <c r="N65" t="str">
        <f>IF(A65="","",N57)</f>
        <v>Add if multiple transactions, e.g.: 0.5 + 0.25</v>
      </c>
    </row>
    <row r="66" spans="1:14" x14ac:dyDescent="0.35">
      <c r="A66" s="32" t="str">
        <f>IF(A65="","","   Cash Intake(+) and Payments(-) [$ Mill]")</f>
        <v xml:space="preserve">   Cash Intake(+) and Payments(-) [$ Mill]</v>
      </c>
      <c r="C66" s="76">
        <f>-C58</f>
        <v>-600</v>
      </c>
      <c r="D66" s="76">
        <f t="shared" ref="D66" si="32">-D58</f>
        <v>600</v>
      </c>
      <c r="E66" s="76">
        <f>1000*E65</f>
        <v>1600</v>
      </c>
      <c r="F66" s="76"/>
      <c r="G66" s="76"/>
      <c r="H66" s="76"/>
      <c r="I66" s="76"/>
      <c r="J66" s="76"/>
      <c r="K66" s="76"/>
      <c r="L66" s="76"/>
      <c r="M66" s="75">
        <f>SUM(C66:L66)</f>
        <v>1600</v>
      </c>
      <c r="N66" t="str">
        <f t="shared" ref="N66:N70" si="33">IF(A66="","",N58)</f>
        <v>Add if multiple transactions, e.g.: $350*0.5 + $450*0.25</v>
      </c>
    </row>
    <row r="67" spans="1:14" x14ac:dyDescent="0.35">
      <c r="A67" s="32" t="str">
        <f>IF(A66="","","   Volume all players (should be zero)")</f>
        <v xml:space="preserve">   Volume all players (should be zero)</v>
      </c>
      <c r="C67" s="78">
        <f t="shared" ref="C67:M67" ca="1" si="34">IF(OR(C$27="",$A67=""),"",C$112)</f>
        <v>0</v>
      </c>
      <c r="D67" s="78">
        <f t="shared" ca="1" si="34"/>
        <v>0</v>
      </c>
      <c r="E67" s="78">
        <f t="shared" ca="1" si="34"/>
        <v>5.5511151231257827E-17</v>
      </c>
      <c r="F67" s="78">
        <f t="shared" ca="1" si="34"/>
        <v>0</v>
      </c>
      <c r="G67" s="78">
        <f t="shared" ca="1" si="34"/>
        <v>0</v>
      </c>
      <c r="H67" s="78" t="str">
        <f t="shared" si="34"/>
        <v/>
      </c>
      <c r="I67" s="78" t="str">
        <f t="shared" si="34"/>
        <v/>
      </c>
      <c r="J67" s="78" t="str">
        <f t="shared" si="34"/>
        <v/>
      </c>
      <c r="K67" s="78" t="str">
        <f t="shared" si="34"/>
        <v/>
      </c>
      <c r="L67" s="78" t="str">
        <f t="shared" si="34"/>
        <v/>
      </c>
      <c r="M67" t="str">
        <f t="shared" si="34"/>
        <v/>
      </c>
      <c r="N67" t="str">
        <f t="shared" si="33"/>
        <v>If non-zero, players need to change amount(s)</v>
      </c>
    </row>
    <row r="68" spans="1:14" x14ac:dyDescent="0.35">
      <c r="A68" s="1" t="str">
        <f>IF(A66="","","   Available Water [maf]")</f>
        <v xml:space="preserve">   Available Water [maf]</v>
      </c>
      <c r="C68" s="14">
        <f t="shared" ref="C68:L68" si="35">IF(OR(C$27="",$A68=""),"",C31+C49-C41-C65)</f>
        <v>11.350668465590836</v>
      </c>
      <c r="D68" s="14">
        <f t="shared" ca="1" si="35"/>
        <v>10.218239351575232</v>
      </c>
      <c r="E68" s="14">
        <f t="shared" ca="1" si="35"/>
        <v>8.4144613702462809</v>
      </c>
      <c r="F68" s="14">
        <f t="shared" ca="1" si="35"/>
        <v>8.3797333190881318</v>
      </c>
      <c r="G68" s="14">
        <f t="shared" ca="1" si="35"/>
        <v>8.3767336907093792</v>
      </c>
      <c r="H68" s="14" t="str">
        <f t="shared" si="35"/>
        <v/>
      </c>
      <c r="I68" s="14" t="str">
        <f t="shared" si="35"/>
        <v/>
      </c>
      <c r="J68" s="14" t="str">
        <f t="shared" si="35"/>
        <v/>
      </c>
      <c r="K68" s="14" t="str">
        <f t="shared" si="35"/>
        <v/>
      </c>
      <c r="L68" s="14" t="str">
        <f t="shared" si="35"/>
        <v/>
      </c>
      <c r="N68" t="str">
        <f t="shared" si="33"/>
        <v>Available water = Account Balance + Available Inflow - Evaporation + Sales - Purchases</v>
      </c>
    </row>
    <row r="69" spans="1:14" x14ac:dyDescent="0.35">
      <c r="A69" s="1" t="str">
        <f>IF(A68="","","   Account Withdraw [maf]")</f>
        <v xml:space="preserve">   Account Withdraw [maf]</v>
      </c>
      <c r="C69" s="43">
        <v>7</v>
      </c>
      <c r="D69" s="43">
        <v>6.8</v>
      </c>
      <c r="E69" s="43">
        <v>6.7</v>
      </c>
      <c r="F69" s="43">
        <v>6.6</v>
      </c>
      <c r="G69" s="43">
        <v>6.6</v>
      </c>
      <c r="H69" s="43"/>
      <c r="I69" s="43"/>
      <c r="J69" s="43"/>
      <c r="K69" s="43"/>
      <c r="L69" s="43"/>
      <c r="N69" t="str">
        <f t="shared" si="33"/>
        <v>Must be less than Available water</v>
      </c>
    </row>
    <row r="70" spans="1:14" x14ac:dyDescent="0.35">
      <c r="A70" s="32" t="str">
        <f>IF(A69="","","   End of Year Balance [maf]")</f>
        <v xml:space="preserve">   End of Year Balance [maf]</v>
      </c>
      <c r="C70" s="77">
        <f>IF(OR(C$27="",$A70=""),"",C68-C69)</f>
        <v>4.3506684655908359</v>
      </c>
      <c r="D70" s="77">
        <f t="shared" ref="D70:L70" ca="1" si="36">IF(OR(D$27="",$A70=""),"",D68-D69)</f>
        <v>3.4182393515752318</v>
      </c>
      <c r="E70" s="77">
        <f t="shared" ca="1" si="36"/>
        <v>1.7144613702462808</v>
      </c>
      <c r="F70" s="77">
        <f t="shared" ca="1" si="36"/>
        <v>1.7797333190881321</v>
      </c>
      <c r="G70" s="77">
        <f t="shared" ca="1" si="36"/>
        <v>1.7767336907093796</v>
      </c>
      <c r="H70" s="77" t="str">
        <f t="shared" si="36"/>
        <v/>
      </c>
      <c r="I70" s="77" t="str">
        <f t="shared" si="36"/>
        <v/>
      </c>
      <c r="J70" s="77" t="str">
        <f t="shared" si="36"/>
        <v/>
      </c>
      <c r="K70" s="77" t="str">
        <f t="shared" si="36"/>
        <v/>
      </c>
      <c r="L70" s="77" t="str">
        <f t="shared" si="36"/>
        <v/>
      </c>
      <c r="N70" t="str">
        <f t="shared" si="33"/>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v>0.2</v>
      </c>
      <c r="F73" s="25">
        <v>0.1</v>
      </c>
      <c r="G73" s="25"/>
      <c r="H73" s="25"/>
      <c r="I73" s="25"/>
      <c r="J73" s="25"/>
      <c r="K73" s="25"/>
      <c r="L73" s="25"/>
      <c r="M73" s="78">
        <f>SUM(C73:L73)</f>
        <v>0.30000000000000004</v>
      </c>
      <c r="N73" t="str">
        <f>IF(A73="","",N65)</f>
        <v>Add if multiple transactions, e.g.: 0.5 + 0.25</v>
      </c>
    </row>
    <row r="74" spans="1:14" x14ac:dyDescent="0.35">
      <c r="A74" s="32" t="str">
        <f>IF(A73="","","   Cash Intake(+) and Payments(-) [$ Mill]")</f>
        <v xml:space="preserve">   Cash Intake(+) and Payments(-) [$ Mill]</v>
      </c>
      <c r="C74" s="76"/>
      <c r="D74" s="76"/>
      <c r="E74" s="76">
        <f>1500*E73</f>
        <v>300</v>
      </c>
      <c r="F74" s="76">
        <f>1500*F73</f>
        <v>150</v>
      </c>
      <c r="G74" s="76"/>
      <c r="H74" s="76"/>
      <c r="I74" s="76"/>
      <c r="J74" s="76"/>
      <c r="K74" s="76"/>
      <c r="L74" s="76"/>
      <c r="M74" s="75">
        <f>SUM(C74:L74)</f>
        <v>450</v>
      </c>
      <c r="N74" t="str">
        <f t="shared" ref="N74:N78" si="37">IF(A74="","",N66)</f>
        <v>Add if multiple transactions, e.g.: $350*0.5 + $450*0.25</v>
      </c>
    </row>
    <row r="75" spans="1:14" x14ac:dyDescent="0.35">
      <c r="A75" s="32" t="str">
        <f>IF(A74="","","   Volume all players (should be zero)")</f>
        <v xml:space="preserve">   Volume all players (should be zero)</v>
      </c>
      <c r="C75" s="78">
        <f t="shared" ref="C75:M75" ca="1" si="38">IF(OR(C$27="",$A75=""),"",C$112)</f>
        <v>0</v>
      </c>
      <c r="D75" s="78">
        <f t="shared" ca="1" si="38"/>
        <v>0</v>
      </c>
      <c r="E75" s="78">
        <f t="shared" ca="1" si="38"/>
        <v>5.5511151231257827E-17</v>
      </c>
      <c r="F75" s="78">
        <f t="shared" ca="1" si="38"/>
        <v>0</v>
      </c>
      <c r="G75" s="78">
        <f t="shared" ca="1" si="38"/>
        <v>0</v>
      </c>
      <c r="H75" s="78" t="str">
        <f t="shared" si="38"/>
        <v/>
      </c>
      <c r="I75" s="78" t="str">
        <f t="shared" si="38"/>
        <v/>
      </c>
      <c r="J75" s="78" t="str">
        <f t="shared" si="38"/>
        <v/>
      </c>
      <c r="K75" s="78" t="str">
        <f t="shared" si="38"/>
        <v/>
      </c>
      <c r="L75" s="78" t="str">
        <f t="shared" si="38"/>
        <v/>
      </c>
      <c r="M75" t="str">
        <f t="shared" si="38"/>
        <v/>
      </c>
      <c r="N75" t="str">
        <f t="shared" si="37"/>
        <v>If non-zero, players need to change amount(s)</v>
      </c>
    </row>
    <row r="76" spans="1:14" x14ac:dyDescent="0.35">
      <c r="A76" s="1" t="str">
        <f>IF(A74="","","   Available Water [maf]")</f>
        <v xml:space="preserve">   Available Water [maf]</v>
      </c>
      <c r="C76" s="14">
        <f t="shared" ref="C76:L76" si="39">IF(OR(C$27="",$A76=""),"",C32+C50-C42-C73)</f>
        <v>1.6129063098110585</v>
      </c>
      <c r="D76" s="14">
        <f t="shared" ca="1" si="39"/>
        <v>1.5545781945300379</v>
      </c>
      <c r="E76" s="14">
        <f t="shared" ca="1" si="39"/>
        <v>1.3487810525165953</v>
      </c>
      <c r="F76" s="14">
        <f ca="1">IF(OR(F$27="",$A76=""),"",F32+F50-F42-F73)</f>
        <v>1.2536340884766946</v>
      </c>
      <c r="G76" s="14">
        <f t="shared" ca="1" si="39"/>
        <v>1.3848841059407739</v>
      </c>
      <c r="H76" s="14" t="str">
        <f t="shared" si="39"/>
        <v/>
      </c>
      <c r="I76" s="14" t="str">
        <f t="shared" si="39"/>
        <v/>
      </c>
      <c r="J76" s="14" t="str">
        <f t="shared" si="39"/>
        <v/>
      </c>
      <c r="K76" s="14" t="str">
        <f t="shared" si="39"/>
        <v/>
      </c>
      <c r="L76" s="14" t="str">
        <f t="shared" si="39"/>
        <v/>
      </c>
      <c r="N76" t="str">
        <f t="shared" si="37"/>
        <v>Available water = Account Balance + Available Inflow - Evaporation + Sales - Purchases</v>
      </c>
    </row>
    <row r="77" spans="1:14" x14ac:dyDescent="0.35">
      <c r="A77" s="1" t="str">
        <f>IF(A76="","","   Account Withdraw [maf]")</f>
        <v xml:space="preserve">   Account Withdraw [maf]</v>
      </c>
      <c r="C77" s="43">
        <v>1.5</v>
      </c>
      <c r="D77" s="43">
        <v>1.2</v>
      </c>
      <c r="E77" s="43">
        <v>1.2</v>
      </c>
      <c r="F77" s="43">
        <v>1.2</v>
      </c>
      <c r="G77" s="43">
        <v>1.2</v>
      </c>
      <c r="H77" s="43"/>
      <c r="I77" s="43"/>
      <c r="J77" s="43"/>
      <c r="K77" s="43"/>
      <c r="L77" s="43"/>
      <c r="N77" t="str">
        <f t="shared" si="37"/>
        <v>Must be less than Available water</v>
      </c>
    </row>
    <row r="78" spans="1:14" x14ac:dyDescent="0.35">
      <c r="A78" s="32" t="str">
        <f>IF(A77="","","   End of Year Balance [maf]")</f>
        <v xml:space="preserve">   End of Year Balance [maf]</v>
      </c>
      <c r="C78" s="77">
        <f>IF(OR(C$27="",$A78=""),"",C76-C77)</f>
        <v>0.11290630981105854</v>
      </c>
      <c r="D78" s="77">
        <f t="shared" ref="D78:L78" ca="1" si="40">IF(OR(D$27="",$A78=""),"",D76-D77)</f>
        <v>0.35457819453003792</v>
      </c>
      <c r="E78" s="77">
        <f t="shared" ca="1" si="40"/>
        <v>0.14878105251659535</v>
      </c>
      <c r="F78" s="77">
        <f t="shared" ca="1" si="40"/>
        <v>5.3634088476694597E-2</v>
      </c>
      <c r="G78" s="77">
        <f t="shared" ca="1" si="40"/>
        <v>0.18488410594077398</v>
      </c>
      <c r="H78" s="77" t="str">
        <f t="shared" si="40"/>
        <v/>
      </c>
      <c r="I78" s="77" t="str">
        <f t="shared" si="40"/>
        <v/>
      </c>
      <c r="J78" s="77" t="str">
        <f t="shared" si="40"/>
        <v/>
      </c>
      <c r="K78" s="77" t="str">
        <f t="shared" si="40"/>
        <v/>
      </c>
      <c r="L78" s="77" t="str">
        <f t="shared" si="40"/>
        <v/>
      </c>
      <c r="N78" t="str">
        <f t="shared" si="37"/>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41">IF(A82="","",N74)</f>
        <v>Add if multiple transactions, e.g.: $350*0.5 + $450*0.25</v>
      </c>
    </row>
    <row r="83" spans="1:14" x14ac:dyDescent="0.35">
      <c r="A83" s="32" t="str">
        <f>IF(A82="","","   Volume all players (should be zero)")</f>
        <v xml:space="preserve">   Volume all players (should be zero)</v>
      </c>
      <c r="C83" s="78">
        <f t="shared" ref="C83:M83" ca="1" si="42">IF(OR(C$27="",$A83=""),"",C$112)</f>
        <v>0</v>
      </c>
      <c r="D83" s="78">
        <f t="shared" ca="1" si="42"/>
        <v>0</v>
      </c>
      <c r="E83" s="78">
        <f t="shared" ca="1" si="42"/>
        <v>5.5511151231257827E-17</v>
      </c>
      <c r="F83" s="78">
        <f t="shared" ca="1" si="42"/>
        <v>0</v>
      </c>
      <c r="G83" s="78">
        <f t="shared" ca="1" si="42"/>
        <v>0</v>
      </c>
      <c r="H83" s="78" t="str">
        <f t="shared" si="42"/>
        <v/>
      </c>
      <c r="I83" s="78" t="str">
        <f t="shared" si="42"/>
        <v/>
      </c>
      <c r="J83" s="78" t="str">
        <f t="shared" si="42"/>
        <v/>
      </c>
      <c r="K83" s="78" t="str">
        <f t="shared" si="42"/>
        <v/>
      </c>
      <c r="L83" s="78" t="str">
        <f t="shared" si="42"/>
        <v/>
      </c>
      <c r="M83" t="str">
        <f t="shared" si="42"/>
        <v/>
      </c>
      <c r="N83" t="str">
        <f t="shared" si="41"/>
        <v>If non-zero, players need to change amount(s)</v>
      </c>
    </row>
    <row r="84" spans="1:14" x14ac:dyDescent="0.35">
      <c r="A84" s="1" t="str">
        <f>IF(A82="","","   Available Water [maf]")</f>
        <v xml:space="preserve">   Available Water [maf]</v>
      </c>
      <c r="C84" s="14">
        <f t="shared" ref="C84:L84" si="43">IF(OR(C$27="",$A84=""),"",C33+C51-C43-C81)</f>
        <v>0.6</v>
      </c>
      <c r="D84" s="14">
        <f t="shared" ca="1" si="43"/>
        <v>0.6</v>
      </c>
      <c r="E84" s="14">
        <f t="shared" ca="1" si="43"/>
        <v>0.6</v>
      </c>
      <c r="F84" s="14">
        <f t="shared" ca="1" si="43"/>
        <v>0.6</v>
      </c>
      <c r="G84" s="14">
        <f t="shared" ca="1" si="43"/>
        <v>0.6</v>
      </c>
      <c r="H84" s="14" t="str">
        <f t="shared" si="43"/>
        <v/>
      </c>
      <c r="I84" s="14" t="str">
        <f t="shared" si="43"/>
        <v/>
      </c>
      <c r="J84" s="14" t="str">
        <f t="shared" si="43"/>
        <v/>
      </c>
      <c r="K84" s="14" t="str">
        <f t="shared" si="43"/>
        <v/>
      </c>
      <c r="L84" s="14" t="str">
        <f t="shared" si="43"/>
        <v/>
      </c>
      <c r="N84" t="str">
        <f t="shared" si="41"/>
        <v>Available water = Account Balance + Available Inflow - Evaporation + Sales - Purchases</v>
      </c>
    </row>
    <row r="85" spans="1:14" x14ac:dyDescent="0.35">
      <c r="A85" s="1" t="str">
        <f>IF(A84="","","   Account Withdraw [maf]")</f>
        <v xml:space="preserve">   Account Withdraw [maf]</v>
      </c>
      <c r="C85" s="43">
        <f>C84</f>
        <v>0.6</v>
      </c>
      <c r="D85" s="43">
        <f t="shared" ref="D85:G85" ca="1" si="44">D84</f>
        <v>0.6</v>
      </c>
      <c r="E85" s="43">
        <f t="shared" ca="1" si="44"/>
        <v>0.6</v>
      </c>
      <c r="F85" s="43">
        <f t="shared" ca="1" si="44"/>
        <v>0.6</v>
      </c>
      <c r="G85" s="43">
        <f t="shared" ca="1" si="44"/>
        <v>0.6</v>
      </c>
      <c r="H85" s="43"/>
      <c r="I85" s="43"/>
      <c r="J85" s="43"/>
      <c r="K85" s="43"/>
      <c r="L85" s="43"/>
      <c r="N85" t="str">
        <f t="shared" si="41"/>
        <v>Must be less than Available water</v>
      </c>
    </row>
    <row r="86" spans="1:14" x14ac:dyDescent="0.35">
      <c r="A86" s="32" t="str">
        <f>IF(A85="","","   End of Year Balance [maf]")</f>
        <v xml:space="preserve">   End of Year Balance [maf]</v>
      </c>
      <c r="C86" s="77">
        <f>IF(OR(C$27="",$A86=""),"",C84-C85)</f>
        <v>0</v>
      </c>
      <c r="D86" s="77">
        <f t="shared" ref="D86" ca="1" si="45">IF(OR(D$27="",$A86=""),"",D84-D85)</f>
        <v>0</v>
      </c>
      <c r="E86" s="77">
        <f t="shared" ref="E86" ca="1" si="46">IF(OR(E$27="",$A86=""),"",E84-E85)</f>
        <v>0</v>
      </c>
      <c r="F86" s="77">
        <f t="shared" ref="F86" ca="1" si="47">IF(OR(F$27="",$A86=""),"",F84-F85)</f>
        <v>0</v>
      </c>
      <c r="G86" s="77">
        <f t="shared" ref="G86" ca="1" si="48">IF(OR(G$27="",$A86=""),"",G84-G85)</f>
        <v>0</v>
      </c>
      <c r="H86" s="77" t="str">
        <f t="shared" ref="H86" si="49">IF(OR(H$27="",$A86=""),"",H84-H85)</f>
        <v/>
      </c>
      <c r="I86" s="77" t="str">
        <f t="shared" ref="I86" si="50">IF(OR(I$27="",$A86=""),"",I84-I85)</f>
        <v/>
      </c>
      <c r="J86" s="77" t="str">
        <f t="shared" ref="J86" si="51">IF(OR(J$27="",$A86=""),"",J84-J85)</f>
        <v/>
      </c>
      <c r="K86" s="77" t="str">
        <f t="shared" ref="K86" si="52">IF(OR(K$27="",$A86=""),"",K84-K85)</f>
        <v/>
      </c>
      <c r="L86" s="77" t="str">
        <f t="shared" ref="L86" si="53">IF(OR(L$27="",$A86=""),"",L84-L85)</f>
        <v/>
      </c>
      <c r="N86" t="str">
        <f t="shared" si="41"/>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54">IF(A90="","",N82)</f>
        <v>Add if multiple transactions, e.g.: $350*0.5 + $450*0.25</v>
      </c>
    </row>
    <row r="91" spans="1:14" x14ac:dyDescent="0.35">
      <c r="A91" s="32" t="str">
        <f>IF(A90="","","   Volume all players (should be zero)")</f>
        <v xml:space="preserve">   Volume all players (should be zero)</v>
      </c>
      <c r="C91" s="78">
        <f t="shared" ref="C91:M91" ca="1" si="55">IF(OR(C$27="",$A91=""),"",C$112)</f>
        <v>0</v>
      </c>
      <c r="D91" s="78">
        <f t="shared" ca="1" si="55"/>
        <v>0</v>
      </c>
      <c r="E91" s="78">
        <f t="shared" ca="1" si="55"/>
        <v>5.5511151231257827E-17</v>
      </c>
      <c r="F91" s="78">
        <f t="shared" ca="1" si="55"/>
        <v>0</v>
      </c>
      <c r="G91" s="78">
        <f t="shared" ca="1" si="55"/>
        <v>0</v>
      </c>
      <c r="H91" s="78" t="str">
        <f t="shared" si="55"/>
        <v/>
      </c>
      <c r="I91" s="78" t="str">
        <f t="shared" si="55"/>
        <v/>
      </c>
      <c r="J91" s="78" t="str">
        <f t="shared" si="55"/>
        <v/>
      </c>
      <c r="K91" s="78" t="str">
        <f t="shared" si="55"/>
        <v/>
      </c>
      <c r="L91" s="78" t="str">
        <f t="shared" si="55"/>
        <v/>
      </c>
      <c r="M91" t="str">
        <f t="shared" si="55"/>
        <v/>
      </c>
      <c r="N91" t="str">
        <f t="shared" si="54"/>
        <v>If non-zero, players need to change amount(s)</v>
      </c>
    </row>
    <row r="92" spans="1:14" x14ac:dyDescent="0.35">
      <c r="A92" s="1" t="str">
        <f>IF(A90="","","   Available Water [maf]")</f>
        <v xml:space="preserve">   Available Water [maf]</v>
      </c>
      <c r="C92" s="14">
        <f t="shared" ref="C92:L92" si="56">IF(OR(C$27="",$A92=""),"",C34+C52-C44-C89)</f>
        <v>11.59116925</v>
      </c>
      <c r="D92" s="14">
        <f t="shared" ca="1" si="56"/>
        <v>11.59116925</v>
      </c>
      <c r="E92" s="14">
        <f t="shared" ca="1" si="56"/>
        <v>11.59116925</v>
      </c>
      <c r="F92" s="14">
        <f t="shared" ca="1" si="56"/>
        <v>11.59116925</v>
      </c>
      <c r="G92" s="14">
        <f t="shared" ca="1" si="56"/>
        <v>11.59116925</v>
      </c>
      <c r="H92" s="14" t="str">
        <f t="shared" si="56"/>
        <v/>
      </c>
      <c r="I92" s="14" t="str">
        <f t="shared" si="56"/>
        <v/>
      </c>
      <c r="J92" s="14" t="str">
        <f t="shared" si="56"/>
        <v/>
      </c>
      <c r="K92" s="14" t="str">
        <f t="shared" si="56"/>
        <v/>
      </c>
      <c r="L92" s="14" t="str">
        <f t="shared" si="56"/>
        <v/>
      </c>
      <c r="N92" t="str">
        <f t="shared" si="5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54"/>
        <v>Must be less than Available water</v>
      </c>
    </row>
    <row r="94" spans="1:14" x14ac:dyDescent="0.35">
      <c r="A94" s="32" t="str">
        <f>IF(A93="","","   End of Year Balance [maf]")</f>
        <v xml:space="preserve">   End of Year Balance [maf]</v>
      </c>
      <c r="C94" s="77">
        <f>IF(OR(C$27="",$A94=""),"",C92-C93)</f>
        <v>11.59116925</v>
      </c>
      <c r="D94" s="77">
        <f t="shared" ref="D94" ca="1" si="57">IF(OR(D$27="",$A94=""),"",D92-D93)</f>
        <v>11.59116925</v>
      </c>
      <c r="E94" s="77">
        <f t="shared" ref="E94" ca="1" si="58">IF(OR(E$27="",$A94=""),"",E92-E93)</f>
        <v>11.59116925</v>
      </c>
      <c r="F94" s="77">
        <f t="shared" ref="F94" ca="1" si="59">IF(OR(F$27="",$A94=""),"",F92-F93)</f>
        <v>11.59116925</v>
      </c>
      <c r="G94" s="77">
        <f t="shared" ref="G94" ca="1" si="60">IF(OR(G$27="",$A94=""),"",G92-G93)</f>
        <v>11.59116925</v>
      </c>
      <c r="H94" s="77" t="str">
        <f t="shared" ref="H94" si="61">IF(OR(H$27="",$A94=""),"",H92-H93)</f>
        <v/>
      </c>
      <c r="I94" s="77" t="str">
        <f t="shared" ref="I94" si="62">IF(OR(I$27="",$A94=""),"",I92-I93)</f>
        <v/>
      </c>
      <c r="J94" s="77" t="str">
        <f t="shared" ref="J94" si="63">IF(OR(J$27="",$A94=""),"",J92-J93)</f>
        <v/>
      </c>
      <c r="K94" s="77" t="str">
        <f t="shared" ref="K94" si="64">IF(OR(K$27="",$A94=""),"",K92-K93)</f>
        <v/>
      </c>
      <c r="L94" s="77" t="str">
        <f t="shared" ref="L94" si="65">IF(OR(L$27="",$A94=""),"",L92-L93)</f>
        <v/>
      </c>
      <c r="N94" t="str">
        <f t="shared" si="54"/>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66">IF(A98="","",N90)</f>
        <v/>
      </c>
    </row>
    <row r="99" spans="1:14" x14ac:dyDescent="0.35">
      <c r="A99" s="32" t="str">
        <f>IF(A98="","","   Volume all players (should be zero)")</f>
        <v/>
      </c>
      <c r="C99" s="78" t="str">
        <f t="shared" ref="C99:M99" si="67">IF(OR(C$27="",$A99=""),"",C$112)</f>
        <v/>
      </c>
      <c r="D99" s="78" t="str">
        <f t="shared" si="67"/>
        <v/>
      </c>
      <c r="E99" s="78" t="str">
        <f t="shared" si="67"/>
        <v/>
      </c>
      <c r="F99" s="78" t="str">
        <f t="shared" si="67"/>
        <v/>
      </c>
      <c r="G99" s="78" t="str">
        <f t="shared" si="67"/>
        <v/>
      </c>
      <c r="H99" s="78" t="str">
        <f t="shared" si="67"/>
        <v/>
      </c>
      <c r="I99" s="78" t="str">
        <f t="shared" si="67"/>
        <v/>
      </c>
      <c r="J99" s="78" t="str">
        <f t="shared" si="67"/>
        <v/>
      </c>
      <c r="K99" s="78" t="str">
        <f t="shared" si="67"/>
        <v/>
      </c>
      <c r="L99" s="78" t="str">
        <f t="shared" si="67"/>
        <v/>
      </c>
      <c r="M99" t="str">
        <f t="shared" si="67"/>
        <v/>
      </c>
      <c r="N99" t="str">
        <f t="shared" si="66"/>
        <v/>
      </c>
    </row>
    <row r="100" spans="1:14" x14ac:dyDescent="0.35">
      <c r="A100" s="1" t="str">
        <f>IF(A98="","","   Available Water [maf]")</f>
        <v/>
      </c>
      <c r="C100" s="14" t="str">
        <f t="shared" ref="C100:L100" si="68">IF(OR(C$27="",$A100=""),"",C35+C53-C45-C97)</f>
        <v/>
      </c>
      <c r="D100" s="14" t="str">
        <f t="shared" si="68"/>
        <v/>
      </c>
      <c r="E100" s="14" t="str">
        <f t="shared" si="68"/>
        <v/>
      </c>
      <c r="F100" s="14" t="str">
        <f t="shared" si="68"/>
        <v/>
      </c>
      <c r="G100" s="14" t="str">
        <f t="shared" si="68"/>
        <v/>
      </c>
      <c r="H100" s="14" t="str">
        <f t="shared" si="68"/>
        <v/>
      </c>
      <c r="I100" s="14" t="str">
        <f t="shared" si="68"/>
        <v/>
      </c>
      <c r="J100" s="14" t="str">
        <f t="shared" si="68"/>
        <v/>
      </c>
      <c r="K100" s="14" t="str">
        <f t="shared" si="68"/>
        <v/>
      </c>
      <c r="L100" s="14" t="str">
        <f t="shared" si="68"/>
        <v/>
      </c>
      <c r="N100" t="str">
        <f t="shared" si="66"/>
        <v/>
      </c>
    </row>
    <row r="101" spans="1:14" x14ac:dyDescent="0.35">
      <c r="A101" s="1" t="str">
        <f>IF(A100="","","   Account Withdraw [maf]")</f>
        <v/>
      </c>
      <c r="C101" s="43"/>
      <c r="D101" s="43"/>
      <c r="E101" s="43"/>
      <c r="F101" s="43"/>
      <c r="G101" s="43"/>
      <c r="H101" s="43"/>
      <c r="I101" s="43"/>
      <c r="J101" s="43"/>
      <c r="K101" s="43"/>
      <c r="L101" s="43"/>
      <c r="N101" t="str">
        <f t="shared" si="66"/>
        <v/>
      </c>
    </row>
    <row r="102" spans="1:14" x14ac:dyDescent="0.35">
      <c r="A102" s="32" t="str">
        <f>IF(A101="","","   End of Year Balance [maf]")</f>
        <v/>
      </c>
      <c r="C102" s="77" t="str">
        <f>IF(OR(C$27="",$A102=""),"",C100-C101)</f>
        <v/>
      </c>
      <c r="D102" s="77" t="str">
        <f t="shared" ref="D102" si="69">IF(OR(D$27="",$A102=""),"",D100-D101)</f>
        <v/>
      </c>
      <c r="E102" s="77" t="str">
        <f t="shared" ref="E102" si="70">IF(OR(E$27="",$A102=""),"",E100-E101)</f>
        <v/>
      </c>
      <c r="F102" s="77" t="str">
        <f t="shared" ref="F102" si="71">IF(OR(F$27="",$A102=""),"",F100-F101)</f>
        <v/>
      </c>
      <c r="G102" s="77" t="str">
        <f t="shared" ref="G102" si="72">IF(OR(G$27="",$A102=""),"",G100-G101)</f>
        <v/>
      </c>
      <c r="H102" s="77" t="str">
        <f t="shared" ref="H102" si="73">IF(OR(H$27="",$A102=""),"",H100-H101)</f>
        <v/>
      </c>
      <c r="I102" s="77" t="str">
        <f t="shared" ref="I102" si="74">IF(OR(I$27="",$A102=""),"",I100-I101)</f>
        <v/>
      </c>
      <c r="J102" s="77" t="str">
        <f t="shared" ref="J102" si="75">IF(OR(J$27="",$A102=""),"",J100-J101)</f>
        <v/>
      </c>
      <c r="K102" s="77" t="str">
        <f t="shared" ref="K102" si="76">IF(OR(K$27="",$A102=""),"",K100-K101)</f>
        <v/>
      </c>
      <c r="L102" s="77" t="str">
        <f t="shared" ref="L102" si="77">IF(OR(L$27="",$A102=""),"",L100-L101)</f>
        <v/>
      </c>
      <c r="N102" t="str">
        <f t="shared" si="66"/>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78">IF(A6="","","    "&amp;A6)</f>
        <v xml:space="preserve">    Upper Basin</v>
      </c>
      <c r="B106" s="1"/>
      <c r="C106" s="78">
        <f t="shared" ref="C106:L106" ca="1" si="79">IF(OR(C$27="",$A106=""),"",OFFSET(C$57,8*(ROW(B106)-ROW(B$106)),0))</f>
        <v>0.6</v>
      </c>
      <c r="D106" s="78">
        <f t="shared" ca="1" si="79"/>
        <v>-0.6</v>
      </c>
      <c r="E106" s="78">
        <f t="shared" ca="1" si="79"/>
        <v>-1.8</v>
      </c>
      <c r="F106" s="78">
        <f t="shared" ca="1" si="79"/>
        <v>-0.1</v>
      </c>
      <c r="G106" s="78">
        <f t="shared" ca="1" si="79"/>
        <v>0</v>
      </c>
      <c r="H106" s="78" t="str">
        <f t="shared" ca="1" si="79"/>
        <v/>
      </c>
      <c r="I106" s="78" t="str">
        <f t="shared" ca="1" si="79"/>
        <v/>
      </c>
      <c r="J106" s="78" t="str">
        <f t="shared" ca="1" si="79"/>
        <v/>
      </c>
      <c r="K106" s="78" t="str">
        <f t="shared" ca="1" si="79"/>
        <v/>
      </c>
      <c r="L106" s="78" t="str">
        <f t="shared" ca="1" si="79"/>
        <v/>
      </c>
      <c r="M106" s="78">
        <f ca="1">IF(OR($A106=""),"",SUM(C106:L106))</f>
        <v>-1.9000000000000001</v>
      </c>
      <c r="N106" s="75">
        <f>IF(OR($A106=""),"",M58)</f>
        <v>-2050</v>
      </c>
    </row>
    <row r="107" spans="1:14" x14ac:dyDescent="0.35">
      <c r="A107" t="str">
        <f t="shared" si="78"/>
        <v xml:space="preserve">    Lower Basin</v>
      </c>
      <c r="B107" s="1"/>
      <c r="C107" s="78">
        <f t="shared" ref="C107:L107" ca="1" si="80">IF(OR(C$27="",$A107=""),"",OFFSET(C$57,8*(ROW(B107)-ROW(B$106)),0))</f>
        <v>-0.6</v>
      </c>
      <c r="D107" s="78">
        <f t="shared" ca="1" si="80"/>
        <v>0.6</v>
      </c>
      <c r="E107" s="78">
        <f t="shared" ca="1" si="80"/>
        <v>1.6</v>
      </c>
      <c r="F107" s="78">
        <f t="shared" ca="1" si="80"/>
        <v>0</v>
      </c>
      <c r="G107" s="78">
        <f t="shared" ca="1" si="80"/>
        <v>0</v>
      </c>
      <c r="H107" s="78" t="str">
        <f t="shared" ca="1" si="80"/>
        <v/>
      </c>
      <c r="I107" s="78" t="str">
        <f t="shared" ca="1" si="80"/>
        <v/>
      </c>
      <c r="J107" s="78" t="str">
        <f t="shared" ca="1" si="80"/>
        <v/>
      </c>
      <c r="K107" s="78" t="str">
        <f t="shared" ca="1" si="80"/>
        <v/>
      </c>
      <c r="L107" s="78" t="str">
        <f t="shared" ca="1" si="80"/>
        <v/>
      </c>
      <c r="M107" s="78">
        <f t="shared" ref="M107:M111" ca="1" si="81">IF(OR($A107=""),"",SUM(C107:L107))</f>
        <v>1.6</v>
      </c>
      <c r="N107" s="75">
        <f>IF(OR($A107=""),"",M66)</f>
        <v>1600</v>
      </c>
    </row>
    <row r="108" spans="1:14" x14ac:dyDescent="0.35">
      <c r="A108" t="str">
        <f t="shared" si="78"/>
        <v xml:space="preserve">    Mexico</v>
      </c>
      <c r="B108" s="1"/>
      <c r="C108" s="78">
        <f t="shared" ref="C108:L108" ca="1" si="82">IF(OR(C$27="",$A108=""),"",OFFSET(C$57,8*(ROW(B108)-ROW(B$106)),0))</f>
        <v>0</v>
      </c>
      <c r="D108" s="78">
        <f t="shared" ca="1" si="82"/>
        <v>0</v>
      </c>
      <c r="E108" s="78">
        <f t="shared" ca="1" si="82"/>
        <v>0.2</v>
      </c>
      <c r="F108" s="78">
        <f t="shared" ca="1" si="82"/>
        <v>0.1</v>
      </c>
      <c r="G108" s="78">
        <f t="shared" ca="1" si="82"/>
        <v>0</v>
      </c>
      <c r="H108" s="78" t="str">
        <f t="shared" ca="1" si="82"/>
        <v/>
      </c>
      <c r="I108" s="78" t="str">
        <f t="shared" ca="1" si="82"/>
        <v/>
      </c>
      <c r="J108" s="78" t="str">
        <f t="shared" ca="1" si="82"/>
        <v/>
      </c>
      <c r="K108" s="78" t="str">
        <f t="shared" ca="1" si="82"/>
        <v/>
      </c>
      <c r="L108" s="78" t="str">
        <f t="shared" ca="1" si="82"/>
        <v/>
      </c>
      <c r="M108" s="78">
        <f t="shared" ca="1" si="81"/>
        <v>0.30000000000000004</v>
      </c>
      <c r="N108" s="75">
        <f>IF(OR($A108=""),"",M74)</f>
        <v>450</v>
      </c>
    </row>
    <row r="109" spans="1:14" x14ac:dyDescent="0.35">
      <c r="A109" t="str">
        <f t="shared" si="78"/>
        <v xml:space="preserve">    Mohave &amp; Havasu Evap &amp; ET</v>
      </c>
      <c r="B109" s="1"/>
      <c r="C109" s="78">
        <f t="shared" ref="C109:L109" ca="1" si="83">IF(OR(C$27="",$A109=""),"",OFFSET(C$57,8*(ROW(B109)-ROW(B$106)),0))</f>
        <v>0</v>
      </c>
      <c r="D109" s="78">
        <f t="shared" ca="1" si="83"/>
        <v>0</v>
      </c>
      <c r="E109" s="78">
        <f t="shared" ca="1" si="83"/>
        <v>0</v>
      </c>
      <c r="F109" s="78">
        <f t="shared" ca="1" si="83"/>
        <v>0</v>
      </c>
      <c r="G109" s="78">
        <f t="shared" ca="1" si="83"/>
        <v>0</v>
      </c>
      <c r="H109" s="78" t="str">
        <f t="shared" ca="1" si="83"/>
        <v/>
      </c>
      <c r="I109" s="78" t="str">
        <f t="shared" ca="1" si="83"/>
        <v/>
      </c>
      <c r="J109" s="78" t="str">
        <f t="shared" ca="1" si="83"/>
        <v/>
      </c>
      <c r="K109" s="78" t="str">
        <f t="shared" ca="1" si="83"/>
        <v/>
      </c>
      <c r="L109" s="78" t="str">
        <f t="shared" ca="1" si="83"/>
        <v/>
      </c>
      <c r="M109" s="78">
        <f t="shared" ca="1" si="81"/>
        <v>0</v>
      </c>
      <c r="N109" s="75">
        <f>IF(OR($A109=""),"",M82)</f>
        <v>0</v>
      </c>
    </row>
    <row r="110" spans="1:14" x14ac:dyDescent="0.35">
      <c r="A110" t="str">
        <f t="shared" si="78"/>
        <v xml:space="preserve">    Shared, Reserve</v>
      </c>
      <c r="B110" s="1"/>
      <c r="C110" s="78">
        <f t="shared" ref="C110:L110" ca="1" si="84">IF(OR(C$27="",$A110=""),"",OFFSET(C$57,8*(ROW(B110)-ROW(B$106)),0))</f>
        <v>0</v>
      </c>
      <c r="D110" s="78">
        <f t="shared" ca="1" si="84"/>
        <v>0</v>
      </c>
      <c r="E110" s="78">
        <f t="shared" ca="1" si="84"/>
        <v>0</v>
      </c>
      <c r="F110" s="78">
        <f t="shared" ca="1" si="84"/>
        <v>0</v>
      </c>
      <c r="G110" s="78">
        <f t="shared" ca="1" si="84"/>
        <v>0</v>
      </c>
      <c r="H110" s="78" t="str">
        <f t="shared" ca="1" si="84"/>
        <v/>
      </c>
      <c r="I110" s="78" t="str">
        <f t="shared" ca="1" si="84"/>
        <v/>
      </c>
      <c r="J110" s="78" t="str">
        <f t="shared" ca="1" si="84"/>
        <v/>
      </c>
      <c r="K110" s="78" t="str">
        <f t="shared" ca="1" si="84"/>
        <v/>
      </c>
      <c r="L110" s="78" t="str">
        <f t="shared" ca="1" si="84"/>
        <v/>
      </c>
      <c r="M110" s="78">
        <f t="shared" ca="1" si="81"/>
        <v>0</v>
      </c>
      <c r="N110" s="75">
        <f>IF(OR($A110=""),"",M90)</f>
        <v>0</v>
      </c>
    </row>
    <row r="111" spans="1:14" x14ac:dyDescent="0.35">
      <c r="A111" t="str">
        <f t="shared" si="78"/>
        <v/>
      </c>
      <c r="B111" s="1"/>
      <c r="C111" s="78" t="str">
        <f t="shared" ref="C111:L111" ca="1" si="85">IF(OR(C$27="",$A111=""),"",OFFSET(C$57,8*(ROW(B111)-ROW(B$106)),0))</f>
        <v/>
      </c>
      <c r="D111" s="78" t="str">
        <f t="shared" ca="1" si="85"/>
        <v/>
      </c>
      <c r="E111" s="78" t="str">
        <f t="shared" ca="1" si="85"/>
        <v/>
      </c>
      <c r="F111" s="78" t="str">
        <f t="shared" ca="1" si="85"/>
        <v/>
      </c>
      <c r="G111" s="78" t="str">
        <f t="shared" ca="1" si="85"/>
        <v/>
      </c>
      <c r="H111" s="78" t="str">
        <f t="shared" ca="1" si="85"/>
        <v/>
      </c>
      <c r="I111" s="78" t="str">
        <f t="shared" ca="1" si="85"/>
        <v/>
      </c>
      <c r="J111" s="78" t="str">
        <f t="shared" ca="1" si="85"/>
        <v/>
      </c>
      <c r="K111" s="78" t="str">
        <f t="shared" ca="1" si="85"/>
        <v/>
      </c>
      <c r="L111" s="78" t="str">
        <f t="shared" ca="1" si="85"/>
        <v/>
      </c>
      <c r="M111" s="78" t="str">
        <f t="shared" si="81"/>
        <v/>
      </c>
      <c r="N111" s="75" t="str">
        <f>IF(OR($A111=""),"",M98)</f>
        <v/>
      </c>
    </row>
    <row r="112" spans="1:14" x14ac:dyDescent="0.35">
      <c r="A112" t="s">
        <v>146</v>
      </c>
      <c r="B112" s="1"/>
      <c r="C112" s="52">
        <f ca="1">IF(C$27&lt;&gt;"",SUM(C106:C111),"")</f>
        <v>0</v>
      </c>
      <c r="D112" s="52">
        <f t="shared" ref="D112:L112" ca="1" si="86">IF(D$27&lt;&gt;"",SUM(D106:D111),"")</f>
        <v>0</v>
      </c>
      <c r="E112" s="52">
        <f t="shared" ca="1" si="86"/>
        <v>5.5511151231257827E-17</v>
      </c>
      <c r="F112" s="52">
        <f t="shared" ca="1" si="86"/>
        <v>0</v>
      </c>
      <c r="G112" s="52">
        <f t="shared" ca="1" si="86"/>
        <v>0</v>
      </c>
      <c r="H112" s="52" t="str">
        <f t="shared" si="86"/>
        <v/>
      </c>
      <c r="I112" s="52" t="str">
        <f t="shared" si="86"/>
        <v/>
      </c>
      <c r="J112" s="52" t="str">
        <f t="shared" si="86"/>
        <v/>
      </c>
      <c r="K112" s="52" t="str">
        <f t="shared" si="86"/>
        <v/>
      </c>
      <c r="L112" s="52" t="str">
        <f t="shared" si="8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4" ca="1" si="87">IF(OR(C$27="",$A114=""),"",OFFSET(C$61,8*(ROW(B114)-ROW(B$114)),0))</f>
        <v>3.5</v>
      </c>
      <c r="D114" s="78">
        <f t="shared" ca="1" si="87"/>
        <v>2.9</v>
      </c>
      <c r="E114" s="78">
        <f t="shared" ca="1" si="87"/>
        <v>2</v>
      </c>
      <c r="F114" s="78">
        <f t="shared" ca="1" si="87"/>
        <v>0.7</v>
      </c>
      <c r="G114" s="78">
        <f t="shared" ca="1" si="87"/>
        <v>0.3</v>
      </c>
      <c r="H114" s="78" t="str">
        <f t="shared" ca="1" si="87"/>
        <v/>
      </c>
      <c r="I114" s="78" t="str">
        <f t="shared" ca="1" si="87"/>
        <v/>
      </c>
      <c r="J114" s="78" t="str">
        <f t="shared" ca="1" si="87"/>
        <v/>
      </c>
      <c r="K114" s="78" t="str">
        <f t="shared" ca="1" si="87"/>
        <v/>
      </c>
      <c r="L114" s="78" t="str">
        <f t="shared" ca="1" si="87"/>
        <v/>
      </c>
    </row>
    <row r="115" spans="1:12" x14ac:dyDescent="0.35">
      <c r="A115" t="str">
        <f>IF(A7="","","    "&amp;A7&amp;" - Release from Mead")</f>
        <v xml:space="preserve">    Lower Basin - Release from Mead</v>
      </c>
      <c r="C115" s="78">
        <f t="shared" ref="C115:L115" ca="1" si="88">IF(OR(C$27="",$A115=""),"",OFFSET(C$61,8*(ROW(B115)-ROW(B$114)),0))</f>
        <v>7</v>
      </c>
      <c r="D115" s="78">
        <f t="shared" ca="1" si="88"/>
        <v>6.8</v>
      </c>
      <c r="E115" s="78">
        <f t="shared" ca="1" si="88"/>
        <v>6.7</v>
      </c>
      <c r="F115" s="78">
        <f t="shared" ca="1" si="88"/>
        <v>6.6</v>
      </c>
      <c r="G115" s="78">
        <f t="shared" ca="1" si="88"/>
        <v>6.6</v>
      </c>
      <c r="H115" s="78" t="str">
        <f t="shared" ca="1" si="88"/>
        <v/>
      </c>
      <c r="I115" s="78" t="str">
        <f t="shared" ca="1" si="88"/>
        <v/>
      </c>
      <c r="J115" s="78" t="str">
        <f t="shared" ca="1" si="88"/>
        <v/>
      </c>
      <c r="K115" s="78" t="str">
        <f t="shared" ca="1" si="88"/>
        <v/>
      </c>
      <c r="L115" s="78" t="str">
        <f t="shared" ca="1" si="88"/>
        <v/>
      </c>
    </row>
    <row r="116" spans="1:12" x14ac:dyDescent="0.35">
      <c r="A116" t="str">
        <f>IF(A8="","","    "&amp;A8&amp;" - Release from Mead")</f>
        <v xml:space="preserve">    Mexico - Release from Mead</v>
      </c>
      <c r="C116" s="78">
        <f t="shared" ref="C116:L116" ca="1" si="89">IF(OR(C$27="",$A116=""),"",OFFSET(C$61,8*(ROW(B116)-ROW(B$114)),0))</f>
        <v>1.5</v>
      </c>
      <c r="D116" s="78">
        <f t="shared" ca="1" si="89"/>
        <v>1.2</v>
      </c>
      <c r="E116" s="78">
        <f t="shared" ca="1" si="89"/>
        <v>1.2</v>
      </c>
      <c r="F116" s="78">
        <f t="shared" ca="1" si="89"/>
        <v>1.2</v>
      </c>
      <c r="G116" s="78">
        <f t="shared" ca="1" si="89"/>
        <v>1.2</v>
      </c>
      <c r="H116" s="78" t="str">
        <f t="shared" ca="1" si="89"/>
        <v/>
      </c>
      <c r="I116" s="78" t="str">
        <f t="shared" ca="1" si="89"/>
        <v/>
      </c>
      <c r="J116" s="78" t="str">
        <f t="shared" ca="1" si="89"/>
        <v/>
      </c>
      <c r="K116" s="78" t="str">
        <f t="shared" ca="1" si="89"/>
        <v/>
      </c>
      <c r="L116" s="78" t="str">
        <f t="shared" ca="1" si="89"/>
        <v/>
      </c>
    </row>
    <row r="117" spans="1:12" x14ac:dyDescent="0.35">
      <c r="A117" t="str">
        <f>IF(A9="","","    "&amp;A9&amp;" - Release from Mead")</f>
        <v xml:space="preserve">    Mohave &amp; Havasu Evap &amp; ET - Release from Mead</v>
      </c>
      <c r="C117" s="78">
        <f t="shared" ref="C117:L117" ca="1" si="90">IF(OR(C$27="",$A117=""),"",OFFSET(C$61,8*(ROW(B117)-ROW(B$114)),0))</f>
        <v>0.6</v>
      </c>
      <c r="D117" s="78">
        <f t="shared" ca="1" si="90"/>
        <v>0.6</v>
      </c>
      <c r="E117" s="78">
        <f t="shared" ca="1" si="90"/>
        <v>0.6</v>
      </c>
      <c r="F117" s="78">
        <f t="shared" ca="1" si="90"/>
        <v>0.6</v>
      </c>
      <c r="G117" s="78">
        <f t="shared" ca="1" si="90"/>
        <v>0.6</v>
      </c>
      <c r="H117" s="78" t="str">
        <f t="shared" ca="1" si="90"/>
        <v/>
      </c>
      <c r="I117" s="78" t="str">
        <f t="shared" ca="1" si="90"/>
        <v/>
      </c>
      <c r="J117" s="78" t="str">
        <f t="shared" ca="1" si="90"/>
        <v/>
      </c>
      <c r="K117" s="78" t="str">
        <f t="shared" ca="1" si="90"/>
        <v/>
      </c>
      <c r="L117" s="78" t="str">
        <f t="shared" ca="1" si="90"/>
        <v/>
      </c>
    </row>
    <row r="118" spans="1:12" x14ac:dyDescent="0.35">
      <c r="A118" t="str">
        <f>IF(A10="","","    "&amp;A10&amp;" - Release from Mead")</f>
        <v xml:space="preserve">    Shared, Reserve - Release from Mead</v>
      </c>
      <c r="C118" s="78">
        <f t="shared" ref="C118:L118" ca="1" si="91">IF(OR(C$27="",$A118=""),"",OFFSET(C$61,8*(ROW(B118)-ROW(B$114)),0))</f>
        <v>0</v>
      </c>
      <c r="D118" s="78">
        <f t="shared" ca="1" si="91"/>
        <v>0</v>
      </c>
      <c r="E118" s="78">
        <f t="shared" ca="1" si="91"/>
        <v>0</v>
      </c>
      <c r="F118" s="78">
        <f t="shared" ca="1" si="91"/>
        <v>0</v>
      </c>
      <c r="G118" s="78">
        <f t="shared" ca="1" si="91"/>
        <v>0</v>
      </c>
      <c r="H118" s="78" t="str">
        <f t="shared" ca="1" si="91"/>
        <v/>
      </c>
      <c r="I118" s="78" t="str">
        <f t="shared" ca="1" si="91"/>
        <v/>
      </c>
      <c r="J118" s="78" t="str">
        <f t="shared" ca="1" si="91"/>
        <v/>
      </c>
      <c r="K118" s="78" t="str">
        <f t="shared" ca="1" si="91"/>
        <v/>
      </c>
      <c r="L118" s="78" t="str">
        <f t="shared" ca="1" si="91"/>
        <v/>
      </c>
    </row>
    <row r="119" spans="1:12" x14ac:dyDescent="0.35">
      <c r="A119" t="str">
        <f>IF(A11="","","    "&amp;A11&amp;" - Release from Mead")</f>
        <v/>
      </c>
      <c r="C119" s="78" t="str">
        <f t="shared" ref="C119:L119" ca="1" si="92">IF(OR(C$27="",$A119=""),"",OFFSET(C$61,8*(ROW(B119)-ROW(B$114)),0))</f>
        <v/>
      </c>
      <c r="D119" s="78" t="str">
        <f t="shared" ca="1" si="92"/>
        <v/>
      </c>
      <c r="E119" s="78" t="str">
        <f t="shared" ca="1" si="92"/>
        <v/>
      </c>
      <c r="F119" s="78" t="str">
        <f t="shared" ca="1" si="92"/>
        <v/>
      </c>
      <c r="G119" s="78" t="str">
        <f t="shared" ca="1" si="92"/>
        <v/>
      </c>
      <c r="H119" s="78" t="str">
        <f t="shared" ca="1" si="92"/>
        <v/>
      </c>
      <c r="I119" s="78" t="str">
        <f t="shared" ca="1" si="92"/>
        <v/>
      </c>
      <c r="J119" s="78" t="str">
        <f t="shared" ca="1" si="92"/>
        <v/>
      </c>
      <c r="K119" s="78" t="str">
        <f t="shared" ca="1" si="92"/>
        <v/>
      </c>
      <c r="L119" s="78" t="str">
        <f t="shared" ca="1" si="92"/>
        <v/>
      </c>
    </row>
    <row r="120" spans="1:12" x14ac:dyDescent="0.35">
      <c r="A120" s="1" t="s">
        <v>139</v>
      </c>
      <c r="B120" s="1"/>
      <c r="D120" s="2"/>
      <c r="E120" s="2"/>
      <c r="F120" s="2"/>
      <c r="G120" s="2"/>
      <c r="H120" s="2"/>
      <c r="I120" s="2"/>
      <c r="J120" s="2"/>
      <c r="K120" s="2"/>
      <c r="L120" s="2"/>
    </row>
    <row r="121" spans="1:12" x14ac:dyDescent="0.35">
      <c r="A121" t="str">
        <f t="shared" ref="A121:A126" si="93">IF(A6="","","    "&amp;A6)</f>
        <v xml:space="preserve">    Upper Basin</v>
      </c>
      <c r="C121" s="78">
        <f t="shared" ref="C121:L121" ca="1" si="94">IF(OR(C$27="",$A121=""),"",OFFSET(C$62,8*(ROW(B121)-ROW(B$121)),0))</f>
        <v>3.2233582945981318</v>
      </c>
      <c r="D121" s="78">
        <f t="shared" ca="1" si="94"/>
        <v>1.2474557698953324</v>
      </c>
      <c r="E121" s="78">
        <f t="shared" ca="1" si="94"/>
        <v>1.0607975732377293</v>
      </c>
      <c r="F121" s="78">
        <f t="shared" ca="1" si="94"/>
        <v>0.46332738043578137</v>
      </c>
      <c r="G121" s="78">
        <f t="shared" ca="1" si="94"/>
        <v>0.13669162125105494</v>
      </c>
      <c r="H121" s="78" t="str">
        <f t="shared" ca="1" si="94"/>
        <v/>
      </c>
      <c r="I121" s="78" t="str">
        <f t="shared" ca="1" si="94"/>
        <v/>
      </c>
      <c r="J121" s="78" t="str">
        <f t="shared" ca="1" si="94"/>
        <v/>
      </c>
      <c r="K121" s="78" t="str">
        <f t="shared" ca="1" si="94"/>
        <v/>
      </c>
      <c r="L121" s="78" t="str">
        <f t="shared" ca="1" si="94"/>
        <v/>
      </c>
    </row>
    <row r="122" spans="1:12" x14ac:dyDescent="0.35">
      <c r="A122" t="str">
        <f t="shared" si="93"/>
        <v xml:space="preserve">    Lower Basin</v>
      </c>
      <c r="C122" s="78">
        <f t="shared" ref="C122:L122" ca="1" si="95">IF(OR(C$27="",$A122=""),"",OFFSET(C$62,8*(ROW(B122)-ROW(B$121)),0))</f>
        <v>4.3506684655908359</v>
      </c>
      <c r="D122" s="78">
        <f t="shared" ca="1" si="95"/>
        <v>3.4182393515752318</v>
      </c>
      <c r="E122" s="78">
        <f t="shared" ca="1" si="95"/>
        <v>1.7144613702462808</v>
      </c>
      <c r="F122" s="78">
        <f t="shared" ca="1" si="95"/>
        <v>1.7797333190881321</v>
      </c>
      <c r="G122" s="78">
        <f t="shared" ca="1" si="95"/>
        <v>1.7767336907093796</v>
      </c>
      <c r="H122" s="78" t="str">
        <f t="shared" ca="1" si="95"/>
        <v/>
      </c>
      <c r="I122" s="78" t="str">
        <f t="shared" ca="1" si="95"/>
        <v/>
      </c>
      <c r="J122" s="78" t="str">
        <f t="shared" ca="1" si="95"/>
        <v/>
      </c>
      <c r="K122" s="78" t="str">
        <f t="shared" ca="1" si="95"/>
        <v/>
      </c>
      <c r="L122" s="78" t="str">
        <f t="shared" ca="1" si="95"/>
        <v/>
      </c>
    </row>
    <row r="123" spans="1:12" x14ac:dyDescent="0.35">
      <c r="A123" t="str">
        <f t="shared" si="93"/>
        <v xml:space="preserve">    Mexico</v>
      </c>
      <c r="C123" s="78">
        <f t="shared" ref="C123:L123" ca="1" si="96">IF(OR(C$27="",$A123=""),"",OFFSET(C$62,8*(ROW(B123)-ROW(B$121)),0))</f>
        <v>0.11290630981105854</v>
      </c>
      <c r="D123" s="78">
        <f t="shared" ca="1" si="96"/>
        <v>0.35457819453003792</v>
      </c>
      <c r="E123" s="78">
        <f t="shared" ca="1" si="96"/>
        <v>0.14878105251659535</v>
      </c>
      <c r="F123" s="78">
        <f t="shared" ca="1" si="96"/>
        <v>5.3634088476694597E-2</v>
      </c>
      <c r="G123" s="78">
        <f t="shared" ca="1" si="96"/>
        <v>0.18488410594077398</v>
      </c>
      <c r="H123" s="78" t="str">
        <f t="shared" ca="1" si="96"/>
        <v/>
      </c>
      <c r="I123" s="78" t="str">
        <f t="shared" ca="1" si="96"/>
        <v/>
      </c>
      <c r="J123" s="78" t="str">
        <f t="shared" ca="1" si="96"/>
        <v/>
      </c>
      <c r="K123" s="78" t="str">
        <f t="shared" ca="1" si="96"/>
        <v/>
      </c>
      <c r="L123" s="78" t="str">
        <f t="shared" ca="1" si="96"/>
        <v/>
      </c>
    </row>
    <row r="124" spans="1:12" x14ac:dyDescent="0.35">
      <c r="A124" t="str">
        <f t="shared" si="93"/>
        <v xml:space="preserve">    Mohave &amp; Havasu Evap &amp; ET</v>
      </c>
      <c r="C124" s="78">
        <f t="shared" ref="C124:L124" ca="1" si="97">IF(OR(C$27="",$A124=""),"",OFFSET(C$62,8*(ROW(B124)-ROW(B$121)),0))</f>
        <v>0</v>
      </c>
      <c r="D124" s="78">
        <f t="shared" ca="1" si="97"/>
        <v>0</v>
      </c>
      <c r="E124" s="78">
        <f t="shared" ca="1" si="97"/>
        <v>0</v>
      </c>
      <c r="F124" s="78">
        <f t="shared" ca="1" si="97"/>
        <v>0</v>
      </c>
      <c r="G124" s="78">
        <f t="shared" ca="1" si="97"/>
        <v>0</v>
      </c>
      <c r="H124" s="78" t="str">
        <f t="shared" ca="1" si="97"/>
        <v/>
      </c>
      <c r="I124" s="78" t="str">
        <f t="shared" ca="1" si="97"/>
        <v/>
      </c>
      <c r="J124" s="78" t="str">
        <f t="shared" ca="1" si="97"/>
        <v/>
      </c>
      <c r="K124" s="78" t="str">
        <f t="shared" ca="1" si="97"/>
        <v/>
      </c>
      <c r="L124" s="78" t="str">
        <f t="shared" ca="1" si="97"/>
        <v/>
      </c>
    </row>
    <row r="125" spans="1:12" x14ac:dyDescent="0.35">
      <c r="A125" t="str">
        <f t="shared" si="93"/>
        <v xml:space="preserve">    Shared, Reserve</v>
      </c>
      <c r="C125" s="78">
        <f t="shared" ref="C125:L125" ca="1" si="98">IF(OR(C$27="",$A125=""),"",OFFSET(C$62,8*(ROW(B125)-ROW(B$121)),0))</f>
        <v>11.59116925</v>
      </c>
      <c r="D125" s="78">
        <f t="shared" ca="1" si="98"/>
        <v>11.59116925</v>
      </c>
      <c r="E125" s="78">
        <f t="shared" ca="1" si="98"/>
        <v>11.59116925</v>
      </c>
      <c r="F125" s="78">
        <f t="shared" ca="1" si="98"/>
        <v>11.59116925</v>
      </c>
      <c r="G125" s="78">
        <f t="shared" ca="1" si="98"/>
        <v>11.59116925</v>
      </c>
      <c r="H125" s="78" t="str">
        <f t="shared" ca="1" si="98"/>
        <v/>
      </c>
      <c r="I125" s="78" t="str">
        <f t="shared" ca="1" si="98"/>
        <v/>
      </c>
      <c r="J125" s="78" t="str">
        <f t="shared" ca="1" si="98"/>
        <v/>
      </c>
      <c r="K125" s="78" t="str">
        <f t="shared" ca="1" si="98"/>
        <v/>
      </c>
      <c r="L125" s="78" t="str">
        <f t="shared" ca="1" si="98"/>
        <v/>
      </c>
    </row>
    <row r="126" spans="1:12" x14ac:dyDescent="0.35">
      <c r="A126" t="str">
        <f t="shared" si="93"/>
        <v/>
      </c>
      <c r="C126" s="78" t="str">
        <f t="shared" ref="C126:L126" ca="1" si="99">IF(OR(C$27="",$A126=""),"",OFFSET(C$62,8*(ROW(B126)-ROW(B$121)),0))</f>
        <v/>
      </c>
      <c r="D126" s="78" t="str">
        <f t="shared" ca="1" si="99"/>
        <v/>
      </c>
      <c r="E126" s="78" t="str">
        <f t="shared" ca="1" si="99"/>
        <v/>
      </c>
      <c r="F126" s="78" t="str">
        <f t="shared" ca="1" si="99"/>
        <v/>
      </c>
      <c r="G126" s="78" t="str">
        <f t="shared" ca="1" si="99"/>
        <v/>
      </c>
      <c r="H126" s="78" t="str">
        <f t="shared" ca="1" si="99"/>
        <v/>
      </c>
      <c r="I126" s="78" t="str">
        <f t="shared" ca="1" si="99"/>
        <v/>
      </c>
      <c r="J126" s="78" t="str">
        <f t="shared" ca="1" si="99"/>
        <v/>
      </c>
      <c r="K126" s="78" t="str">
        <f t="shared" ca="1" si="99"/>
        <v/>
      </c>
      <c r="L126" s="78" t="str">
        <f t="shared" ca="1" si="99"/>
        <v/>
      </c>
    </row>
    <row r="127" spans="1:12" x14ac:dyDescent="0.35">
      <c r="A127" s="1" t="s">
        <v>123</v>
      </c>
      <c r="B127" s="1"/>
      <c r="C127" s="14">
        <f ca="1">IF(C$27&lt;&gt;"",SUM(C121:C126),"")</f>
        <v>19.278102320000027</v>
      </c>
      <c r="D127" s="14">
        <f t="shared" ref="D127:L127" ca="1" si="100">IF(D$27&lt;&gt;"",SUM(D121:D126),"")</f>
        <v>16.611442566000605</v>
      </c>
      <c r="E127" s="14">
        <f t="shared" ca="1" si="100"/>
        <v>14.515209246000605</v>
      </c>
      <c r="F127" s="14">
        <f t="shared" ca="1" si="100"/>
        <v>13.887864038000608</v>
      </c>
      <c r="G127" s="14">
        <f t="shared" ca="1" si="100"/>
        <v>13.689478667901209</v>
      </c>
      <c r="H127" s="14" t="str">
        <f t="shared" si="100"/>
        <v/>
      </c>
      <c r="I127" s="14" t="str">
        <f t="shared" si="100"/>
        <v/>
      </c>
      <c r="J127" s="14" t="str">
        <f t="shared" si="100"/>
        <v/>
      </c>
      <c r="K127" s="14" t="str">
        <f t="shared" si="100"/>
        <v/>
      </c>
      <c r="L127" s="14" t="str">
        <f t="shared" si="100"/>
        <v/>
      </c>
    </row>
    <row r="128" spans="1:12" x14ac:dyDescent="0.35">
      <c r="A128" s="1" t="s">
        <v>206</v>
      </c>
      <c r="B128" s="1"/>
      <c r="C128" s="87">
        <v>0.5</v>
      </c>
      <c r="D128" s="87">
        <v>0.65</v>
      </c>
      <c r="E128" s="87">
        <v>0.85</v>
      </c>
      <c r="F128" s="87">
        <v>0.5</v>
      </c>
      <c r="G128" s="87">
        <v>0.5</v>
      </c>
      <c r="H128" s="87"/>
      <c r="I128" s="87"/>
      <c r="J128" s="87"/>
      <c r="K128" s="87"/>
      <c r="L128" s="87"/>
    </row>
    <row r="129" spans="1:14" x14ac:dyDescent="0.35">
      <c r="A129" s="1" t="s">
        <v>202</v>
      </c>
      <c r="B129" s="1"/>
      <c r="C129" s="14">
        <f ca="1">IF(C27="","",C$128*C$127)</f>
        <v>9.6390511600000135</v>
      </c>
      <c r="D129" s="14">
        <f t="shared" ref="D129:L129" ca="1" si="101">IF(D27="","",D$128*D$127)</f>
        <v>10.797437667900393</v>
      </c>
      <c r="E129" s="14">
        <f t="shared" ca="1" si="101"/>
        <v>12.337927859100514</v>
      </c>
      <c r="F129" s="14">
        <f t="shared" ca="1" si="101"/>
        <v>6.9439320190003038</v>
      </c>
      <c r="G129" s="14">
        <f t="shared" ca="1" si="101"/>
        <v>6.8447393339506046</v>
      </c>
      <c r="H129" s="14" t="str">
        <f t="shared" si="101"/>
        <v/>
      </c>
      <c r="I129" s="14" t="str">
        <f t="shared" si="101"/>
        <v/>
      </c>
      <c r="J129" s="14" t="str">
        <f t="shared" si="101"/>
        <v/>
      </c>
      <c r="K129" s="14" t="str">
        <f t="shared" si="101"/>
        <v/>
      </c>
      <c r="L129" s="14" t="str">
        <f t="shared" si="101"/>
        <v/>
      </c>
    </row>
    <row r="130" spans="1:14" x14ac:dyDescent="0.35">
      <c r="A130" s="1" t="s">
        <v>203</v>
      </c>
      <c r="B130" s="1"/>
      <c r="C130" s="14">
        <f ca="1">IF(C28="","",(1-C$128)*C$127)</f>
        <v>9.6390511600000135</v>
      </c>
      <c r="D130" s="14">
        <f t="shared" ref="D130:L130" ca="1" si="102">IF(D28="","",(1-D$128)*D$127)</f>
        <v>5.8140048981002117</v>
      </c>
      <c r="E130" s="14">
        <f t="shared" ca="1" si="102"/>
        <v>2.1772813869000913</v>
      </c>
      <c r="F130" s="14">
        <f t="shared" ca="1" si="102"/>
        <v>6.9439320190003038</v>
      </c>
      <c r="G130" s="14">
        <f t="shared" ca="1" si="102"/>
        <v>6.8447393339506046</v>
      </c>
      <c r="H130" s="14" t="str">
        <f t="shared" si="102"/>
        <v/>
      </c>
      <c r="I130" s="14" t="str">
        <f t="shared" si="102"/>
        <v/>
      </c>
      <c r="J130" s="14" t="str">
        <f t="shared" si="102"/>
        <v/>
      </c>
      <c r="K130" s="14" t="str">
        <f t="shared" si="102"/>
        <v/>
      </c>
      <c r="L130" s="14" t="str">
        <f t="shared" si="102"/>
        <v/>
      </c>
    </row>
    <row r="131" spans="1:14" x14ac:dyDescent="0.35">
      <c r="A131" s="32" t="s">
        <v>305</v>
      </c>
      <c r="B131" s="1"/>
      <c r="C131" s="141">
        <f ca="1">IF(C$27&lt;&gt;"",VLOOKUP(C129*1000000,'Powell-Elevation-Area'!$B$5:$H$689,7),"")</f>
        <v>3576</v>
      </c>
      <c r="D131" s="141">
        <f ca="1">IF(D$27&lt;&gt;"",VLOOKUP(D129*1000000,'Powell-Elevation-Area'!$B$5:$H$689,7),"")</f>
        <v>3589.5</v>
      </c>
      <c r="E131" s="141">
        <f ca="1">IF(E$27&lt;&gt;"",VLOOKUP(E129*1000000,'Powell-Elevation-Area'!$B$5:$H$689,7),"")</f>
        <v>3606</v>
      </c>
      <c r="F131" s="141">
        <f ca="1">IF(F$27&lt;&gt;"",VLOOKUP(F129*1000000,'Powell-Elevation-Area'!$B$5:$H$689,7),"")</f>
        <v>3540.5</v>
      </c>
      <c r="G131" s="141">
        <f ca="1">IF(G$27&lt;&gt;"",VLOOKUP(G129*1000000,'Powell-Elevation-Area'!$B$5:$H$689,7),"")</f>
        <v>3539</v>
      </c>
      <c r="H131" s="141" t="str">
        <f>IF(H$27&lt;&gt;"",VLOOKUP(H129*1000000,'Powell-Elevation-Area'!$B$5:$H$689,7),"")</f>
        <v/>
      </c>
      <c r="I131" s="141" t="str">
        <f>IF(I$27&lt;&gt;"",VLOOKUP(I129*1000000,'Powell-Elevation-Area'!$B$5:$H$689,7),"")</f>
        <v/>
      </c>
      <c r="J131" s="141" t="str">
        <f>IF(J$27&lt;&gt;"",VLOOKUP(J129*1000000,'Powell-Elevation-Area'!$B$5:$H$689,7),"")</f>
        <v/>
      </c>
      <c r="K131" s="141" t="str">
        <f>IF(K$27&lt;&gt;"",VLOOKUP(K129*1000000,'Powell-Elevation-Area'!$B$5:$H$689,7),"")</f>
        <v/>
      </c>
      <c r="L131" s="141" t="str">
        <f>IF(L$27&lt;&gt;"",VLOOKUP(L129*1000000,'Powell-Elevation-Area'!$B$5:$H$689,7),"")</f>
        <v/>
      </c>
    </row>
    <row r="132" spans="1:14" x14ac:dyDescent="0.35">
      <c r="A132" s="32" t="s">
        <v>306</v>
      </c>
      <c r="B132" s="1"/>
      <c r="C132" s="141">
        <f ca="1">IF(C$27&lt;&gt;"",VLOOKUP(C130*1000000,'Mead-Elevation-Area'!$B$5:$H$689,7),"")</f>
        <v>1075</v>
      </c>
      <c r="D132" s="141">
        <f ca="1">IF(D$27&lt;&gt;"",VLOOKUP(D130*1000000,'Mead-Elevation-Area'!$B$5:$H$689,7),"")</f>
        <v>1022</v>
      </c>
      <c r="E132" s="141">
        <f ca="1">IF(E$27&lt;&gt;"",VLOOKUP(E130*1000000,'Mead-Elevation-Area'!$B$5:$H$689,7),"")</f>
        <v>953.5</v>
      </c>
      <c r="F132" s="141">
        <f ca="1">IF(F$27&lt;&gt;"",VLOOKUP(F130*1000000,'Mead-Elevation-Area'!$B$5:$H$689,7),"")</f>
        <v>1039.5</v>
      </c>
      <c r="G132" s="141">
        <f ca="1">IF(G$27&lt;&gt;"",VLOOKUP(G130*1000000,'Mead-Elevation-Area'!$B$5:$H$689,7),"")</f>
        <v>1038</v>
      </c>
      <c r="H132" s="141" t="str">
        <f>IF(H$27&lt;&gt;"",VLOOKUP(H130*1000000,'Mead-Elevation-Area'!$B$5:$H$689,7),"")</f>
        <v/>
      </c>
      <c r="I132" s="141" t="str">
        <f>IF(I$27&lt;&gt;"",VLOOKUP(I130*1000000,'Mead-Elevation-Area'!$B$5:$H$689,7),"")</f>
        <v/>
      </c>
      <c r="J132" s="141" t="str">
        <f>IF(J$27&lt;&gt;"",VLOOKUP(J130*1000000,'Mead-Elevation-Area'!$B$5:$H$689,7),"")</f>
        <v/>
      </c>
      <c r="K132" s="141" t="str">
        <f>IF(K$27&lt;&gt;"",VLOOKUP(K130*1000000,'Mead-Elevation-Area'!$B$5:$H$689,7),"")</f>
        <v/>
      </c>
      <c r="L132" s="141" t="str">
        <f>IF(L$27&lt;&gt;"",VLOOKUP(L130*1000000,'Mead-Elevation-Area'!$B$5:$H$689,7),"")</f>
        <v/>
      </c>
    </row>
    <row r="133" spans="1:14" x14ac:dyDescent="0.35">
      <c r="A133" s="1" t="s">
        <v>319</v>
      </c>
      <c r="B133" s="1"/>
    </row>
    <row r="134" spans="1:14" x14ac:dyDescent="0.35">
      <c r="A134" s="32" t="s">
        <v>320</v>
      </c>
      <c r="B134" s="1"/>
      <c r="C134" s="14">
        <f ca="1">IF(C$27&lt;&gt;"",-C129+C37+C27-C61-VLOOKUP(C37*1000000,'Powell-Elevation-Area'!$B$5:$D$689,3)*$B$21/1000000,"")</f>
        <v>8.3380519599994134</v>
      </c>
      <c r="D134" s="14">
        <f ca="1">IF(D$27&lt;&gt;"",-D129+D37+D27-D61-VLOOKUP(D37*1000000,'Powell-Elevation-Area'!$B$5:$D$689,3)*$B$21/1000000,"")</f>
        <v>4.4618417381001931</v>
      </c>
      <c r="E134" s="14">
        <f ca="1">IF(E$27&lt;&gt;"",-E129+E37+E27-E61-VLOOKUP(E37*1000000,'Powell-Elevation-Area'!$B$5:$D$689,3)*$B$21/1000000,"")</f>
        <v>4.4421824887998795</v>
      </c>
      <c r="F134" s="14">
        <f ca="1">IF(F$27&lt;&gt;"",-F129+F37+F27-F61-VLOOKUP(F37*1000000,'Powell-Elevation-Area'!$B$5:$D$689,3)*$B$21/1000000,"")</f>
        <v>12.62930663210021</v>
      </c>
      <c r="G134" s="14">
        <f ca="1">IF(G$27&lt;&gt;"",-G129+G37+G27-G61-VLOOKUP(G37*1000000,'Powell-Elevation-Area'!$B$5:$D$689,3)*$B$21/1000000,"")</f>
        <v>7.9128453149496982</v>
      </c>
      <c r="H134" s="14" t="str">
        <f>IF(H$27&lt;&gt;"",-H129+H37+H27-H61-VLOOKUP(H37*1000000,'Powell-Elevation-Area'!$B$5:$D$689,3)*$B$21/1000000,"")</f>
        <v/>
      </c>
      <c r="I134" s="14" t="str">
        <f>IF(I$27&lt;&gt;"",-I129+I37+I27-I61-VLOOKUP(I37*1000000,'Powell-Elevation-Area'!$B$5:$D$689,3)*$B$21/1000000,"")</f>
        <v/>
      </c>
      <c r="J134" s="14" t="str">
        <f>IF(J$27&lt;&gt;"",-J129+J37+J27-J61-VLOOKUP(J37*1000000,'Powell-Elevation-Area'!$B$5:$D$689,3)*$B$21/1000000,"")</f>
        <v/>
      </c>
      <c r="K134" s="14" t="str">
        <f>IF(K$27&lt;&gt;"",-K129+K37+K27-K61-VLOOKUP(K37*1000000,'Powell-Elevation-Area'!$B$5:$D$689,3)*$B$21/1000000,"")</f>
        <v/>
      </c>
      <c r="L134" s="14" t="str">
        <f>IF(L$27&lt;&gt;"",-L129+L37+L27-L61-VLOOKUP(L37*1000000,'Powell-Elevation-Area'!$B$5:$D$689,3)*$B$21/1000000,"")</f>
        <v/>
      </c>
      <c r="N134" t="s">
        <v>204</v>
      </c>
    </row>
    <row r="135" spans="1:14" x14ac:dyDescent="0.35">
      <c r="A135" s="32" t="s">
        <v>321</v>
      </c>
      <c r="B135" s="1"/>
      <c r="C135" s="141" t="str">
        <f ca="1">IF(C$27&lt;&gt;"",VLOOKUP(C131,PowellReleaseTemperature!$A$5:$B$11,2),"")</f>
        <v>&lt; 18</v>
      </c>
      <c r="D135" s="141" t="str">
        <f ca="1">IF(D$27&lt;&gt;"",VLOOKUP(D131,PowellReleaseTemperature!$A$5:$B$11,2),"")</f>
        <v>&lt; 18</v>
      </c>
      <c r="E135" s="141" t="str">
        <f ca="1">IF(E$27&lt;&gt;"",VLOOKUP(E131,PowellReleaseTemperature!$A$5:$B$11,2),"")</f>
        <v>&lt; 15</v>
      </c>
      <c r="F135" s="141" t="str">
        <f ca="1">IF(F$27&lt;&gt;"",VLOOKUP(F131,PowellReleaseTemperature!$A$5:$B$11,2),"")</f>
        <v>&lt; 18</v>
      </c>
      <c r="G135" s="141" t="str">
        <f ca="1">IF(G$27&lt;&gt;"",VLOOKUP(G131,PowellReleaseTemperature!$A$5:$B$11,2),"")</f>
        <v>&lt; 18</v>
      </c>
      <c r="H135" s="141" t="str">
        <f>IF(H$27&lt;&gt;"",VLOOKUP(H131,PowellReleaseTemperature!$A$5:$B$11,2),"")</f>
        <v/>
      </c>
      <c r="I135" s="141" t="str">
        <f>IF(I$27&lt;&gt;"",VLOOKUP(I131,PowellReleaseTemperature!$A$5:$B$11,2),"")</f>
        <v/>
      </c>
      <c r="J135" s="141" t="str">
        <f>IF(J$27&lt;&gt;"",VLOOKUP(J131,PowellReleaseTemperature!$A$5:$B$11,2),"")</f>
        <v/>
      </c>
      <c r="K135" s="141" t="str">
        <f>IF(K$27&lt;&gt;"",VLOOKUP(K131,PowellReleaseTemperature!$A$5:$B$11,2),"")</f>
        <v/>
      </c>
      <c r="L135" s="141" t="str">
        <f>IF(L$27&lt;&gt;"",VLOOKUP(L131,PowellReleaseTemperature!$A$5:$B$11,2),"")</f>
        <v/>
      </c>
      <c r="N135" t="s">
        <v>326</v>
      </c>
    </row>
    <row r="136" spans="1:14" x14ac:dyDescent="0.35">
      <c r="C136" s="29"/>
    </row>
    <row r="137" spans="1:14" x14ac:dyDescent="0.35">
      <c r="A137" s="1" t="s">
        <v>125</v>
      </c>
      <c r="C137" s="12">
        <f>IF(C$27&lt;&gt;"",0.2,"")</f>
        <v>0.2</v>
      </c>
      <c r="D137" s="12">
        <f t="shared" ref="D137:L137" si="103">IF(D$27&lt;&gt;"",0.2,"")</f>
        <v>0.2</v>
      </c>
      <c r="E137" s="12">
        <f t="shared" si="103"/>
        <v>0.2</v>
      </c>
      <c r="F137" s="12">
        <f t="shared" si="103"/>
        <v>0.2</v>
      </c>
      <c r="G137" s="12">
        <f t="shared" si="103"/>
        <v>0.2</v>
      </c>
      <c r="H137" s="12" t="str">
        <f t="shared" si="103"/>
        <v/>
      </c>
      <c r="I137" s="12" t="str">
        <f t="shared" si="103"/>
        <v/>
      </c>
      <c r="J137" s="12" t="str">
        <f t="shared" si="103"/>
        <v/>
      </c>
      <c r="K137" s="12" t="str">
        <f t="shared" si="103"/>
        <v/>
      </c>
      <c r="L137" s="12" t="str">
        <f t="shared" si="103"/>
        <v/>
      </c>
    </row>
    <row r="138" spans="1:14" x14ac:dyDescent="0.35">
      <c r="A138" t="s">
        <v>126</v>
      </c>
      <c r="C138" s="14">
        <f t="shared" ref="C138:L138" ca="1" si="104">IF(C$27&lt;&gt;"",C115+C137,"")</f>
        <v>7.2</v>
      </c>
      <c r="D138" s="14">
        <f t="shared" ca="1" si="104"/>
        <v>7</v>
      </c>
      <c r="E138" s="14">
        <f t="shared" ca="1" si="104"/>
        <v>6.9</v>
      </c>
      <c r="F138" s="14">
        <f t="shared" ca="1" si="104"/>
        <v>6.8</v>
      </c>
      <c r="G138" s="14">
        <f t="shared" ca="1" si="104"/>
        <v>6.8</v>
      </c>
      <c r="H138" s="14" t="str">
        <f t="shared" si="104"/>
        <v/>
      </c>
      <c r="I138" s="14" t="str">
        <f t="shared" si="104"/>
        <v/>
      </c>
      <c r="J138" s="14" t="str">
        <f t="shared" si="104"/>
        <v/>
      </c>
      <c r="K138" s="14" t="str">
        <f t="shared" si="104"/>
        <v/>
      </c>
      <c r="L138" s="14" t="str">
        <f t="shared" si="104"/>
        <v/>
      </c>
    </row>
    <row r="140" spans="1:14" x14ac:dyDescent="0.35">
      <c r="D140" s="18"/>
    </row>
  </sheetData>
  <mergeCells count="9">
    <mergeCell ref="C9:G9"/>
    <mergeCell ref="C10:G10"/>
    <mergeCell ref="C11:G11"/>
    <mergeCell ref="A3:G3"/>
    <mergeCell ref="C4:G4"/>
    <mergeCell ref="C5:G5"/>
    <mergeCell ref="C6:G6"/>
    <mergeCell ref="C7:G7"/>
    <mergeCell ref="C8:G8"/>
  </mergeCells>
  <conditionalFormatting sqref="D61">
    <cfRule type="cellIs" dxfId="237" priority="83" operator="greaterThan">
      <formula>$D$60</formula>
    </cfRule>
  </conditionalFormatting>
  <conditionalFormatting sqref="C61">
    <cfRule type="cellIs" dxfId="236" priority="72" operator="greaterThan">
      <formula>$C$60</formula>
    </cfRule>
  </conditionalFormatting>
  <conditionalFormatting sqref="E61">
    <cfRule type="cellIs" dxfId="235" priority="70" operator="greaterThan">
      <formula>$E$60</formula>
    </cfRule>
  </conditionalFormatting>
  <conditionalFormatting sqref="F61">
    <cfRule type="cellIs" dxfId="234" priority="69" operator="greaterThan">
      <formula>$F$60</formula>
    </cfRule>
  </conditionalFormatting>
  <conditionalFormatting sqref="G61">
    <cfRule type="cellIs" dxfId="233" priority="68" operator="greaterThan">
      <formula>$G$60</formula>
    </cfRule>
  </conditionalFormatting>
  <conditionalFormatting sqref="H61">
    <cfRule type="cellIs" dxfId="232" priority="67" operator="greaterThan">
      <formula>$H$60</formula>
    </cfRule>
  </conditionalFormatting>
  <conditionalFormatting sqref="I61">
    <cfRule type="cellIs" dxfId="231" priority="66" operator="greaterThan">
      <formula>$I$60</formula>
    </cfRule>
  </conditionalFormatting>
  <conditionalFormatting sqref="J61">
    <cfRule type="cellIs" dxfId="230" priority="65" operator="greaterThan">
      <formula>$J$60</formula>
    </cfRule>
  </conditionalFormatting>
  <conditionalFormatting sqref="K61">
    <cfRule type="cellIs" dxfId="229" priority="64" operator="greaterThan">
      <formula>$K$60</formula>
    </cfRule>
  </conditionalFormatting>
  <conditionalFormatting sqref="L61">
    <cfRule type="cellIs" dxfId="228" priority="63" operator="greaterThan">
      <formula>$L$60</formula>
    </cfRule>
  </conditionalFormatting>
  <conditionalFormatting sqref="C69">
    <cfRule type="cellIs" dxfId="227" priority="55" operator="greaterThan">
      <formula>$C$68</formula>
    </cfRule>
  </conditionalFormatting>
  <conditionalFormatting sqref="D69">
    <cfRule type="cellIs" dxfId="226" priority="54" operator="greaterThan">
      <formula>$D$68</formula>
    </cfRule>
  </conditionalFormatting>
  <conditionalFormatting sqref="E69">
    <cfRule type="cellIs" dxfId="225" priority="53" operator="greaterThan">
      <formula>$E$68</formula>
    </cfRule>
  </conditionalFormatting>
  <conditionalFormatting sqref="F69">
    <cfRule type="cellIs" dxfId="224" priority="52" operator="greaterThan">
      <formula>$F$68</formula>
    </cfRule>
  </conditionalFormatting>
  <conditionalFormatting sqref="G69">
    <cfRule type="cellIs" dxfId="223" priority="51" operator="greaterThan">
      <formula>$G$68</formula>
    </cfRule>
  </conditionalFormatting>
  <conditionalFormatting sqref="H69">
    <cfRule type="cellIs" dxfId="222" priority="50" operator="greaterThan">
      <formula>$H$68</formula>
    </cfRule>
  </conditionalFormatting>
  <conditionalFormatting sqref="I69">
    <cfRule type="cellIs" dxfId="221" priority="49" operator="greaterThan">
      <formula>$I$68</formula>
    </cfRule>
  </conditionalFormatting>
  <conditionalFormatting sqref="J69">
    <cfRule type="cellIs" dxfId="220" priority="48" operator="greaterThan">
      <formula>$J$68</formula>
    </cfRule>
  </conditionalFormatting>
  <conditionalFormatting sqref="K69">
    <cfRule type="cellIs" dxfId="219" priority="47" operator="greaterThan">
      <formula>$K$68</formula>
    </cfRule>
  </conditionalFormatting>
  <conditionalFormatting sqref="L69">
    <cfRule type="cellIs" dxfId="218" priority="46" operator="greaterThan">
      <formula>$L$68</formula>
    </cfRule>
  </conditionalFormatting>
  <conditionalFormatting sqref="C77">
    <cfRule type="cellIs" dxfId="217" priority="45" operator="greaterThan">
      <formula>$C$76</formula>
    </cfRule>
  </conditionalFormatting>
  <conditionalFormatting sqref="D77">
    <cfRule type="cellIs" dxfId="216" priority="44" operator="greaterThan">
      <formula>$D$76</formula>
    </cfRule>
  </conditionalFormatting>
  <conditionalFormatting sqref="E77">
    <cfRule type="cellIs" dxfId="215" priority="43" operator="greaterThan">
      <formula>$E$76</formula>
    </cfRule>
  </conditionalFormatting>
  <conditionalFormatting sqref="F77">
    <cfRule type="cellIs" dxfId="214" priority="42" operator="greaterThan">
      <formula>$F$76</formula>
    </cfRule>
  </conditionalFormatting>
  <conditionalFormatting sqref="G77">
    <cfRule type="cellIs" dxfId="213" priority="41" operator="greaterThan">
      <formula>$G$76</formula>
    </cfRule>
  </conditionalFormatting>
  <conditionalFormatting sqref="H77">
    <cfRule type="cellIs" dxfId="212" priority="40" operator="greaterThan">
      <formula>$H$76</formula>
    </cfRule>
  </conditionalFormatting>
  <conditionalFormatting sqref="I77">
    <cfRule type="cellIs" dxfId="211" priority="39" operator="greaterThan">
      <formula>$I$76</formula>
    </cfRule>
  </conditionalFormatting>
  <conditionalFormatting sqref="J77">
    <cfRule type="cellIs" dxfId="210" priority="38" operator="greaterThan">
      <formula>$J$76</formula>
    </cfRule>
  </conditionalFormatting>
  <conditionalFormatting sqref="K77">
    <cfRule type="cellIs" dxfId="209" priority="37" operator="greaterThan">
      <formula>$K$76</formula>
    </cfRule>
  </conditionalFormatting>
  <conditionalFormatting sqref="L77">
    <cfRule type="cellIs" dxfId="208" priority="36" operator="greaterThan">
      <formula>$L$76</formula>
    </cfRule>
  </conditionalFormatting>
  <conditionalFormatting sqref="C85">
    <cfRule type="cellIs" dxfId="207" priority="35" operator="greaterThan">
      <formula>$C$84</formula>
    </cfRule>
  </conditionalFormatting>
  <conditionalFormatting sqref="D85">
    <cfRule type="cellIs" dxfId="206" priority="34" operator="greaterThan">
      <formula>$D$84</formula>
    </cfRule>
  </conditionalFormatting>
  <conditionalFormatting sqref="E85">
    <cfRule type="cellIs" dxfId="205" priority="33" operator="greaterThan">
      <formula>$E$84</formula>
    </cfRule>
  </conditionalFormatting>
  <conditionalFormatting sqref="F85">
    <cfRule type="cellIs" dxfId="204" priority="32" operator="greaterThan">
      <formula>$F$84</formula>
    </cfRule>
  </conditionalFormatting>
  <conditionalFormatting sqref="G85">
    <cfRule type="cellIs" dxfId="203" priority="31" operator="greaterThan">
      <formula>$G$84</formula>
    </cfRule>
  </conditionalFormatting>
  <conditionalFormatting sqref="H85">
    <cfRule type="cellIs" dxfId="202" priority="30" operator="greaterThan">
      <formula>$H$84</formula>
    </cfRule>
  </conditionalFormatting>
  <conditionalFormatting sqref="I85">
    <cfRule type="cellIs" dxfId="201" priority="29" operator="greaterThan">
      <formula>$I$84</formula>
    </cfRule>
  </conditionalFormatting>
  <conditionalFormatting sqref="J85">
    <cfRule type="cellIs" dxfId="200" priority="28" operator="greaterThan">
      <formula>$J$84</formula>
    </cfRule>
  </conditionalFormatting>
  <conditionalFormatting sqref="K85">
    <cfRule type="cellIs" dxfId="199" priority="27" operator="greaterThan">
      <formula>$K$84</formula>
    </cfRule>
  </conditionalFormatting>
  <conditionalFormatting sqref="L85">
    <cfRule type="cellIs" dxfId="198" priority="26" operator="greaterThan">
      <formula>$L$84</formula>
    </cfRule>
  </conditionalFormatting>
  <conditionalFormatting sqref="C93">
    <cfRule type="cellIs" dxfId="197" priority="25" operator="greaterThan">
      <formula>$C$92</formula>
    </cfRule>
  </conditionalFormatting>
  <conditionalFormatting sqref="D93">
    <cfRule type="cellIs" dxfId="196" priority="24" operator="greaterThan">
      <formula>$D$92</formula>
    </cfRule>
  </conditionalFormatting>
  <conditionalFormatting sqref="E93">
    <cfRule type="cellIs" dxfId="195" priority="23" operator="greaterThan">
      <formula>$E$92</formula>
    </cfRule>
  </conditionalFormatting>
  <conditionalFormatting sqref="F93">
    <cfRule type="cellIs" dxfId="194" priority="22" operator="greaterThan">
      <formula>$F$92</formula>
    </cfRule>
  </conditionalFormatting>
  <conditionalFormatting sqref="G93">
    <cfRule type="cellIs" dxfId="193" priority="21" operator="greaterThan">
      <formula>$G$92</formula>
    </cfRule>
  </conditionalFormatting>
  <conditionalFormatting sqref="H93">
    <cfRule type="cellIs" dxfId="192" priority="20" operator="greaterThan">
      <formula>$H$92</formula>
    </cfRule>
  </conditionalFormatting>
  <conditionalFormatting sqref="I93">
    <cfRule type="cellIs" dxfId="191" priority="19" operator="greaterThan">
      <formula>$I$92</formula>
    </cfRule>
  </conditionalFormatting>
  <conditionalFormatting sqref="J93">
    <cfRule type="cellIs" dxfId="190" priority="18" operator="greaterThan">
      <formula>$J$92</formula>
    </cfRule>
  </conditionalFormatting>
  <conditionalFormatting sqref="K93">
    <cfRule type="cellIs" dxfId="189" priority="17" operator="greaterThan">
      <formula>$K$92</formula>
    </cfRule>
  </conditionalFormatting>
  <conditionalFormatting sqref="L93">
    <cfRule type="cellIs" dxfId="188" priority="16" operator="greaterThan">
      <formula>$L$92</formula>
    </cfRule>
  </conditionalFormatting>
  <conditionalFormatting sqref="C101">
    <cfRule type="cellIs" dxfId="187" priority="15" operator="greaterThan">
      <formula>$C$100</formula>
    </cfRule>
  </conditionalFormatting>
  <conditionalFormatting sqref="D101">
    <cfRule type="cellIs" dxfId="186" priority="14" operator="greaterThan">
      <formula>$D$100</formula>
    </cfRule>
  </conditionalFormatting>
  <conditionalFormatting sqref="E101">
    <cfRule type="cellIs" dxfId="185" priority="13" operator="greaterThan">
      <formula>$E$100</formula>
    </cfRule>
  </conditionalFormatting>
  <conditionalFormatting sqref="F101">
    <cfRule type="cellIs" dxfId="184" priority="12" operator="greaterThan">
      <formula>$F$100</formula>
    </cfRule>
  </conditionalFormatting>
  <conditionalFormatting sqref="G101">
    <cfRule type="cellIs" dxfId="183" priority="11" operator="greaterThan">
      <formula>$G$100</formula>
    </cfRule>
  </conditionalFormatting>
  <conditionalFormatting sqref="H101">
    <cfRule type="cellIs" dxfId="182" priority="10" operator="greaterThan">
      <formula>$H$100</formula>
    </cfRule>
  </conditionalFormatting>
  <conditionalFormatting sqref="I101">
    <cfRule type="cellIs" dxfId="181" priority="9" operator="greaterThan">
      <formula>$I$100</formula>
    </cfRule>
  </conditionalFormatting>
  <conditionalFormatting sqref="J101">
    <cfRule type="cellIs" dxfId="180" priority="8" operator="greaterThan">
      <formula>$J$100</formula>
    </cfRule>
  </conditionalFormatting>
  <conditionalFormatting sqref="K101">
    <cfRule type="cellIs" dxfId="179" priority="7" operator="greaterThan">
      <formula>$K$100</formula>
    </cfRule>
  </conditionalFormatting>
  <conditionalFormatting sqref="L101">
    <cfRule type="cellIs" dxfId="178" priority="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3"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71"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62"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61"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60"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9"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8"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7"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6"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5"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 operator="equal" id="{2DE96102-C57C-4F35-85CF-CB3027D7D3F7}">
            <xm:f>PowellReleaseTemperature!$B$7</xm:f>
            <x14:dxf>
              <font>
                <color auto="1"/>
              </font>
              <fill>
                <patternFill>
                  <bgColor rgb="FFFF0000"/>
                </patternFill>
              </fill>
            </x14:dxf>
          </x14:cfRule>
          <x14:cfRule type="cellIs" priority="2" operator="equal" id="{E0FB28DA-4CF0-4796-9A28-87B66DC3D74A}">
            <xm:f>PowellReleaseTemperature!$B$8</xm:f>
            <x14:dxf>
              <font>
                <color rgb="FF9C0006"/>
              </font>
              <fill>
                <patternFill>
                  <bgColor rgb="FFFFC7CE"/>
                </patternFill>
              </fill>
            </x14:dxf>
          </x14:cfRule>
          <x14:cfRule type="cellIs" priority="3" operator="equal" id="{97A4B0A8-9414-453C-B131-D6D738665FAB}">
            <xm:f>PowellReleaseTemperature!$B$9</xm:f>
            <x14:dxf>
              <font>
                <color auto="1"/>
              </font>
              <fill>
                <patternFill>
                  <bgColor theme="4" tint="0.39994506668294322"/>
                </patternFill>
              </fill>
            </x14:dxf>
          </x14:cfRule>
          <x14:cfRule type="cellIs" priority="4" operator="equal" id="{61E9AA2D-AFBB-47A6-87D6-7A2BF56240AB}">
            <xm:f>PowellReleaseTemperature!$B$10</xm:f>
            <x14:dxf>
              <font>
                <color auto="1"/>
              </font>
              <fill>
                <patternFill>
                  <bgColor theme="8" tint="-0.499984740745262"/>
                </patternFill>
              </fill>
            </x14:dxf>
          </x14:cfRule>
          <xm:sqref>C135:L135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45D6-CB8D-4DA8-B027-A278257E1A52}">
  <dimension ref="A1:N140"/>
  <sheetViews>
    <sheetView topLeftCell="A117" zoomScale="150" zoomScaleNormal="150" workbookViewId="0">
      <selection activeCell="A131" sqref="A131:C135"/>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32" t="s">
        <v>152</v>
      </c>
      <c r="B3" s="132"/>
      <c r="C3" s="132"/>
      <c r="D3" s="132"/>
      <c r="E3" s="132"/>
      <c r="F3" s="132"/>
      <c r="G3" s="132"/>
      <c r="H3" s="85"/>
      <c r="I3" s="85"/>
      <c r="J3" s="85"/>
      <c r="K3" s="85"/>
    </row>
    <row r="4" spans="1:11" x14ac:dyDescent="0.35">
      <c r="A4" s="59" t="s">
        <v>38</v>
      </c>
      <c r="B4" s="59" t="s">
        <v>42</v>
      </c>
      <c r="C4" s="133" t="s">
        <v>43</v>
      </c>
      <c r="D4" s="134"/>
      <c r="E4" s="134"/>
      <c r="F4" s="134"/>
      <c r="G4" s="135"/>
    </row>
    <row r="5" spans="1:11" x14ac:dyDescent="0.35">
      <c r="A5" s="86" t="s">
        <v>51</v>
      </c>
      <c r="B5" s="86"/>
      <c r="C5" s="136"/>
      <c r="D5" s="136"/>
      <c r="E5" s="136"/>
      <c r="F5" s="136"/>
      <c r="G5" s="136"/>
    </row>
    <row r="6" spans="1:11" x14ac:dyDescent="0.35">
      <c r="A6" s="84" t="s">
        <v>39</v>
      </c>
      <c r="B6" s="84" t="s">
        <v>156</v>
      </c>
      <c r="C6" s="130" t="s">
        <v>153</v>
      </c>
      <c r="D6" s="130"/>
      <c r="E6" s="130"/>
      <c r="F6" s="130"/>
      <c r="G6" s="130"/>
    </row>
    <row r="7" spans="1:11" x14ac:dyDescent="0.35">
      <c r="A7" s="84" t="s">
        <v>40</v>
      </c>
      <c r="B7" s="84" t="s">
        <v>156</v>
      </c>
      <c r="C7" s="130" t="s">
        <v>153</v>
      </c>
      <c r="D7" s="130"/>
      <c r="E7" s="130"/>
      <c r="F7" s="130"/>
      <c r="G7" s="130"/>
    </row>
    <row r="8" spans="1:11" x14ac:dyDescent="0.35">
      <c r="A8" s="84" t="s">
        <v>41</v>
      </c>
      <c r="B8" s="84" t="s">
        <v>156</v>
      </c>
      <c r="C8" s="130" t="s">
        <v>153</v>
      </c>
      <c r="D8" s="130"/>
      <c r="E8" s="130"/>
      <c r="F8" s="130"/>
      <c r="G8" s="130"/>
    </row>
    <row r="9" spans="1:11" x14ac:dyDescent="0.35">
      <c r="A9" s="84" t="s">
        <v>148</v>
      </c>
      <c r="B9" s="84" t="s">
        <v>156</v>
      </c>
      <c r="C9" s="130" t="s">
        <v>154</v>
      </c>
      <c r="D9" s="130"/>
      <c r="E9" s="130"/>
      <c r="F9" s="130"/>
      <c r="G9" s="130"/>
    </row>
    <row r="10" spans="1:11" x14ac:dyDescent="0.35">
      <c r="A10" s="84" t="s">
        <v>160</v>
      </c>
      <c r="B10" s="84" t="s">
        <v>156</v>
      </c>
      <c r="C10" s="131" t="s">
        <v>187</v>
      </c>
      <c r="D10" s="131"/>
      <c r="E10" s="131"/>
      <c r="F10" s="131"/>
      <c r="G10" s="131"/>
    </row>
    <row r="11" spans="1:11" x14ac:dyDescent="0.35">
      <c r="A11" s="84"/>
      <c r="B11" s="84"/>
      <c r="C11" s="131"/>
      <c r="D11" s="131"/>
      <c r="E11" s="131"/>
      <c r="F11" s="131"/>
      <c r="G11" s="131"/>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20" t="s">
        <v>157</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v>11</v>
      </c>
      <c r="D27" s="45">
        <v>9</v>
      </c>
      <c r="E27" s="45">
        <v>8.5</v>
      </c>
      <c r="F27" s="45">
        <v>8.5</v>
      </c>
      <c r="G27" s="45">
        <v>8.5</v>
      </c>
      <c r="H27" s="45"/>
      <c r="I27" s="45"/>
      <c r="J27" s="45"/>
      <c r="K27" s="45"/>
      <c r="L27" s="45"/>
    </row>
    <row r="28" spans="1:14" x14ac:dyDescent="0.35">
      <c r="A28" s="1" t="s">
        <v>121</v>
      </c>
      <c r="B28" s="1"/>
      <c r="C28" s="12">
        <f>IF(C$27&lt;&gt;"",0.8,"")</f>
        <v>0.8</v>
      </c>
      <c r="D28" s="12">
        <f t="shared" ref="D28:L28" si="0">IF(D$27&lt;&gt;"",0.8,"")</f>
        <v>0.8</v>
      </c>
      <c r="E28" s="12">
        <f t="shared" si="0"/>
        <v>0.8</v>
      </c>
      <c r="F28" s="12">
        <f t="shared" si="0"/>
        <v>0.8</v>
      </c>
      <c r="G28" s="12">
        <f t="shared" si="0"/>
        <v>0.8</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f>IF(C$27&lt;&gt;"",SUM(B22:C22),"")</f>
        <v>21.1</v>
      </c>
      <c r="D29" s="14">
        <f ca="1">IF(D$27&lt;&gt;"",C127,"")</f>
        <v>18.888432055485019</v>
      </c>
      <c r="E29" s="14">
        <f t="shared" ref="E29:L29" ca="1" si="1">IF(E$27&lt;&gt;"",D127,"")</f>
        <v>15.368777979766044</v>
      </c>
      <c r="F29" s="14">
        <f t="shared" ca="1" si="1"/>
        <v>14.927451853932684</v>
      </c>
      <c r="G29" s="14">
        <f t="shared" ca="1" si="1"/>
        <v>14.632753840599921</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f>IF(OR(C$27="",$A30=""),"",B30)</f>
        <v>5.0734237499999999</v>
      </c>
      <c r="D30" s="14">
        <f ca="1">IF(OR(D$27="",$A30=""),"",C121)</f>
        <v>3.1233582945981313</v>
      </c>
      <c r="E30" s="14">
        <f t="shared" ref="E30:L30" ca="1" si="3">IF(OR(E$27="",$A30=""),"",D121)</f>
        <v>0</v>
      </c>
      <c r="F30" s="14">
        <f t="shared" ca="1" si="3"/>
        <v>0</v>
      </c>
      <c r="G30" s="14">
        <f t="shared" ca="1" si="3"/>
        <v>0</v>
      </c>
      <c r="H30" s="14" t="str">
        <f t="shared" si="3"/>
        <v/>
      </c>
      <c r="I30" s="14" t="str">
        <f t="shared" si="3"/>
        <v/>
      </c>
      <c r="J30" s="14" t="str">
        <f t="shared" si="3"/>
        <v/>
      </c>
      <c r="K30" s="14" t="str">
        <f t="shared" si="3"/>
        <v/>
      </c>
      <c r="L30" s="14" t="str">
        <f t="shared" si="3"/>
        <v/>
      </c>
      <c r="N30" t="s">
        <v>180</v>
      </c>
    </row>
    <row r="31" spans="1:14" x14ac:dyDescent="0.35">
      <c r="A31" t="str">
        <f t="shared" si="2"/>
        <v xml:space="preserve">    Lower Basin Balance</v>
      </c>
      <c r="B31" s="53">
        <f>C22-C24-B32</f>
        <v>4.2614069999999993</v>
      </c>
      <c r="C31" s="14">
        <f t="shared" ref="C31:C35" si="4">IF(OR(C$27="",$A31=""),"",B31)</f>
        <v>4.2614069999999993</v>
      </c>
      <c r="D31" s="14">
        <f t="shared" ref="D31:L35" ca="1" si="5">IF(OR(D$27="",$A31=""),"",C122)</f>
        <v>4.0083315344091641</v>
      </c>
      <c r="E31" s="14">
        <f t="shared" ca="1" si="5"/>
        <v>3.6204249224669756</v>
      </c>
      <c r="F31" s="14">
        <f t="shared" ca="1" si="5"/>
        <v>3.187751167579945</v>
      </c>
      <c r="G31" s="14">
        <f t="shared" ca="1" si="5"/>
        <v>2.9013254160679924</v>
      </c>
      <c r="H31" s="14" t="str">
        <f t="shared" si="5"/>
        <v/>
      </c>
      <c r="I31" s="14" t="str">
        <f t="shared" si="5"/>
        <v/>
      </c>
      <c r="J31" s="14" t="str">
        <f t="shared" si="5"/>
        <v/>
      </c>
      <c r="K31" s="14" t="str">
        <f t="shared" si="5"/>
        <v/>
      </c>
      <c r="L31" s="14" t="str">
        <f t="shared" si="5"/>
        <v/>
      </c>
      <c r="N31" t="s">
        <v>177</v>
      </c>
    </row>
    <row r="32" spans="1:14" x14ac:dyDescent="0.35">
      <c r="A32" t="str">
        <f t="shared" si="2"/>
        <v xml:space="preserve">    Mexico Balance</v>
      </c>
      <c r="B32" s="69">
        <v>0.17399999999999999</v>
      </c>
      <c r="C32" s="57">
        <f t="shared" si="4"/>
        <v>0.17399999999999999</v>
      </c>
      <c r="D32" s="57">
        <f t="shared" ca="1" si="5"/>
        <v>0.16557297647772518</v>
      </c>
      <c r="E32" s="57">
        <f t="shared" ca="1" si="5"/>
        <v>0.15718380729906833</v>
      </c>
      <c r="F32" s="57">
        <f t="shared" ca="1" si="5"/>
        <v>0.14853143635273836</v>
      </c>
      <c r="G32" s="57">
        <f t="shared" ca="1" si="5"/>
        <v>0.14025917453192949</v>
      </c>
      <c r="H32" s="14" t="str">
        <f t="shared" si="5"/>
        <v/>
      </c>
      <c r="I32" s="14" t="str">
        <f t="shared" si="5"/>
        <v/>
      </c>
      <c r="J32" s="14" t="str">
        <f t="shared" si="5"/>
        <v/>
      </c>
      <c r="K32" s="14" t="str">
        <f t="shared" si="5"/>
        <v/>
      </c>
      <c r="L32" s="14" t="str">
        <f t="shared" si="5"/>
        <v/>
      </c>
      <c r="N32" t="s">
        <v>176</v>
      </c>
    </row>
    <row r="33" spans="1:14" x14ac:dyDescent="0.35">
      <c r="A33" t="str">
        <f t="shared" si="2"/>
        <v xml:space="preserve">    Mohave &amp; Havasu Evap &amp; ET Balance</v>
      </c>
      <c r="B33" s="54">
        <v>0</v>
      </c>
      <c r="C33" s="14">
        <f t="shared" si="4"/>
        <v>0</v>
      </c>
      <c r="D33" s="14">
        <f t="shared" ca="1" si="5"/>
        <v>0</v>
      </c>
      <c r="E33" s="14">
        <f t="shared" ca="1" si="5"/>
        <v>0</v>
      </c>
      <c r="F33" s="14">
        <f t="shared" ca="1" si="5"/>
        <v>0</v>
      </c>
      <c r="G33" s="14">
        <f t="shared" ca="1" si="5"/>
        <v>0</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f t="shared" si="4"/>
        <v>11.59116925</v>
      </c>
      <c r="D34" s="14">
        <f t="shared" ca="1" si="5"/>
        <v>11.59116925</v>
      </c>
      <c r="E34" s="14">
        <f t="shared" ca="1" si="5"/>
        <v>11.59116925</v>
      </c>
      <c r="F34" s="14">
        <f t="shared" ca="1" si="5"/>
        <v>11.59116925</v>
      </c>
      <c r="G34" s="14">
        <f t="shared" ca="1" si="5"/>
        <v>11.59116925</v>
      </c>
      <c r="H34" s="14" t="str">
        <f t="shared" si="5"/>
        <v/>
      </c>
      <c r="I34" s="14" t="str">
        <f t="shared" si="5"/>
        <v/>
      </c>
      <c r="J34" s="14" t="str">
        <f t="shared" si="5"/>
        <v/>
      </c>
      <c r="K34" s="14" t="str">
        <f t="shared" si="5"/>
        <v/>
      </c>
      <c r="L34" s="14" t="str">
        <f t="shared" si="5"/>
        <v/>
      </c>
      <c r="N34" t="s">
        <v>179</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205</v>
      </c>
      <c r="C36"/>
    </row>
    <row r="37" spans="1:14" x14ac:dyDescent="0.35">
      <c r="A37" t="s">
        <v>113</v>
      </c>
      <c r="C37" s="14">
        <f>IF(C$27&lt;&gt;"",B22,"")</f>
        <v>11</v>
      </c>
      <c r="D37" s="14">
        <f ca="1">IF(D$27&lt;&gt;"",C129,"")</f>
        <v>9.4442160277425096</v>
      </c>
      <c r="E37" s="14">
        <f t="shared" ref="E37:G38" ca="1" si="6">IF(E$27&lt;&gt;"",D129,"")</f>
        <v>7.684388989883022</v>
      </c>
      <c r="F37" s="14">
        <f t="shared" ca="1" si="6"/>
        <v>7.4637259269663421</v>
      </c>
      <c r="G37" s="14">
        <f t="shared" ca="1" si="6"/>
        <v>7.3163769202999607</v>
      </c>
      <c r="H37" s="14" t="str">
        <f t="shared" ref="H37:L38" si="7">IF(H27&lt;&gt;"",$B37*H$29,"")</f>
        <v/>
      </c>
      <c r="I37" s="14" t="str">
        <f t="shared" si="7"/>
        <v/>
      </c>
      <c r="J37" s="14" t="str">
        <f t="shared" si="7"/>
        <v/>
      </c>
      <c r="K37" s="14" t="str">
        <f t="shared" si="7"/>
        <v/>
      </c>
      <c r="L37" s="14" t="str">
        <f t="shared" si="7"/>
        <v/>
      </c>
    </row>
    <row r="38" spans="1:14" x14ac:dyDescent="0.35">
      <c r="A38" t="s">
        <v>114</v>
      </c>
      <c r="C38" s="14">
        <f>IF(C$27&lt;&gt;"",C22,"")</f>
        <v>10.1</v>
      </c>
      <c r="D38" s="14">
        <f ca="1">IF(D$27&lt;&gt;"",C130,"")</f>
        <v>9.4442160277425096</v>
      </c>
      <c r="E38" s="14">
        <f t="shared" ca="1" si="6"/>
        <v>7.684388989883022</v>
      </c>
      <c r="F38" s="14">
        <f t="shared" ca="1" si="6"/>
        <v>7.4637259269663421</v>
      </c>
      <c r="G38" s="14">
        <f t="shared" ca="1" si="6"/>
        <v>7.3163769202999607</v>
      </c>
      <c r="H38" s="14" t="str">
        <f t="shared" si="7"/>
        <v/>
      </c>
      <c r="I38" s="14" t="str">
        <f t="shared" si="7"/>
        <v/>
      </c>
      <c r="J38" s="14" t="str">
        <f t="shared" si="7"/>
        <v/>
      </c>
      <c r="K38" s="14" t="str">
        <f t="shared" si="7"/>
        <v/>
      </c>
      <c r="L38" s="14" t="str">
        <f t="shared" si="7"/>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0.95702967600117295</v>
      </c>
      <c r="E39" s="14">
        <f ca="1">IF(E$27&lt;&gt;"",VLOOKUP(E37*1000000,'Powell-Elevation-Area'!$B$5:$D$689,3)*$B$21/1000000 + VLOOKUP(E38*1000000,'Mead-Elevation-Area'!$B$5:$D$676,3)*$C$21/1000000,"")</f>
        <v>0.84599279250002701</v>
      </c>
      <c r="F39" s="14">
        <f ca="1">IF(F$27&lt;&gt;"",VLOOKUP(F37*1000000,'Powell-Elevation-Area'!$B$5:$D$689,3)*$B$21/1000000 + VLOOKUP(F38*1000000,'Mead-Elevation-Area'!$B$5:$D$676,3)*$C$21/1000000,"")</f>
        <v>0.83136467999942698</v>
      </c>
      <c r="G39" s="14">
        <f ca="1">IF(G$27&lt;&gt;"",VLOOKUP(G37*1000000,'Powell-Elevation-Area'!$B$5:$D$689,3)*$B$21/1000000 + VLOOKUP(G38*1000000,'Mead-Elevation-Area'!$B$5:$D$676,3)*$C$21/1000000,"")</f>
        <v>0.82228660500117301</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8">IF(A6="","","    "&amp;A6&amp;" Share")</f>
        <v xml:space="preserve">    Upper Basin Share</v>
      </c>
      <c r="B40" s="1"/>
      <c r="C40" s="14">
        <f>IF(OR(C$27="",$A40=""),"",C$39*C30/C$29)</f>
        <v>0.24571184643515467</v>
      </c>
      <c r="D40" s="14">
        <f t="shared" ref="D40:L40" ca="1" si="9">IF(OR(D$27="",$A40=""),"",D$39*D30/D$29)</f>
        <v>0.15825276380454278</v>
      </c>
      <c r="E40" s="14">
        <f t="shared" ca="1" si="9"/>
        <v>0</v>
      </c>
      <c r="F40" s="14">
        <f t="shared" ca="1" si="9"/>
        <v>0</v>
      </c>
      <c r="G40" s="14">
        <f t="shared" ca="1" si="9"/>
        <v>0</v>
      </c>
      <c r="H40" s="14" t="str">
        <f t="shared" si="9"/>
        <v/>
      </c>
      <c r="I40" s="14" t="str">
        <f t="shared" si="9"/>
        <v/>
      </c>
      <c r="J40" s="14" t="str">
        <f t="shared" si="9"/>
        <v/>
      </c>
      <c r="K40" s="14" t="str">
        <f t="shared" si="9"/>
        <v/>
      </c>
      <c r="L40" s="14" t="str">
        <f t="shared" si="9"/>
        <v/>
      </c>
    </row>
    <row r="41" spans="1:14" x14ac:dyDescent="0.35">
      <c r="A41" t="str">
        <f t="shared" si="8"/>
        <v xml:space="preserve">    Lower Basin Share</v>
      </c>
      <c r="B41" s="1"/>
      <c r="C41" s="14">
        <f t="shared" ref="C41:L45" si="10">IF(OR(C$27="",$A41=""),"",C$39*C31/C$29)</f>
        <v>0.20638492544244763</v>
      </c>
      <c r="D41" s="14">
        <f t="shared" ca="1" si="10"/>
        <v>0.20309214753306759</v>
      </c>
      <c r="E41" s="14">
        <f t="shared" ca="1" si="10"/>
        <v>0.1992906263742614</v>
      </c>
      <c r="F41" s="14">
        <f t="shared" ca="1" si="10"/>
        <v>0.17753758345934317</v>
      </c>
      <c r="G41" s="14">
        <f t="shared" ca="1" si="10"/>
        <v>0.16303978406052064</v>
      </c>
      <c r="H41" s="14" t="str">
        <f t="shared" si="10"/>
        <v/>
      </c>
      <c r="I41" s="14" t="str">
        <f t="shared" si="10"/>
        <v/>
      </c>
      <c r="J41" s="14" t="str">
        <f t="shared" si="10"/>
        <v/>
      </c>
      <c r="K41" s="14" t="str">
        <f t="shared" si="10"/>
        <v/>
      </c>
      <c r="L41" s="14" t="str">
        <f t="shared" si="10"/>
        <v/>
      </c>
    </row>
    <row r="42" spans="1:14" x14ac:dyDescent="0.35">
      <c r="A42" t="str">
        <f t="shared" si="8"/>
        <v xml:space="preserve">    Mexico Share</v>
      </c>
      <c r="B42" s="1"/>
      <c r="C42" s="14">
        <f t="shared" si="10"/>
        <v>8.4270235222746598E-3</v>
      </c>
      <c r="D42" s="14">
        <f t="shared" ca="1" si="10"/>
        <v>8.3891691786567545E-3</v>
      </c>
      <c r="E42" s="14">
        <f t="shared" ca="1" si="10"/>
        <v>8.6523709463300624E-3</v>
      </c>
      <c r="F42" s="14">
        <f t="shared" ca="1" si="10"/>
        <v>8.2722618208088475E-3</v>
      </c>
      <c r="G42" s="14">
        <f t="shared" ca="1" si="10"/>
        <v>7.8818547556048276E-3</v>
      </c>
      <c r="H42" s="14" t="str">
        <f t="shared" si="10"/>
        <v/>
      </c>
      <c r="I42" s="14" t="str">
        <f t="shared" si="10"/>
        <v/>
      </c>
      <c r="J42" s="14" t="str">
        <f t="shared" si="10"/>
        <v/>
      </c>
      <c r="K42" s="14" t="str">
        <f t="shared" si="10"/>
        <v/>
      </c>
      <c r="L42" s="14" t="str">
        <f t="shared" si="10"/>
        <v/>
      </c>
    </row>
    <row r="43" spans="1:14" x14ac:dyDescent="0.35">
      <c r="A43" t="str">
        <f t="shared" si="8"/>
        <v xml:space="preserve">    Mohave &amp; Havasu Evap &amp; ET Share</v>
      </c>
      <c r="B43" s="1"/>
      <c r="C43" s="14">
        <f t="shared" si="10"/>
        <v>0</v>
      </c>
      <c r="D43" s="14">
        <f t="shared" ca="1" si="10"/>
        <v>0</v>
      </c>
      <c r="E43" s="14">
        <f t="shared" ca="1" si="10"/>
        <v>0</v>
      </c>
      <c r="F43" s="14">
        <f t="shared" ca="1" si="10"/>
        <v>0</v>
      </c>
      <c r="G43" s="14">
        <f t="shared" ca="1" si="10"/>
        <v>0</v>
      </c>
      <c r="H43" s="14" t="str">
        <f t="shared" si="10"/>
        <v/>
      </c>
      <c r="I43" s="14" t="str">
        <f t="shared" si="10"/>
        <v/>
      </c>
      <c r="J43" s="14" t="str">
        <f t="shared" si="10"/>
        <v/>
      </c>
      <c r="K43" s="14" t="str">
        <f t="shared" si="10"/>
        <v/>
      </c>
      <c r="L43" s="14" t="str">
        <f t="shared" si="10"/>
        <v/>
      </c>
    </row>
    <row r="44" spans="1:14" x14ac:dyDescent="0.35">
      <c r="A44" t="str">
        <f t="shared" si="8"/>
        <v xml:space="preserve">    Shared, Reserve Share</v>
      </c>
      <c r="B44" s="1"/>
      <c r="C44" s="14">
        <f t="shared" si="10"/>
        <v>0.56137388460009618</v>
      </c>
      <c r="D44" s="14">
        <f t="shared" ca="1" si="10"/>
        <v>0.58729559548490584</v>
      </c>
      <c r="E44" s="14">
        <f t="shared" ca="1" si="10"/>
        <v>0.6380497951794355</v>
      </c>
      <c r="F44" s="14">
        <f t="shared" ca="1" si="10"/>
        <v>0.64555483471927499</v>
      </c>
      <c r="G44" s="14">
        <f t="shared" ca="1" si="10"/>
        <v>0.65136496618504758</v>
      </c>
      <c r="H44" s="14" t="str">
        <f t="shared" si="10"/>
        <v/>
      </c>
      <c r="I44" s="14" t="str">
        <f t="shared" si="10"/>
        <v/>
      </c>
      <c r="J44" s="14" t="str">
        <f t="shared" si="10"/>
        <v/>
      </c>
      <c r="K44" s="14" t="str">
        <f t="shared" si="10"/>
        <v/>
      </c>
      <c r="L44" s="14" t="str">
        <f t="shared" si="10"/>
        <v/>
      </c>
    </row>
    <row r="45" spans="1:14" x14ac:dyDescent="0.35">
      <c r="A45" t="str">
        <f t="shared" si="8"/>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272</v>
      </c>
      <c r="B46" s="1"/>
      <c r="C46" s="50">
        <f>IF(C$27&lt;&gt;"",1.5-0.21/9/2-VLOOKUP(C38,LowerBasinCuts!$C$5:$P$13,13),"")</f>
        <v>1.4473333333333334</v>
      </c>
      <c r="D46" s="50">
        <f ca="1">IF(D$27&lt;&gt;"",1.5-0.21/9/2-VLOOKUP(D38,LowerBasinCuts!$C$5:$P$13,13),"")</f>
        <v>1.4083333333333332</v>
      </c>
      <c r="E46" s="50">
        <f ca="1">IF(E$27&lt;&gt;"",1.5-0.21/9/2-VLOOKUP(E38,LowerBasinCuts!$C$5:$P$13,13),"")</f>
        <v>1.4083333333333332</v>
      </c>
      <c r="F46" s="50">
        <f ca="1">IF(F$27&lt;&gt;"",1.5-0.21/9/2-VLOOKUP(F38,LowerBasinCuts!$C$5:$P$13,13),"")</f>
        <v>1.3843333333333332</v>
      </c>
      <c r="G46" s="50">
        <f ca="1">IF(G$27&lt;&gt;"",1.5-0.21/9/2-VLOOKUP(G38,LowerBasinCuts!$C$5:$P$13,13),"")</f>
        <v>1.3423333333333334</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189</v>
      </c>
      <c r="B47" s="1"/>
      <c r="C47" s="52">
        <f>IF(C27="","",SUM(C27:C28))</f>
        <v>11.8</v>
      </c>
      <c r="D47" s="52">
        <f t="shared" ref="D47:L47" si="11">IF(D27="","",SUM(D27:D28))</f>
        <v>9.8000000000000007</v>
      </c>
      <c r="E47" s="52">
        <f t="shared" si="11"/>
        <v>9.3000000000000007</v>
      </c>
      <c r="F47" s="52">
        <f t="shared" si="11"/>
        <v>9.3000000000000007</v>
      </c>
      <c r="G47" s="52">
        <f t="shared" si="11"/>
        <v>9.3000000000000007</v>
      </c>
      <c r="H47" s="52" t="str">
        <f t="shared" si="11"/>
        <v/>
      </c>
      <c r="I47" s="52" t="str">
        <f t="shared" si="11"/>
        <v/>
      </c>
      <c r="J47" s="52" t="str">
        <f t="shared" si="11"/>
        <v/>
      </c>
      <c r="K47" s="52" t="str">
        <f t="shared" si="11"/>
        <v/>
      </c>
      <c r="L47" s="52" t="str">
        <f t="shared" si="11"/>
        <v/>
      </c>
      <c r="M47" s="46"/>
      <c r="N47" s="46"/>
    </row>
    <row r="48" spans="1:14" x14ac:dyDescent="0.35">
      <c r="A48" t="str">
        <f>IF(A6="","","    To "&amp;A6)</f>
        <v xml:space="preserve">    To Upper Basin</v>
      </c>
      <c r="B48" s="24" t="s">
        <v>147</v>
      </c>
      <c r="C48" s="14">
        <f>IF(OR(C$27="",$A48=""),"",IF(C$47&gt;SUM(C49:C53),C$47-SUM(C49:C53),0))</f>
        <v>2.4956463910332864</v>
      </c>
      <c r="D48" s="14">
        <f t="shared" ref="D48:L48" ca="1" si="12">IF(OR(D$27="",$A48=""),"",IF(D$47&gt;SUM(D49:D53),D$47-SUM(D49:D53),0))</f>
        <v>0.50218553559088264</v>
      </c>
      <c r="E48" s="14">
        <f t="shared" ca="1" si="12"/>
        <v>0</v>
      </c>
      <c r="F48" s="14">
        <f t="shared" ca="1" si="12"/>
        <v>0</v>
      </c>
      <c r="G48" s="14">
        <f t="shared" ca="1" si="12"/>
        <v>3.1508502408108541E-3</v>
      </c>
      <c r="H48" s="14" t="str">
        <f t="shared" si="12"/>
        <v/>
      </c>
      <c r="I48" s="14" t="str">
        <f t="shared" si="12"/>
        <v/>
      </c>
      <c r="J48" s="14" t="str">
        <f t="shared" si="12"/>
        <v/>
      </c>
      <c r="K48" s="14" t="str">
        <f t="shared" si="12"/>
        <v/>
      </c>
      <c r="L48" s="14" t="str">
        <f t="shared" si="12"/>
        <v/>
      </c>
      <c r="M48" s="29"/>
      <c r="N48" s="29"/>
    </row>
    <row r="49" spans="1:14" x14ac:dyDescent="0.35">
      <c r="A49" t="str">
        <f t="shared" ref="A49:A53" si="13">IF(A7="","","    To "&amp;A7)</f>
        <v xml:space="preserve">    To Lower Basin</v>
      </c>
      <c r="B49" s="44">
        <f>7.5</f>
        <v>7.5</v>
      </c>
      <c r="C49" s="14">
        <f>IF(OR(C$27="",$A49=""),"",C28-C52/2-C51-C50/2+MIN($B49,C27-C50/2-C52/2))</f>
        <v>6.6956463910332857</v>
      </c>
      <c r="D49" s="14">
        <f t="shared" ref="D49:G49" ca="1" si="14">IF(OR(D$27="",$A49=""),"",D28-D52/2-D51-D50/2+MIN($B49,D27-D50/2-D52/2))</f>
        <v>6.7021855355908801</v>
      </c>
      <c r="E49" s="14">
        <f t="shared" ca="1" si="14"/>
        <v>6.6536168714872312</v>
      </c>
      <c r="F49" s="14">
        <f t="shared" ca="1" si="14"/>
        <v>6.6701118319473913</v>
      </c>
      <c r="G49" s="14">
        <f t="shared" ca="1" si="14"/>
        <v>6.7031508502408093</v>
      </c>
      <c r="H49" s="14" t="str">
        <f>IF(OR(H$27="",$A49=""),"",H28-H52/2-H51-H50/2+MIN($B49,H27-H50/2-H52/2))</f>
        <v/>
      </c>
      <c r="I49" s="14" t="str">
        <f t="shared" ref="I49:L49" si="15">IF(OR(I$27="",$A49=""),"",I28-I52/2-I51-I50/2+MIN($B49,I27-I50/2-I52/2))</f>
        <v/>
      </c>
      <c r="J49" s="14" t="str">
        <f t="shared" si="15"/>
        <v/>
      </c>
      <c r="K49" s="14" t="str">
        <f t="shared" si="15"/>
        <v/>
      </c>
      <c r="L49" s="14" t="str">
        <f t="shared" si="15"/>
        <v/>
      </c>
      <c r="M49" s="29"/>
      <c r="N49" s="29"/>
    </row>
    <row r="50" spans="1:14" x14ac:dyDescent="0.35">
      <c r="A50" t="str">
        <f t="shared" si="13"/>
        <v xml:space="preserve">    To Mexico</v>
      </c>
      <c r="B50" s="44" t="s">
        <v>191</v>
      </c>
      <c r="C50" s="14">
        <f>IF(OR(C$27="",$A50=""),"",IF(C$47&gt;SUM(C51:C52,C46),C46,C$47-SUM(C51:C52)))</f>
        <v>1.4473333333333334</v>
      </c>
      <c r="D50" s="14">
        <f t="shared" ref="D50:L50" ca="1" si="16">IF(OR(D$27="",$A50=""),"",IF(D$47&gt;SUM(D51:D52,D46),D46,D$47-SUM(D51:D52)))</f>
        <v>1.4083333333333332</v>
      </c>
      <c r="E50" s="14">
        <f t="shared" ca="1" si="16"/>
        <v>1.4083333333333332</v>
      </c>
      <c r="F50" s="14">
        <f t="shared" ca="1" si="16"/>
        <v>1.3843333333333332</v>
      </c>
      <c r="G50" s="14">
        <f t="shared" ca="1" si="16"/>
        <v>1.3423333333333334</v>
      </c>
      <c r="H50" s="14" t="str">
        <f t="shared" si="16"/>
        <v/>
      </c>
      <c r="I50" s="14" t="str">
        <f t="shared" si="16"/>
        <v/>
      </c>
      <c r="J50" s="14" t="str">
        <f t="shared" si="16"/>
        <v/>
      </c>
      <c r="K50" s="14" t="str">
        <f t="shared" si="16"/>
        <v/>
      </c>
      <c r="L50" s="14" t="str">
        <f t="shared" si="16"/>
        <v/>
      </c>
      <c r="M50" s="29"/>
      <c r="N50" s="29"/>
    </row>
    <row r="51" spans="1:14" x14ac:dyDescent="0.35">
      <c r="A51" t="str">
        <f t="shared" si="13"/>
        <v xml:space="preserve">    To Mohave &amp; Havasu Evap &amp; ET</v>
      </c>
      <c r="B51" s="44">
        <v>0.6</v>
      </c>
      <c r="C51" s="14">
        <f>IF(OR(C$27="",$A51=""),"",IF(C$47&gt;C52+$B$51,$B51,C$47-C52))</f>
        <v>0.6</v>
      </c>
      <c r="D51" s="14">
        <f t="shared" ref="D51:L51" ca="1" si="17">IF(OR(D$27="",$A51=""),"",IF(D$47&gt;D52+$B$51,$B51,D$47-D52))</f>
        <v>0.6</v>
      </c>
      <c r="E51" s="14">
        <f t="shared" ca="1" si="17"/>
        <v>0.6</v>
      </c>
      <c r="F51" s="14">
        <f t="shared" ca="1" si="17"/>
        <v>0.6</v>
      </c>
      <c r="G51" s="14">
        <f t="shared" ca="1" si="17"/>
        <v>0.6</v>
      </c>
      <c r="H51" s="14" t="str">
        <f t="shared" si="17"/>
        <v/>
      </c>
      <c r="I51" s="14" t="str">
        <f t="shared" si="17"/>
        <v/>
      </c>
      <c r="J51" s="14" t="str">
        <f t="shared" si="17"/>
        <v/>
      </c>
      <c r="K51" s="14" t="str">
        <f t="shared" si="17"/>
        <v/>
      </c>
      <c r="L51" s="14" t="str">
        <f t="shared" si="17"/>
        <v/>
      </c>
      <c r="M51" s="29"/>
      <c r="N51" s="29"/>
    </row>
    <row r="52" spans="1:14" x14ac:dyDescent="0.35">
      <c r="A52" t="str">
        <f t="shared" si="13"/>
        <v xml:space="preserve">    To Shared, Reserve</v>
      </c>
      <c r="B52" s="44" t="s">
        <v>190</v>
      </c>
      <c r="C52" s="14">
        <f>IF(OR(C$27="",$A52=""),"",IF(C$47&gt;C44,C44,C$47))</f>
        <v>0.56137388460009618</v>
      </c>
      <c r="D52" s="14">
        <f t="shared" ref="D52:L52" ca="1" si="18">IF(OR(D$27="",$A52=""),"",IF(D$47&gt;D44,D44,D$47))</f>
        <v>0.58729559548490584</v>
      </c>
      <c r="E52" s="14">
        <f t="shared" ca="1" si="18"/>
        <v>0.6380497951794355</v>
      </c>
      <c r="F52" s="14">
        <f t="shared" ca="1" si="18"/>
        <v>0.64555483471927499</v>
      </c>
      <c r="G52" s="14">
        <f t="shared" ca="1" si="18"/>
        <v>0.65136496618504758</v>
      </c>
      <c r="H52" s="14" t="str">
        <f t="shared" si="18"/>
        <v/>
      </c>
      <c r="I52" s="14" t="str">
        <f t="shared" si="18"/>
        <v/>
      </c>
      <c r="J52" s="14" t="str">
        <f t="shared" si="18"/>
        <v/>
      </c>
      <c r="K52" s="14" t="str">
        <f t="shared" si="18"/>
        <v/>
      </c>
      <c r="L52" s="14" t="str">
        <f t="shared" si="18"/>
        <v/>
      </c>
      <c r="M52" s="29"/>
      <c r="N52" s="29"/>
    </row>
    <row r="53" spans="1:14" x14ac:dyDescent="0.35">
      <c r="A53" t="str">
        <f t="shared" si="13"/>
        <v/>
      </c>
      <c r="B53" s="44"/>
      <c r="C53" s="57" t="str">
        <f t="shared" ref="C53:L53" si="19">IF(OR(C$27="",$A53=""),"",IF(C$27&gt;$B53,$B53,C$27))</f>
        <v/>
      </c>
      <c r="D53" s="57" t="str">
        <f t="shared" si="19"/>
        <v/>
      </c>
      <c r="E53" s="57" t="str">
        <f t="shared" si="19"/>
        <v/>
      </c>
      <c r="F53" s="57" t="str">
        <f t="shared" si="19"/>
        <v/>
      </c>
      <c r="G53" s="57" t="str">
        <f t="shared" si="19"/>
        <v/>
      </c>
      <c r="H53" s="57" t="str">
        <f t="shared" si="19"/>
        <v/>
      </c>
      <c r="I53" s="57" t="str">
        <f t="shared" si="19"/>
        <v/>
      </c>
      <c r="J53" s="57" t="str">
        <f t="shared" si="19"/>
        <v/>
      </c>
      <c r="K53" s="57" t="str">
        <f t="shared" si="19"/>
        <v/>
      </c>
      <c r="L53" s="57" t="str">
        <f t="shared" si="19"/>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0">IF(OR(C$27="",$A59=""),"",C$112)</f>
        <v>0</v>
      </c>
      <c r="D59" s="78">
        <f t="shared" ca="1" si="20"/>
        <v>0</v>
      </c>
      <c r="E59" s="78">
        <f t="shared" ca="1" si="20"/>
        <v>0</v>
      </c>
      <c r="F59" s="78">
        <f t="shared" ca="1" si="20"/>
        <v>0</v>
      </c>
      <c r="G59" s="78">
        <f t="shared" ca="1" si="20"/>
        <v>0</v>
      </c>
      <c r="H59" s="78" t="str">
        <f t="shared" si="20"/>
        <v/>
      </c>
      <c r="I59" s="78" t="str">
        <f t="shared" si="20"/>
        <v/>
      </c>
      <c r="J59" s="78" t="str">
        <f t="shared" si="20"/>
        <v/>
      </c>
      <c r="K59" s="78" t="str">
        <f t="shared" si="20"/>
        <v/>
      </c>
      <c r="L59" s="78" t="str">
        <f t="shared" si="20"/>
        <v/>
      </c>
      <c r="M59" t="str">
        <f t="shared" si="20"/>
        <v/>
      </c>
      <c r="N59" t="str">
        <f>IF(A59="","","If non-zero, players need to change amount(s)")</f>
        <v>If non-zero, players need to change amount(s)</v>
      </c>
    </row>
    <row r="60" spans="1:14" x14ac:dyDescent="0.35">
      <c r="A60" s="1" t="str">
        <f>IF(A58="","","   Available Water [maf]")</f>
        <v xml:space="preserve">   Available Water [maf]</v>
      </c>
      <c r="C60" s="14">
        <f>IF(OR(C$27="",$A60=""),"",C30+C48-C40-C57)</f>
        <v>7.3233582945981315</v>
      </c>
      <c r="D60" s="14">
        <f t="shared" ref="D60:L60" ca="1" si="21">IF(OR(D$27="",$A60=""),"",D30+D48-D40-D57)</f>
        <v>3.4672910663844712</v>
      </c>
      <c r="E60" s="14">
        <f t="shared" ca="1" si="21"/>
        <v>0</v>
      </c>
      <c r="F60" s="14">
        <f t="shared" ca="1" si="21"/>
        <v>0</v>
      </c>
      <c r="G60" s="14">
        <f t="shared" ca="1" si="21"/>
        <v>3.1508502408108541E-3</v>
      </c>
      <c r="H60" s="14" t="str">
        <f t="shared" si="21"/>
        <v/>
      </c>
      <c r="I60" s="14" t="str">
        <f t="shared" si="21"/>
        <v/>
      </c>
      <c r="J60" s="14" t="str">
        <f t="shared" si="21"/>
        <v/>
      </c>
      <c r="K60" s="14" t="str">
        <f t="shared" si="21"/>
        <v/>
      </c>
      <c r="L60" s="14" t="str">
        <f t="shared" si="2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IF(C27&lt;&gt;"",IF(C60&gt;4.2,4.2,MAX(C60,0)),"")</f>
        <v>4.2</v>
      </c>
      <c r="D61" s="43">
        <f t="shared" ref="D61:G61" ca="1" si="22">IF(D27&lt;&gt;"",IF(D60&gt;4.2,4.2,MAX(D60,0)),"")</f>
        <v>3.4672910663844712</v>
      </c>
      <c r="E61" s="43">
        <f t="shared" ca="1" si="22"/>
        <v>0</v>
      </c>
      <c r="F61" s="43">
        <f t="shared" ca="1" si="22"/>
        <v>0</v>
      </c>
      <c r="G61" s="43">
        <f t="shared" ca="1" si="22"/>
        <v>3.1508502408108541E-3</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3.1233582945981313</v>
      </c>
      <c r="D62" s="77">
        <f t="shared" ref="D62:L62" ca="1" si="23">IF(OR(D$27="",$A62=""),"",D60-D61)</f>
        <v>0</v>
      </c>
      <c r="E62" s="77">
        <f t="shared" ca="1" si="23"/>
        <v>0</v>
      </c>
      <c r="F62" s="77">
        <f t="shared" ca="1" si="23"/>
        <v>0</v>
      </c>
      <c r="G62" s="77">
        <f t="shared" ca="1" si="23"/>
        <v>0</v>
      </c>
      <c r="H62" s="77" t="str">
        <f t="shared" si="23"/>
        <v/>
      </c>
      <c r="I62" s="77" t="str">
        <f t="shared" si="23"/>
        <v/>
      </c>
      <c r="J62" s="77" t="str">
        <f t="shared" si="23"/>
        <v/>
      </c>
      <c r="K62" s="77" t="str">
        <f t="shared" si="23"/>
        <v/>
      </c>
      <c r="L62" s="77" t="str">
        <f t="shared" si="23"/>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4">IF(A66="","",N58)</f>
        <v>Add if multiple transactions, e.g.: $350*0.5 + $450*0.25</v>
      </c>
    </row>
    <row r="67" spans="1:14" x14ac:dyDescent="0.35">
      <c r="A67" s="32" t="str">
        <f>IF(A66="","","   Volume all players (should be zero)")</f>
        <v xml:space="preserve">   Volume all players (should be zero)</v>
      </c>
      <c r="C67" s="78">
        <f t="shared" ref="C67:M67" ca="1" si="25">IF(OR(C$27="",$A67=""),"",C$112)</f>
        <v>0</v>
      </c>
      <c r="D67" s="78">
        <f t="shared" ca="1" si="25"/>
        <v>0</v>
      </c>
      <c r="E67" s="78">
        <f t="shared" ca="1" si="25"/>
        <v>0</v>
      </c>
      <c r="F67" s="78">
        <f t="shared" ca="1" si="25"/>
        <v>0</v>
      </c>
      <c r="G67" s="78">
        <f t="shared" ca="1" si="25"/>
        <v>0</v>
      </c>
      <c r="H67" s="78" t="str">
        <f t="shared" si="25"/>
        <v/>
      </c>
      <c r="I67" s="78" t="str">
        <f t="shared" si="25"/>
        <v/>
      </c>
      <c r="J67" s="78" t="str">
        <f t="shared" si="25"/>
        <v/>
      </c>
      <c r="K67" s="78" t="str">
        <f t="shared" si="25"/>
        <v/>
      </c>
      <c r="L67" s="78" t="str">
        <f t="shared" si="25"/>
        <v/>
      </c>
      <c r="M67" t="str">
        <f t="shared" si="25"/>
        <v/>
      </c>
      <c r="N67" t="str">
        <f t="shared" si="24"/>
        <v>If non-zero, players need to change amount(s)</v>
      </c>
    </row>
    <row r="68" spans="1:14" x14ac:dyDescent="0.35">
      <c r="A68" s="1" t="str">
        <f>IF(A66="","","   Available Water [maf]")</f>
        <v xml:space="preserve">   Available Water [maf]</v>
      </c>
      <c r="C68" s="14">
        <f t="shared" ref="C68:L68" si="26">IF(OR(C$27="",$A68=""),"",C31+C49-C41-C65)</f>
        <v>10.750668465590836</v>
      </c>
      <c r="D68" s="14">
        <f t="shared" ca="1" si="26"/>
        <v>10.507424922466976</v>
      </c>
      <c r="E68" s="14">
        <f t="shared" ca="1" si="26"/>
        <v>10.074751167579945</v>
      </c>
      <c r="F68" s="14">
        <f t="shared" ca="1" si="26"/>
        <v>9.6803254160679924</v>
      </c>
      <c r="G68" s="14">
        <f t="shared" ca="1" si="26"/>
        <v>9.4414364822482799</v>
      </c>
      <c r="H68" s="14" t="str">
        <f t="shared" si="26"/>
        <v/>
      </c>
      <c r="I68" s="14" t="str">
        <f t="shared" si="26"/>
        <v/>
      </c>
      <c r="J68" s="14" t="str">
        <f t="shared" si="26"/>
        <v/>
      </c>
      <c r="K68" s="14" t="str">
        <f t="shared" si="26"/>
        <v/>
      </c>
      <c r="L68" s="14" t="str">
        <f t="shared" si="26"/>
        <v/>
      </c>
      <c r="N68" t="str">
        <f t="shared" si="24"/>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6.8870000000000005</v>
      </c>
      <c r="E69" s="43">
        <f ca="1">IF(E27&lt;&gt;"",7.5-VLOOKUP(E38,LowerBasinCuts!$C$5:$P$13,14),"")</f>
        <v>6.8870000000000005</v>
      </c>
      <c r="F69" s="43">
        <f ca="1">IF(F27&lt;&gt;"",7.5-VLOOKUP(F38,LowerBasinCuts!$C$5:$P$13,14),"")</f>
        <v>6.7789999999999999</v>
      </c>
      <c r="G69" s="43">
        <f ca="1">IF(G27&lt;&gt;"",7.5-VLOOKUP(G38,LowerBasinCuts!$C$5:$P$13,14),"")</f>
        <v>6.4870000000000001</v>
      </c>
      <c r="H69" s="97"/>
      <c r="I69" s="97"/>
      <c r="J69" s="97"/>
      <c r="K69" s="97"/>
      <c r="L69" s="97"/>
      <c r="N69" t="str">
        <f t="shared" si="24"/>
        <v>Must be less than Available water</v>
      </c>
    </row>
    <row r="70" spans="1:14" x14ac:dyDescent="0.35">
      <c r="A70" s="32" t="str">
        <f>IF(A69="","","   End of Year Balance [maf]")</f>
        <v xml:space="preserve">   End of Year Balance [maf]</v>
      </c>
      <c r="C70" s="77">
        <f>7.5-IF(OR(C$27="",$A70=""),"",C68-C69)</f>
        <v>4.0083315344091641</v>
      </c>
      <c r="D70" s="77">
        <f t="shared" ref="D70:L70" ca="1" si="27">IF(OR(D$27="",$A70=""),"",D68-D69)</f>
        <v>3.6204249224669756</v>
      </c>
      <c r="E70" s="77">
        <f t="shared" ca="1" si="27"/>
        <v>3.187751167579945</v>
      </c>
      <c r="F70" s="77">
        <f t="shared" ca="1" si="27"/>
        <v>2.9013254160679924</v>
      </c>
      <c r="G70" s="77">
        <f t="shared" ca="1" si="27"/>
        <v>2.9544364822482798</v>
      </c>
      <c r="H70" s="77" t="str">
        <f t="shared" si="27"/>
        <v/>
      </c>
      <c r="I70" s="77" t="str">
        <f t="shared" si="27"/>
        <v/>
      </c>
      <c r="J70" s="77" t="str">
        <f t="shared" si="27"/>
        <v/>
      </c>
      <c r="K70" s="77" t="str">
        <f t="shared" si="27"/>
        <v/>
      </c>
      <c r="L70" s="77" t="str">
        <f t="shared" si="27"/>
        <v/>
      </c>
      <c r="N70" t="str">
        <f t="shared" si="24"/>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8">IF(A74="","",N66)</f>
        <v>Add if multiple transactions, e.g.: $350*0.5 + $450*0.25</v>
      </c>
    </row>
    <row r="75" spans="1:14" x14ac:dyDescent="0.35">
      <c r="A75" s="32" t="str">
        <f>IF(A74="","","   Volume all players (should be zero)")</f>
        <v xml:space="preserve">   Volume all players (should be zero)</v>
      </c>
      <c r="C75" s="78">
        <f t="shared" ref="C75:M75" ca="1" si="29">IF(OR(C$27="",$A75=""),"",C$112)</f>
        <v>0</v>
      </c>
      <c r="D75" s="78">
        <f t="shared" ca="1" si="29"/>
        <v>0</v>
      </c>
      <c r="E75" s="78">
        <f t="shared" ca="1" si="29"/>
        <v>0</v>
      </c>
      <c r="F75" s="78">
        <f t="shared" ca="1" si="29"/>
        <v>0</v>
      </c>
      <c r="G75" s="78">
        <f t="shared" ca="1" si="29"/>
        <v>0</v>
      </c>
      <c r="H75" s="78" t="str">
        <f t="shared" si="29"/>
        <v/>
      </c>
      <c r="I75" s="78" t="str">
        <f t="shared" si="29"/>
        <v/>
      </c>
      <c r="J75" s="78" t="str">
        <f t="shared" si="29"/>
        <v/>
      </c>
      <c r="K75" s="78" t="str">
        <f t="shared" si="29"/>
        <v/>
      </c>
      <c r="L75" s="78" t="str">
        <f t="shared" si="29"/>
        <v/>
      </c>
      <c r="M75" t="str">
        <f t="shared" si="29"/>
        <v/>
      </c>
      <c r="N75" t="str">
        <f t="shared" si="28"/>
        <v>If non-zero, players need to change amount(s)</v>
      </c>
    </row>
    <row r="76" spans="1:14" x14ac:dyDescent="0.35">
      <c r="A76" s="1" t="str">
        <f>IF(A74="","","   Available Water [maf]")</f>
        <v xml:space="preserve">   Available Water [maf]</v>
      </c>
      <c r="C76" s="14">
        <f t="shared" ref="C76:L76" si="30">IF(OR(C$27="",$A76=""),"",C32+C50-C42-C73)</f>
        <v>1.6129063098110585</v>
      </c>
      <c r="D76" s="14">
        <f t="shared" ca="1" si="30"/>
        <v>1.5655171406324015</v>
      </c>
      <c r="E76" s="14">
        <f t="shared" ca="1" si="30"/>
        <v>1.5568647696860716</v>
      </c>
      <c r="F76" s="14">
        <f ca="1">IF(OR(F$27="",$A76=""),"",F32+F50-F42-F73)</f>
        <v>1.5245925078652627</v>
      </c>
      <c r="G76" s="14">
        <f t="shared" ca="1" si="30"/>
        <v>1.4747106531096581</v>
      </c>
      <c r="H76" s="14" t="str">
        <f t="shared" si="30"/>
        <v/>
      </c>
      <c r="I76" s="14" t="str">
        <f t="shared" si="30"/>
        <v/>
      </c>
      <c r="J76" s="14" t="str">
        <f t="shared" si="30"/>
        <v/>
      </c>
      <c r="K76" s="14" t="str">
        <f t="shared" si="30"/>
        <v/>
      </c>
      <c r="L76" s="14" t="str">
        <f t="shared" si="30"/>
        <v/>
      </c>
      <c r="N76" t="str">
        <f t="shared" si="28"/>
        <v>Available water = Account Balance + Available Inflow - Evaporation + Sales - Purchases</v>
      </c>
    </row>
    <row r="77" spans="1:14" x14ac:dyDescent="0.35">
      <c r="A77" s="1" t="str">
        <f>IF(A76="","","   Account Withdraw [maf]")</f>
        <v xml:space="preserve">   Account Withdraw [maf]</v>
      </c>
      <c r="C77" s="50">
        <f>C46</f>
        <v>1.4473333333333334</v>
      </c>
      <c r="D77" s="50">
        <f t="shared" ref="D77:G77" ca="1" si="31">D46</f>
        <v>1.4083333333333332</v>
      </c>
      <c r="E77" s="50">
        <f t="shared" ca="1" si="31"/>
        <v>1.4083333333333332</v>
      </c>
      <c r="F77" s="50">
        <f t="shared" ca="1" si="31"/>
        <v>1.3843333333333332</v>
      </c>
      <c r="G77" s="50">
        <f t="shared" ca="1" si="31"/>
        <v>1.3423333333333334</v>
      </c>
      <c r="H77" s="43"/>
      <c r="I77" s="43"/>
      <c r="J77" s="43"/>
      <c r="K77" s="43"/>
      <c r="L77" s="43"/>
      <c r="N77" t="str">
        <f t="shared" si="28"/>
        <v>Must be less than Available water</v>
      </c>
    </row>
    <row r="78" spans="1:14" x14ac:dyDescent="0.35">
      <c r="A78" s="32" t="str">
        <f>IF(A77="","","   End of Year Balance [maf]")</f>
        <v xml:space="preserve">   End of Year Balance [maf]</v>
      </c>
      <c r="C78" s="77">
        <f>IF(OR(C$27="",$A78=""),"",C76-C77)</f>
        <v>0.16557297647772518</v>
      </c>
      <c r="D78" s="77">
        <f t="shared" ref="D78:L78" ca="1" si="32">IF(OR(D$27="",$A78=""),"",D76-D77)</f>
        <v>0.15718380729906833</v>
      </c>
      <c r="E78" s="77">
        <f t="shared" ca="1" si="32"/>
        <v>0.14853143635273836</v>
      </c>
      <c r="F78" s="77">
        <f t="shared" ca="1" si="32"/>
        <v>0.14025917453192949</v>
      </c>
      <c r="G78" s="77">
        <f t="shared" ca="1" si="32"/>
        <v>0.13237731977632472</v>
      </c>
      <c r="H78" s="77" t="str">
        <f t="shared" si="32"/>
        <v/>
      </c>
      <c r="I78" s="77" t="str">
        <f t="shared" si="32"/>
        <v/>
      </c>
      <c r="J78" s="77" t="str">
        <f t="shared" si="32"/>
        <v/>
      </c>
      <c r="K78" s="77" t="str">
        <f t="shared" si="32"/>
        <v/>
      </c>
      <c r="L78" s="77" t="str">
        <f t="shared" si="32"/>
        <v/>
      </c>
      <c r="N78" t="str">
        <f t="shared" si="28"/>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3">IF(A82="","",N74)</f>
        <v>Add if multiple transactions, e.g.: $350*0.5 + $450*0.25</v>
      </c>
    </row>
    <row r="83" spans="1:14" x14ac:dyDescent="0.35">
      <c r="A83" s="32" t="str">
        <f>IF(A82="","","   Volume all players (should be zero)")</f>
        <v xml:space="preserve">   Volume all players (should be zero)</v>
      </c>
      <c r="C83" s="78">
        <f t="shared" ref="C83:M83" ca="1" si="34">IF(OR(C$27="",$A83=""),"",C$112)</f>
        <v>0</v>
      </c>
      <c r="D83" s="78">
        <f t="shared" ca="1" si="34"/>
        <v>0</v>
      </c>
      <c r="E83" s="78">
        <f t="shared" ca="1" si="34"/>
        <v>0</v>
      </c>
      <c r="F83" s="78">
        <f t="shared" ca="1" si="34"/>
        <v>0</v>
      </c>
      <c r="G83" s="78">
        <f t="shared" ca="1" si="34"/>
        <v>0</v>
      </c>
      <c r="H83" s="78" t="str">
        <f t="shared" si="34"/>
        <v/>
      </c>
      <c r="I83" s="78" t="str">
        <f t="shared" si="34"/>
        <v/>
      </c>
      <c r="J83" s="78" t="str">
        <f t="shared" si="34"/>
        <v/>
      </c>
      <c r="K83" s="78" t="str">
        <f t="shared" si="34"/>
        <v/>
      </c>
      <c r="L83" s="78" t="str">
        <f t="shared" si="34"/>
        <v/>
      </c>
      <c r="M83" t="str">
        <f t="shared" si="34"/>
        <v/>
      </c>
      <c r="N83" t="str">
        <f t="shared" si="33"/>
        <v>If non-zero, players need to change amount(s)</v>
      </c>
    </row>
    <row r="84" spans="1:14" x14ac:dyDescent="0.35">
      <c r="A84" s="1" t="str">
        <f>IF(A82="","","   Available Water [maf]")</f>
        <v xml:space="preserve">   Available Water [maf]</v>
      </c>
      <c r="C84" s="14">
        <f t="shared" ref="C84:L84" si="35">IF(OR(C$27="",$A84=""),"",C33+C51-C43-C81)</f>
        <v>0.6</v>
      </c>
      <c r="D84" s="14">
        <f t="shared" ca="1" si="35"/>
        <v>0.6</v>
      </c>
      <c r="E84" s="14">
        <f t="shared" ca="1" si="35"/>
        <v>0.6</v>
      </c>
      <c r="F84" s="14">
        <f t="shared" ca="1" si="35"/>
        <v>0.6</v>
      </c>
      <c r="G84" s="14">
        <f t="shared" ca="1" si="35"/>
        <v>0.6</v>
      </c>
      <c r="H84" s="14" t="str">
        <f t="shared" si="35"/>
        <v/>
      </c>
      <c r="I84" s="14" t="str">
        <f t="shared" si="35"/>
        <v/>
      </c>
      <c r="J84" s="14" t="str">
        <f t="shared" si="35"/>
        <v/>
      </c>
      <c r="K84" s="14" t="str">
        <f t="shared" si="35"/>
        <v/>
      </c>
      <c r="L84" s="14" t="str">
        <f t="shared" si="35"/>
        <v/>
      </c>
      <c r="N84" t="str">
        <f t="shared" si="33"/>
        <v>Available water = Account Balance + Available Inflow - Evaporation + Sales - Purchases</v>
      </c>
    </row>
    <row r="85" spans="1:14" x14ac:dyDescent="0.35">
      <c r="A85" s="1" t="str">
        <f>IF(A84="","","   Account Withdraw [maf]")</f>
        <v xml:space="preserve">   Account Withdraw [maf]</v>
      </c>
      <c r="C85" s="43">
        <f>C84</f>
        <v>0.6</v>
      </c>
      <c r="D85" s="43">
        <f t="shared" ref="D85:G85" ca="1" si="36">D84</f>
        <v>0.6</v>
      </c>
      <c r="E85" s="43">
        <f t="shared" ca="1" si="36"/>
        <v>0.6</v>
      </c>
      <c r="F85" s="43">
        <f t="shared" ca="1" si="36"/>
        <v>0.6</v>
      </c>
      <c r="G85" s="43">
        <f t="shared" ca="1" si="36"/>
        <v>0.6</v>
      </c>
      <c r="H85" s="43"/>
      <c r="I85" s="43"/>
      <c r="J85" s="43"/>
      <c r="K85" s="43"/>
      <c r="L85" s="43"/>
      <c r="N85" t="str">
        <f t="shared" si="33"/>
        <v>Must be less than Available water</v>
      </c>
    </row>
    <row r="86" spans="1:14" x14ac:dyDescent="0.35">
      <c r="A86" s="32" t="str">
        <f>IF(A85="","","   End of Year Balance [maf]")</f>
        <v xml:space="preserve">   End of Year Balance [maf]</v>
      </c>
      <c r="C86" s="77">
        <f>IF(OR(C$27="",$A86=""),"",C84-C85)</f>
        <v>0</v>
      </c>
      <c r="D86" s="77">
        <f t="shared" ref="D86:L86" ca="1" si="37">IF(OR(D$27="",$A86=""),"",D84-D85)</f>
        <v>0</v>
      </c>
      <c r="E86" s="77">
        <f t="shared" ca="1" si="37"/>
        <v>0</v>
      </c>
      <c r="F86" s="77">
        <f t="shared" ca="1" si="37"/>
        <v>0</v>
      </c>
      <c r="G86" s="77">
        <f t="shared" ca="1" si="37"/>
        <v>0</v>
      </c>
      <c r="H86" s="77" t="str">
        <f t="shared" si="37"/>
        <v/>
      </c>
      <c r="I86" s="77" t="str">
        <f t="shared" si="37"/>
        <v/>
      </c>
      <c r="J86" s="77" t="str">
        <f t="shared" si="37"/>
        <v/>
      </c>
      <c r="K86" s="77" t="str">
        <f t="shared" si="37"/>
        <v/>
      </c>
      <c r="L86" s="77" t="str">
        <f t="shared" si="37"/>
        <v/>
      </c>
      <c r="N86" t="str">
        <f t="shared" si="33"/>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8">IF(A90="","",N82)</f>
        <v>Add if multiple transactions, e.g.: $350*0.5 + $450*0.25</v>
      </c>
    </row>
    <row r="91" spans="1:14" x14ac:dyDescent="0.35">
      <c r="A91" s="32" t="str">
        <f>IF(A90="","","   Volume all players (should be zero)")</f>
        <v xml:space="preserve">   Volume all players (should be zero)</v>
      </c>
      <c r="C91" s="78">
        <f t="shared" ref="C91:M91" ca="1" si="39">IF(OR(C$27="",$A91=""),"",C$112)</f>
        <v>0</v>
      </c>
      <c r="D91" s="78">
        <f t="shared" ca="1" si="39"/>
        <v>0</v>
      </c>
      <c r="E91" s="78">
        <f t="shared" ca="1" si="39"/>
        <v>0</v>
      </c>
      <c r="F91" s="78">
        <f t="shared" ca="1" si="39"/>
        <v>0</v>
      </c>
      <c r="G91" s="78">
        <f t="shared" ca="1" si="39"/>
        <v>0</v>
      </c>
      <c r="H91" s="78" t="str">
        <f t="shared" si="39"/>
        <v/>
      </c>
      <c r="I91" s="78" t="str">
        <f t="shared" si="39"/>
        <v/>
      </c>
      <c r="J91" s="78" t="str">
        <f t="shared" si="39"/>
        <v/>
      </c>
      <c r="K91" s="78" t="str">
        <f t="shared" si="39"/>
        <v/>
      </c>
      <c r="L91" s="78" t="str">
        <f t="shared" si="39"/>
        <v/>
      </c>
      <c r="M91" t="str">
        <f t="shared" si="39"/>
        <v/>
      </c>
      <c r="N91" t="str">
        <f t="shared" si="38"/>
        <v>If non-zero, players need to change amount(s)</v>
      </c>
    </row>
    <row r="92" spans="1:14" x14ac:dyDescent="0.35">
      <c r="A92" s="1" t="str">
        <f>IF(A90="","","   Available Water [maf]")</f>
        <v xml:space="preserve">   Available Water [maf]</v>
      </c>
      <c r="C92" s="14">
        <f t="shared" ref="C92:L92" si="40">IF(OR(C$27="",$A92=""),"",C34+C52-C44-C89)</f>
        <v>11.59116925</v>
      </c>
      <c r="D92" s="14">
        <f t="shared" ca="1" si="40"/>
        <v>11.59116925</v>
      </c>
      <c r="E92" s="14">
        <f t="shared" ca="1" si="40"/>
        <v>11.59116925</v>
      </c>
      <c r="F92" s="14">
        <f t="shared" ca="1" si="40"/>
        <v>11.59116925</v>
      </c>
      <c r="G92" s="14">
        <f t="shared" ca="1" si="40"/>
        <v>11.59116925</v>
      </c>
      <c r="H92" s="14" t="str">
        <f t="shared" si="40"/>
        <v/>
      </c>
      <c r="I92" s="14" t="str">
        <f t="shared" si="40"/>
        <v/>
      </c>
      <c r="J92" s="14" t="str">
        <f t="shared" si="40"/>
        <v/>
      </c>
      <c r="K92" s="14" t="str">
        <f t="shared" si="40"/>
        <v/>
      </c>
      <c r="L92" s="14" t="str">
        <f t="shared" si="40"/>
        <v/>
      </c>
      <c r="N92" t="str">
        <f t="shared" si="38"/>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8"/>
        <v>Must be less than Available water</v>
      </c>
    </row>
    <row r="94" spans="1:14" x14ac:dyDescent="0.35">
      <c r="A94" s="32" t="str">
        <f>IF(A93="","","   End of Year Balance [maf]")</f>
        <v xml:space="preserve">   End of Year Balance [maf]</v>
      </c>
      <c r="C94" s="77">
        <f>IF(OR(C$27="",$A94=""),"",C92-C93)</f>
        <v>11.59116925</v>
      </c>
      <c r="D94" s="77">
        <f t="shared" ref="D94:L94" ca="1" si="41">IF(OR(D$27="",$A94=""),"",D92-D93)</f>
        <v>11.59116925</v>
      </c>
      <c r="E94" s="77">
        <f t="shared" ca="1" si="41"/>
        <v>11.59116925</v>
      </c>
      <c r="F94" s="77">
        <f t="shared" ca="1" si="41"/>
        <v>11.59116925</v>
      </c>
      <c r="G94" s="77">
        <f t="shared" ca="1" si="41"/>
        <v>11.59116925</v>
      </c>
      <c r="H94" s="77" t="str">
        <f t="shared" si="41"/>
        <v/>
      </c>
      <c r="I94" s="77" t="str">
        <f t="shared" si="41"/>
        <v/>
      </c>
      <c r="J94" s="77" t="str">
        <f t="shared" si="41"/>
        <v/>
      </c>
      <c r="K94" s="77" t="str">
        <f t="shared" si="41"/>
        <v/>
      </c>
      <c r="L94" s="77" t="str">
        <f t="shared" si="41"/>
        <v/>
      </c>
      <c r="N94" t="str">
        <f t="shared" si="38"/>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2">IF(A98="","",N90)</f>
        <v/>
      </c>
    </row>
    <row r="99" spans="1:14" x14ac:dyDescent="0.35">
      <c r="A99" s="32" t="str">
        <f>IF(A98="","","   Volume all players (should be zero)")</f>
        <v/>
      </c>
      <c r="C99" s="78" t="str">
        <f t="shared" ref="C99:M99" si="43">IF(OR(C$27="",$A99=""),"",C$112)</f>
        <v/>
      </c>
      <c r="D99" s="78" t="str">
        <f t="shared" si="43"/>
        <v/>
      </c>
      <c r="E99" s="78" t="str">
        <f t="shared" si="43"/>
        <v/>
      </c>
      <c r="F99" s="78" t="str">
        <f t="shared" si="43"/>
        <v/>
      </c>
      <c r="G99" s="78" t="str">
        <f t="shared" si="43"/>
        <v/>
      </c>
      <c r="H99" s="78" t="str">
        <f t="shared" si="43"/>
        <v/>
      </c>
      <c r="I99" s="78" t="str">
        <f t="shared" si="43"/>
        <v/>
      </c>
      <c r="J99" s="78" t="str">
        <f t="shared" si="43"/>
        <v/>
      </c>
      <c r="K99" s="78" t="str">
        <f t="shared" si="43"/>
        <v/>
      </c>
      <c r="L99" s="78" t="str">
        <f t="shared" si="43"/>
        <v/>
      </c>
      <c r="M99" t="str">
        <f t="shared" si="43"/>
        <v/>
      </c>
      <c r="N99" t="str">
        <f t="shared" si="42"/>
        <v/>
      </c>
    </row>
    <row r="100" spans="1:14" x14ac:dyDescent="0.35">
      <c r="A100" s="1" t="str">
        <f>IF(A98="","","   Available Water [maf]")</f>
        <v/>
      </c>
      <c r="C100" s="14" t="str">
        <f t="shared" ref="C100:L100" si="44">IF(OR(C$27="",$A100=""),"",C35+C53-C45-C97)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43"/>
      <c r="D101" s="43"/>
      <c r="E101" s="43"/>
      <c r="F101" s="43"/>
      <c r="G101" s="43"/>
      <c r="H101" s="43"/>
      <c r="I101" s="43"/>
      <c r="J101" s="43"/>
      <c r="K101" s="43"/>
      <c r="L101" s="43"/>
      <c r="N101" t="str">
        <f t="shared" si="42"/>
        <v/>
      </c>
    </row>
    <row r="102" spans="1:14" x14ac:dyDescent="0.35">
      <c r="A102" s="32" t="str">
        <f>IF(A101="","","   End of Year Balance [maf]")</f>
        <v/>
      </c>
      <c r="C102" s="77" t="str">
        <f>IF(OR(C$27="",$A102=""),"",C100-C101)</f>
        <v/>
      </c>
      <c r="D102" s="77" t="str">
        <f t="shared" ref="D102:L102" si="45">IF(OR(D$27="",$A102=""),"",D100-D101)</f>
        <v/>
      </c>
      <c r="E102" s="77" t="str">
        <f t="shared" si="45"/>
        <v/>
      </c>
      <c r="F102" s="77" t="str">
        <f t="shared" si="45"/>
        <v/>
      </c>
      <c r="G102" s="77" t="str">
        <f t="shared" si="45"/>
        <v/>
      </c>
      <c r="H102" s="77" t="str">
        <f t="shared" si="45"/>
        <v/>
      </c>
      <c r="I102" s="77" t="str">
        <f t="shared" si="45"/>
        <v/>
      </c>
      <c r="J102" s="77" t="str">
        <f t="shared" si="45"/>
        <v/>
      </c>
      <c r="K102" s="77" t="str">
        <f t="shared" si="45"/>
        <v/>
      </c>
      <c r="L102" s="77" t="str">
        <f t="shared" si="45"/>
        <v/>
      </c>
      <c r="N102" t="str">
        <f t="shared" si="42"/>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46">IF(A6="","","    "&amp;A6)</f>
        <v xml:space="preserve">    Upper Basin</v>
      </c>
      <c r="B106" s="1"/>
      <c r="C106" s="78">
        <f t="shared" ref="C106:L111" ca="1" si="47">IF(OR(C$27="",$A106=""),"",OFFSET(C$57,8*(ROW(B106)-ROW(B$106)),0))</f>
        <v>0</v>
      </c>
      <c r="D106" s="78">
        <f t="shared" ca="1" si="47"/>
        <v>0</v>
      </c>
      <c r="E106" s="78">
        <f t="shared" ca="1" si="47"/>
        <v>0</v>
      </c>
      <c r="F106" s="78">
        <f t="shared" ca="1" si="47"/>
        <v>0</v>
      </c>
      <c r="G106" s="78">
        <f t="shared" ca="1" si="47"/>
        <v>0</v>
      </c>
      <c r="H106" s="78" t="str">
        <f t="shared" ca="1" si="47"/>
        <v/>
      </c>
      <c r="I106" s="78" t="str">
        <f t="shared" ca="1" si="47"/>
        <v/>
      </c>
      <c r="J106" s="78" t="str">
        <f t="shared" ca="1" si="47"/>
        <v/>
      </c>
      <c r="K106" s="78" t="str">
        <f t="shared" ca="1" si="47"/>
        <v/>
      </c>
      <c r="L106" s="78" t="str">
        <f t="shared" ca="1" si="47"/>
        <v/>
      </c>
      <c r="M106" s="78">
        <f ca="1">IF(OR($A106=""),"",SUM(C106:L106))</f>
        <v>0</v>
      </c>
      <c r="N106" s="75">
        <f>IF(OR($A106=""),"",M58)</f>
        <v>0</v>
      </c>
    </row>
    <row r="107" spans="1:14" x14ac:dyDescent="0.35">
      <c r="A107" t="str">
        <f t="shared" si="46"/>
        <v xml:space="preserve">    Lower Basin</v>
      </c>
      <c r="B107" s="1"/>
      <c r="C107" s="78">
        <f t="shared" ca="1" si="47"/>
        <v>0</v>
      </c>
      <c r="D107" s="78">
        <f t="shared" ca="1" si="47"/>
        <v>0</v>
      </c>
      <c r="E107" s="78">
        <f t="shared" ca="1" si="47"/>
        <v>0</v>
      </c>
      <c r="F107" s="78">
        <f t="shared" ca="1" si="47"/>
        <v>0</v>
      </c>
      <c r="G107" s="78">
        <f t="shared" ca="1" si="47"/>
        <v>0</v>
      </c>
      <c r="H107" s="78" t="str">
        <f t="shared" ca="1" si="47"/>
        <v/>
      </c>
      <c r="I107" s="78" t="str">
        <f t="shared" ca="1" si="47"/>
        <v/>
      </c>
      <c r="J107" s="78" t="str">
        <f t="shared" ca="1" si="47"/>
        <v/>
      </c>
      <c r="K107" s="78" t="str">
        <f t="shared" ca="1" si="47"/>
        <v/>
      </c>
      <c r="L107" s="78" t="str">
        <f t="shared" ca="1" si="47"/>
        <v/>
      </c>
      <c r="M107" s="78">
        <f t="shared" ref="M107:M111" ca="1" si="48">IF(OR($A107=""),"",SUM(C107:L107))</f>
        <v>0</v>
      </c>
      <c r="N107" s="75">
        <f>IF(OR($A107=""),"",M66)</f>
        <v>0</v>
      </c>
    </row>
    <row r="108" spans="1:14" x14ac:dyDescent="0.35">
      <c r="A108" t="str">
        <f t="shared" si="46"/>
        <v xml:space="preserve">    Mexico</v>
      </c>
      <c r="B108" s="1"/>
      <c r="C108" s="78">
        <f t="shared" ca="1" si="47"/>
        <v>0</v>
      </c>
      <c r="D108" s="78">
        <f t="shared" ca="1" si="47"/>
        <v>0</v>
      </c>
      <c r="E108" s="78">
        <f t="shared" ca="1" si="47"/>
        <v>0</v>
      </c>
      <c r="F108" s="78">
        <f t="shared" ca="1" si="47"/>
        <v>0</v>
      </c>
      <c r="G108" s="78">
        <f t="shared" ca="1" si="47"/>
        <v>0</v>
      </c>
      <c r="H108" s="78" t="str">
        <f t="shared" ca="1" si="47"/>
        <v/>
      </c>
      <c r="I108" s="78" t="str">
        <f t="shared" ca="1" si="47"/>
        <v/>
      </c>
      <c r="J108" s="78" t="str">
        <f t="shared" ca="1" si="47"/>
        <v/>
      </c>
      <c r="K108" s="78" t="str">
        <f t="shared" ca="1" si="47"/>
        <v/>
      </c>
      <c r="L108" s="78" t="str">
        <f t="shared" ca="1" si="47"/>
        <v/>
      </c>
      <c r="M108" s="78">
        <f t="shared" ca="1" si="48"/>
        <v>0</v>
      </c>
      <c r="N108" s="75">
        <f>IF(OR($A108=""),"",M74)</f>
        <v>0</v>
      </c>
    </row>
    <row r="109" spans="1:14" x14ac:dyDescent="0.35">
      <c r="A109" t="str">
        <f t="shared" si="46"/>
        <v xml:space="preserve">    Mohave &amp; Havasu Evap &amp; ET</v>
      </c>
      <c r="B109" s="1"/>
      <c r="C109" s="78">
        <f t="shared" ca="1" si="47"/>
        <v>0</v>
      </c>
      <c r="D109" s="78">
        <f t="shared" ca="1" si="47"/>
        <v>0</v>
      </c>
      <c r="E109" s="78">
        <f t="shared" ca="1" si="47"/>
        <v>0</v>
      </c>
      <c r="F109" s="78">
        <f t="shared" ca="1" si="47"/>
        <v>0</v>
      </c>
      <c r="G109" s="78">
        <f t="shared" ca="1" si="47"/>
        <v>0</v>
      </c>
      <c r="H109" s="78" t="str">
        <f t="shared" ca="1" si="47"/>
        <v/>
      </c>
      <c r="I109" s="78" t="str">
        <f t="shared" ca="1" si="47"/>
        <v/>
      </c>
      <c r="J109" s="78" t="str">
        <f t="shared" ca="1" si="47"/>
        <v/>
      </c>
      <c r="K109" s="78" t="str">
        <f t="shared" ca="1" si="47"/>
        <v/>
      </c>
      <c r="L109" s="78" t="str">
        <f t="shared" ca="1" si="47"/>
        <v/>
      </c>
      <c r="M109" s="78">
        <f t="shared" ca="1" si="48"/>
        <v>0</v>
      </c>
      <c r="N109" s="75">
        <f>IF(OR($A109=""),"",M82)</f>
        <v>0</v>
      </c>
    </row>
    <row r="110" spans="1:14" x14ac:dyDescent="0.35">
      <c r="A110" t="str">
        <f t="shared" si="46"/>
        <v xml:space="preserve">    Shared, Reserve</v>
      </c>
      <c r="B110" s="1"/>
      <c r="C110" s="78">
        <f t="shared" ca="1" si="47"/>
        <v>0</v>
      </c>
      <c r="D110" s="78">
        <f t="shared" ca="1" si="47"/>
        <v>0</v>
      </c>
      <c r="E110" s="78">
        <f t="shared" ca="1" si="47"/>
        <v>0</v>
      </c>
      <c r="F110" s="78">
        <f t="shared" ca="1" si="47"/>
        <v>0</v>
      </c>
      <c r="G110" s="78">
        <f t="shared" ca="1" si="47"/>
        <v>0</v>
      </c>
      <c r="H110" s="78" t="str">
        <f t="shared" ca="1" si="47"/>
        <v/>
      </c>
      <c r="I110" s="78" t="str">
        <f t="shared" ca="1" si="47"/>
        <v/>
      </c>
      <c r="J110" s="78" t="str">
        <f t="shared" ca="1" si="47"/>
        <v/>
      </c>
      <c r="K110" s="78" t="str">
        <f t="shared" ca="1" si="47"/>
        <v/>
      </c>
      <c r="L110" s="78" t="str">
        <f t="shared" ca="1" si="47"/>
        <v/>
      </c>
      <c r="M110" s="78">
        <f t="shared" ca="1" si="48"/>
        <v>0</v>
      </c>
      <c r="N110" s="75">
        <f>IF(OR($A110=""),"",M90)</f>
        <v>0</v>
      </c>
    </row>
    <row r="111" spans="1:14" x14ac:dyDescent="0.35">
      <c r="A111" t="str">
        <f t="shared" si="46"/>
        <v/>
      </c>
      <c r="B111" s="1"/>
      <c r="C111" s="78" t="str">
        <f t="shared" ca="1" si="47"/>
        <v/>
      </c>
      <c r="D111" s="78" t="str">
        <f t="shared" ca="1" si="47"/>
        <v/>
      </c>
      <c r="E111" s="78" t="str">
        <f t="shared" ca="1" si="47"/>
        <v/>
      </c>
      <c r="F111" s="78" t="str">
        <f t="shared" ca="1" si="47"/>
        <v/>
      </c>
      <c r="G111" s="78" t="str">
        <f t="shared" ca="1" si="47"/>
        <v/>
      </c>
      <c r="H111" s="78" t="str">
        <f t="shared" ca="1" si="47"/>
        <v/>
      </c>
      <c r="I111" s="78" t="str">
        <f t="shared" ca="1" si="47"/>
        <v/>
      </c>
      <c r="J111" s="78" t="str">
        <f t="shared" ca="1" si="47"/>
        <v/>
      </c>
      <c r="K111" s="78" t="str">
        <f t="shared" ca="1" si="47"/>
        <v/>
      </c>
      <c r="L111" s="78" t="str">
        <f t="shared" ca="1" si="47"/>
        <v/>
      </c>
      <c r="M111" s="78" t="str">
        <f t="shared" si="48"/>
        <v/>
      </c>
      <c r="N111" s="75" t="str">
        <f>IF(OR($A111=""),"",M98)</f>
        <v/>
      </c>
    </row>
    <row r="112" spans="1:14" x14ac:dyDescent="0.35">
      <c r="A112" t="s">
        <v>146</v>
      </c>
      <c r="B112" s="1"/>
      <c r="C112" s="52">
        <f ca="1">IF(C$27&lt;&gt;"",SUM(C106:C111),"")</f>
        <v>0</v>
      </c>
      <c r="D112" s="52">
        <f t="shared" ref="D112:L112" ca="1" si="49">IF(D$27&lt;&gt;"",SUM(D106:D111),"")</f>
        <v>0</v>
      </c>
      <c r="E112" s="52">
        <f t="shared" ca="1" si="49"/>
        <v>0</v>
      </c>
      <c r="F112" s="52">
        <f t="shared" ca="1" si="49"/>
        <v>0</v>
      </c>
      <c r="G112" s="52">
        <f t="shared" ca="1" si="49"/>
        <v>0</v>
      </c>
      <c r="H112" s="52" t="str">
        <f t="shared" si="49"/>
        <v/>
      </c>
      <c r="I112" s="52" t="str">
        <f t="shared" si="49"/>
        <v/>
      </c>
      <c r="J112" s="52" t="str">
        <f t="shared" si="49"/>
        <v/>
      </c>
      <c r="K112" s="52" t="str">
        <f t="shared" si="49"/>
        <v/>
      </c>
      <c r="L112" s="52" t="str">
        <f t="shared" si="49"/>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0">IF(OR(C$27="",$A114=""),"",OFFSET(C$61,8*(ROW(B114)-ROW(B$114)),0))</f>
        <v>4.2</v>
      </c>
      <c r="D114" s="78">
        <f t="shared" ca="1" si="50"/>
        <v>3.4672910663844712</v>
      </c>
      <c r="E114" s="78">
        <f t="shared" ca="1" si="50"/>
        <v>0</v>
      </c>
      <c r="F114" s="78">
        <f t="shared" ca="1" si="50"/>
        <v>0</v>
      </c>
      <c r="G114" s="78">
        <f t="shared" ca="1" si="50"/>
        <v>3.1508502408108541E-3</v>
      </c>
      <c r="H114" s="78" t="str">
        <f t="shared" ca="1" si="50"/>
        <v/>
      </c>
      <c r="I114" s="78" t="str">
        <f t="shared" ca="1" si="50"/>
        <v/>
      </c>
      <c r="J114" s="78" t="str">
        <f t="shared" ca="1" si="50"/>
        <v/>
      </c>
      <c r="K114" s="78" t="str">
        <f t="shared" ca="1" si="50"/>
        <v/>
      </c>
      <c r="L114" s="78" t="str">
        <f t="shared" ca="1" si="50"/>
        <v/>
      </c>
    </row>
    <row r="115" spans="1:12" x14ac:dyDescent="0.35">
      <c r="A115" t="str">
        <f>IF(A7="","","    "&amp;A7&amp;" - Release from Mead")</f>
        <v xml:space="preserve">    Lower Basin - Release from Mead</v>
      </c>
      <c r="C115" s="78">
        <f t="shared" ca="1" si="50"/>
        <v>7.2590000000000003</v>
      </c>
      <c r="D115" s="78">
        <f t="shared" ca="1" si="50"/>
        <v>6.8870000000000005</v>
      </c>
      <c r="E115" s="78">
        <f t="shared" ca="1" si="50"/>
        <v>6.8870000000000005</v>
      </c>
      <c r="F115" s="78">
        <f t="shared" ca="1" si="50"/>
        <v>6.7789999999999999</v>
      </c>
      <c r="G115" s="78">
        <f t="shared" ca="1" si="50"/>
        <v>6.4870000000000001</v>
      </c>
      <c r="H115" s="78" t="str">
        <f t="shared" ca="1" si="50"/>
        <v/>
      </c>
      <c r="I115" s="78" t="str">
        <f t="shared" ca="1" si="50"/>
        <v/>
      </c>
      <c r="J115" s="78" t="str">
        <f t="shared" ca="1" si="50"/>
        <v/>
      </c>
      <c r="K115" s="78" t="str">
        <f t="shared" ca="1" si="50"/>
        <v/>
      </c>
      <c r="L115" s="78" t="str">
        <f t="shared" ca="1" si="50"/>
        <v/>
      </c>
    </row>
    <row r="116" spans="1:12" x14ac:dyDescent="0.35">
      <c r="A116" t="str">
        <f>IF(A8="","","    "&amp;A8&amp;" - Release from Mead")</f>
        <v xml:space="preserve">    Mexico - Release from Mead</v>
      </c>
      <c r="C116" s="78">
        <f t="shared" ca="1" si="50"/>
        <v>1.4473333333333334</v>
      </c>
      <c r="D116" s="78">
        <f t="shared" ca="1" si="50"/>
        <v>1.4083333333333332</v>
      </c>
      <c r="E116" s="78">
        <f t="shared" ca="1" si="50"/>
        <v>1.4083333333333332</v>
      </c>
      <c r="F116" s="78">
        <f t="shared" ca="1" si="50"/>
        <v>1.3843333333333332</v>
      </c>
      <c r="G116" s="78">
        <f t="shared" ca="1" si="50"/>
        <v>1.3423333333333334</v>
      </c>
      <c r="H116" s="78" t="str">
        <f t="shared" ca="1" si="50"/>
        <v/>
      </c>
      <c r="I116" s="78" t="str">
        <f t="shared" ca="1" si="50"/>
        <v/>
      </c>
      <c r="J116" s="78" t="str">
        <f t="shared" ca="1" si="50"/>
        <v/>
      </c>
      <c r="K116" s="78" t="str">
        <f t="shared" ca="1" si="50"/>
        <v/>
      </c>
      <c r="L116" s="78" t="str">
        <f t="shared" ca="1" si="50"/>
        <v/>
      </c>
    </row>
    <row r="117" spans="1:12" x14ac:dyDescent="0.35">
      <c r="A117" t="str">
        <f>IF(A9="","","    "&amp;A9&amp;" - Release from Mead")</f>
        <v xml:space="preserve">    Mohave &amp; Havasu Evap &amp; ET - Release from Mead</v>
      </c>
      <c r="C117" s="78">
        <f t="shared" ca="1" si="50"/>
        <v>0.6</v>
      </c>
      <c r="D117" s="78">
        <f t="shared" ca="1" si="50"/>
        <v>0.6</v>
      </c>
      <c r="E117" s="78">
        <f t="shared" ca="1" si="50"/>
        <v>0.6</v>
      </c>
      <c r="F117" s="78">
        <f t="shared" ca="1" si="50"/>
        <v>0.6</v>
      </c>
      <c r="G117" s="78">
        <f t="shared" ca="1" si="50"/>
        <v>0.6</v>
      </c>
      <c r="H117" s="78" t="str">
        <f t="shared" ca="1" si="50"/>
        <v/>
      </c>
      <c r="I117" s="78" t="str">
        <f t="shared" ca="1" si="50"/>
        <v/>
      </c>
      <c r="J117" s="78" t="str">
        <f t="shared" ca="1" si="50"/>
        <v/>
      </c>
      <c r="K117" s="78" t="str">
        <f t="shared" ca="1" si="50"/>
        <v/>
      </c>
      <c r="L117" s="78" t="str">
        <f t="shared" ca="1" si="50"/>
        <v/>
      </c>
    </row>
    <row r="118" spans="1:12" x14ac:dyDescent="0.35">
      <c r="A118" t="str">
        <f>IF(A10="","","    "&amp;A10&amp;" - Release from Mead")</f>
        <v xml:space="preserve">    Shared, Reserve - Release from Mead</v>
      </c>
      <c r="C118" s="78">
        <f t="shared" ca="1" si="50"/>
        <v>0</v>
      </c>
      <c r="D118" s="78">
        <f t="shared" ca="1" si="50"/>
        <v>0</v>
      </c>
      <c r="E118" s="78">
        <f t="shared" ca="1" si="50"/>
        <v>0</v>
      </c>
      <c r="F118" s="78">
        <f t="shared" ca="1" si="50"/>
        <v>0</v>
      </c>
      <c r="G118" s="78">
        <f t="shared" ca="1" si="50"/>
        <v>0</v>
      </c>
      <c r="H118" s="78" t="str">
        <f t="shared" ca="1" si="50"/>
        <v/>
      </c>
      <c r="I118" s="78" t="str">
        <f t="shared" ca="1" si="50"/>
        <v/>
      </c>
      <c r="J118" s="78" t="str">
        <f t="shared" ca="1" si="50"/>
        <v/>
      </c>
      <c r="K118" s="78" t="str">
        <f t="shared" ca="1" si="50"/>
        <v/>
      </c>
      <c r="L118" s="78" t="str">
        <f t="shared" ca="1" si="50"/>
        <v/>
      </c>
    </row>
    <row r="119" spans="1:12" x14ac:dyDescent="0.35">
      <c r="A119" t="str">
        <f>IF(A11="","","    "&amp;A11&amp;" - Release from Mead")</f>
        <v/>
      </c>
      <c r="C119" s="78" t="str">
        <f t="shared" ca="1" si="50"/>
        <v/>
      </c>
      <c r="D119" s="78" t="str">
        <f t="shared" ca="1" si="50"/>
        <v/>
      </c>
      <c r="E119" s="78" t="str">
        <f t="shared" ca="1" si="50"/>
        <v/>
      </c>
      <c r="F119" s="78" t="str">
        <f t="shared" ca="1" si="50"/>
        <v/>
      </c>
      <c r="G119" s="78" t="str">
        <f t="shared" ca="1" si="50"/>
        <v/>
      </c>
      <c r="H119" s="78" t="str">
        <f t="shared" ca="1" si="50"/>
        <v/>
      </c>
      <c r="I119" s="78" t="str">
        <f t="shared" ca="1" si="50"/>
        <v/>
      </c>
      <c r="J119" s="78" t="str">
        <f t="shared" ca="1" si="50"/>
        <v/>
      </c>
      <c r="K119" s="78" t="str">
        <f t="shared" ca="1" si="50"/>
        <v/>
      </c>
      <c r="L119" s="78" t="str">
        <f t="shared" ca="1" si="50"/>
        <v/>
      </c>
    </row>
    <row r="120" spans="1:12" x14ac:dyDescent="0.35">
      <c r="A120" s="1" t="s">
        <v>139</v>
      </c>
      <c r="B120" s="1"/>
      <c r="D120" s="2"/>
      <c r="E120" s="2"/>
      <c r="F120" s="2"/>
      <c r="G120" s="2"/>
      <c r="H120" s="2"/>
      <c r="I120" s="2"/>
      <c r="J120" s="2"/>
      <c r="K120" s="2"/>
      <c r="L120" s="2"/>
    </row>
    <row r="121" spans="1:12" x14ac:dyDescent="0.35">
      <c r="A121" t="str">
        <f t="shared" ref="A121:A126" si="51">IF(A6="","","    "&amp;A6)</f>
        <v xml:space="preserve">    Upper Basin</v>
      </c>
      <c r="C121" s="78">
        <f t="shared" ref="C121:L126" ca="1" si="52">IF(OR(C$27="",$A121=""),"",OFFSET(C$62,8*(ROW(B121)-ROW(B$121)),0))</f>
        <v>3.1233582945981313</v>
      </c>
      <c r="D121" s="78">
        <f t="shared" ca="1" si="52"/>
        <v>0</v>
      </c>
      <c r="E121" s="78">
        <f t="shared" ca="1" si="52"/>
        <v>0</v>
      </c>
      <c r="F121" s="78">
        <f t="shared" ca="1" si="52"/>
        <v>0</v>
      </c>
      <c r="G121" s="78">
        <f t="shared" ca="1" si="52"/>
        <v>0</v>
      </c>
      <c r="H121" s="78" t="str">
        <f t="shared" ca="1" si="52"/>
        <v/>
      </c>
      <c r="I121" s="78" t="str">
        <f t="shared" ca="1" si="52"/>
        <v/>
      </c>
      <c r="J121" s="78" t="str">
        <f t="shared" ca="1" si="52"/>
        <v/>
      </c>
      <c r="K121" s="78" t="str">
        <f t="shared" ca="1" si="52"/>
        <v/>
      </c>
      <c r="L121" s="78" t="str">
        <f t="shared" ca="1" si="52"/>
        <v/>
      </c>
    </row>
    <row r="122" spans="1:12" x14ac:dyDescent="0.35">
      <c r="A122" t="str">
        <f t="shared" si="51"/>
        <v xml:space="preserve">    Lower Basin</v>
      </c>
      <c r="C122" s="78">
        <f t="shared" ca="1" si="52"/>
        <v>4.0083315344091641</v>
      </c>
      <c r="D122" s="78">
        <f t="shared" ca="1" si="52"/>
        <v>3.6204249224669756</v>
      </c>
      <c r="E122" s="78">
        <f t="shared" ca="1" si="52"/>
        <v>3.187751167579945</v>
      </c>
      <c r="F122" s="78">
        <f t="shared" ca="1" si="52"/>
        <v>2.9013254160679924</v>
      </c>
      <c r="G122" s="78">
        <f t="shared" ca="1" si="52"/>
        <v>2.9544364822482798</v>
      </c>
      <c r="H122" s="78" t="str">
        <f t="shared" ca="1" si="52"/>
        <v/>
      </c>
      <c r="I122" s="78" t="str">
        <f t="shared" ca="1" si="52"/>
        <v/>
      </c>
      <c r="J122" s="78" t="str">
        <f t="shared" ca="1" si="52"/>
        <v/>
      </c>
      <c r="K122" s="78" t="str">
        <f t="shared" ca="1" si="52"/>
        <v/>
      </c>
      <c r="L122" s="78" t="str">
        <f t="shared" ca="1" si="52"/>
        <v/>
      </c>
    </row>
    <row r="123" spans="1:12" x14ac:dyDescent="0.35">
      <c r="A123" t="str">
        <f t="shared" si="51"/>
        <v xml:space="preserve">    Mexico</v>
      </c>
      <c r="C123" s="78">
        <f t="shared" ca="1" si="52"/>
        <v>0.16557297647772518</v>
      </c>
      <c r="D123" s="78">
        <f t="shared" ca="1" si="52"/>
        <v>0.15718380729906833</v>
      </c>
      <c r="E123" s="78">
        <f t="shared" ca="1" si="52"/>
        <v>0.14853143635273836</v>
      </c>
      <c r="F123" s="78">
        <f t="shared" ca="1" si="52"/>
        <v>0.14025917453192949</v>
      </c>
      <c r="G123" s="78">
        <f t="shared" ca="1" si="52"/>
        <v>0.13237731977632472</v>
      </c>
      <c r="H123" s="78" t="str">
        <f t="shared" ca="1" si="52"/>
        <v/>
      </c>
      <c r="I123" s="78" t="str">
        <f t="shared" ca="1" si="52"/>
        <v/>
      </c>
      <c r="J123" s="78" t="str">
        <f t="shared" ca="1" si="52"/>
        <v/>
      </c>
      <c r="K123" s="78" t="str">
        <f t="shared" ca="1" si="52"/>
        <v/>
      </c>
      <c r="L123" s="78" t="str">
        <f t="shared" ca="1" si="52"/>
        <v/>
      </c>
    </row>
    <row r="124" spans="1:12" x14ac:dyDescent="0.35">
      <c r="A124" t="str">
        <f t="shared" si="51"/>
        <v xml:space="preserve">    Mohave &amp; Havasu Evap &amp; ET</v>
      </c>
      <c r="C124" s="78">
        <f t="shared" ca="1" si="52"/>
        <v>0</v>
      </c>
      <c r="D124" s="78">
        <f t="shared" ca="1" si="52"/>
        <v>0</v>
      </c>
      <c r="E124" s="78">
        <f t="shared" ca="1" si="52"/>
        <v>0</v>
      </c>
      <c r="F124" s="78">
        <f t="shared" ca="1" si="52"/>
        <v>0</v>
      </c>
      <c r="G124" s="78">
        <f t="shared" ca="1" si="52"/>
        <v>0</v>
      </c>
      <c r="H124" s="78" t="str">
        <f t="shared" ca="1" si="52"/>
        <v/>
      </c>
      <c r="I124" s="78" t="str">
        <f t="shared" ca="1" si="52"/>
        <v/>
      </c>
      <c r="J124" s="78" t="str">
        <f t="shared" ca="1" si="52"/>
        <v/>
      </c>
      <c r="K124" s="78" t="str">
        <f t="shared" ca="1" si="52"/>
        <v/>
      </c>
      <c r="L124" s="78" t="str">
        <f t="shared" ca="1" si="52"/>
        <v/>
      </c>
    </row>
    <row r="125" spans="1:12" x14ac:dyDescent="0.35">
      <c r="A125" t="str">
        <f t="shared" si="51"/>
        <v xml:space="preserve">    Shared, Reserve</v>
      </c>
      <c r="C125" s="78">
        <f t="shared" ca="1" si="52"/>
        <v>11.59116925</v>
      </c>
      <c r="D125" s="78">
        <f t="shared" ca="1" si="52"/>
        <v>11.59116925</v>
      </c>
      <c r="E125" s="78">
        <f t="shared" ca="1" si="52"/>
        <v>11.59116925</v>
      </c>
      <c r="F125" s="78">
        <f t="shared" ca="1" si="52"/>
        <v>11.59116925</v>
      </c>
      <c r="G125" s="78">
        <f t="shared" ca="1" si="52"/>
        <v>11.59116925</v>
      </c>
      <c r="H125" s="78" t="str">
        <f t="shared" ca="1" si="52"/>
        <v/>
      </c>
      <c r="I125" s="78" t="str">
        <f t="shared" ca="1" si="52"/>
        <v/>
      </c>
      <c r="J125" s="78" t="str">
        <f t="shared" ca="1" si="52"/>
        <v/>
      </c>
      <c r="K125" s="78" t="str">
        <f t="shared" ca="1" si="52"/>
        <v/>
      </c>
      <c r="L125" s="78" t="str">
        <f t="shared" ca="1" si="52"/>
        <v/>
      </c>
    </row>
    <row r="126" spans="1:12" x14ac:dyDescent="0.35">
      <c r="A126" t="str">
        <f t="shared" si="51"/>
        <v/>
      </c>
      <c r="C126" s="78" t="str">
        <f t="shared" ca="1" si="52"/>
        <v/>
      </c>
      <c r="D126" s="78" t="str">
        <f t="shared" ca="1" si="52"/>
        <v/>
      </c>
      <c r="E126" s="78" t="str">
        <f t="shared" ca="1" si="52"/>
        <v/>
      </c>
      <c r="F126" s="78" t="str">
        <f t="shared" ca="1" si="52"/>
        <v/>
      </c>
      <c r="G126" s="78" t="str">
        <f t="shared" ca="1" si="52"/>
        <v/>
      </c>
      <c r="H126" s="78" t="str">
        <f t="shared" ca="1" si="52"/>
        <v/>
      </c>
      <c r="I126" s="78" t="str">
        <f t="shared" ca="1" si="52"/>
        <v/>
      </c>
      <c r="J126" s="78" t="str">
        <f t="shared" ca="1" si="52"/>
        <v/>
      </c>
      <c r="K126" s="78" t="str">
        <f t="shared" ca="1" si="52"/>
        <v/>
      </c>
      <c r="L126" s="78" t="str">
        <f t="shared" ca="1" si="52"/>
        <v/>
      </c>
    </row>
    <row r="127" spans="1:12" x14ac:dyDescent="0.35">
      <c r="A127" s="1" t="s">
        <v>123</v>
      </c>
      <c r="B127" s="1"/>
      <c r="C127" s="14">
        <f ca="1">IF(C$27&lt;&gt;"",SUM(C121:C126),"")</f>
        <v>18.888432055485019</v>
      </c>
      <c r="D127" s="14">
        <f t="shared" ref="D127:L127" ca="1" si="53">IF(D$27&lt;&gt;"",SUM(D121:D126),"")</f>
        <v>15.368777979766044</v>
      </c>
      <c r="E127" s="14">
        <f t="shared" ca="1" si="53"/>
        <v>14.927451853932684</v>
      </c>
      <c r="F127" s="14">
        <f t="shared" ca="1" si="53"/>
        <v>14.632753840599921</v>
      </c>
      <c r="G127" s="14">
        <f t="shared" ca="1" si="53"/>
        <v>14.677983052024604</v>
      </c>
      <c r="H127" s="14" t="str">
        <f t="shared" si="53"/>
        <v/>
      </c>
      <c r="I127" s="14" t="str">
        <f t="shared" si="53"/>
        <v/>
      </c>
      <c r="J127" s="14" t="str">
        <f t="shared" si="53"/>
        <v/>
      </c>
      <c r="K127" s="14" t="str">
        <f t="shared" si="53"/>
        <v/>
      </c>
      <c r="L127" s="14" t="str">
        <f t="shared" si="53"/>
        <v/>
      </c>
    </row>
    <row r="128" spans="1:12" x14ac:dyDescent="0.35">
      <c r="A128" s="1" t="s">
        <v>206</v>
      </c>
      <c r="B128" s="1"/>
      <c r="C128" s="87">
        <v>0.5</v>
      </c>
      <c r="D128" s="87">
        <v>0.5</v>
      </c>
      <c r="E128" s="87">
        <v>0.5</v>
      </c>
      <c r="F128" s="87">
        <v>0.5</v>
      </c>
      <c r="G128" s="87">
        <v>0.5</v>
      </c>
      <c r="H128" s="87"/>
      <c r="I128" s="87"/>
      <c r="J128" s="87"/>
      <c r="K128" s="87"/>
      <c r="L128" s="87"/>
    </row>
    <row r="129" spans="1:14" x14ac:dyDescent="0.35">
      <c r="A129" s="1" t="s">
        <v>202</v>
      </c>
      <c r="B129" s="1"/>
      <c r="C129" s="14">
        <f ca="1">IF(C27="","",C$128*C$127)</f>
        <v>9.4442160277425096</v>
      </c>
      <c r="D129" s="14">
        <f t="shared" ref="D129:L129" ca="1" si="54">IF(D27="","",D$128*D$127)</f>
        <v>7.684388989883022</v>
      </c>
      <c r="E129" s="14">
        <f t="shared" ca="1" si="54"/>
        <v>7.4637259269663421</v>
      </c>
      <c r="F129" s="14">
        <f t="shared" ca="1" si="54"/>
        <v>7.3163769202999607</v>
      </c>
      <c r="G129" s="14">
        <f t="shared" ca="1" si="54"/>
        <v>7.3389915260123022</v>
      </c>
      <c r="H129" s="14" t="str">
        <f t="shared" si="54"/>
        <v/>
      </c>
      <c r="I129" s="14" t="str">
        <f t="shared" si="54"/>
        <v/>
      </c>
      <c r="J129" s="14" t="str">
        <f t="shared" si="54"/>
        <v/>
      </c>
      <c r="K129" s="14" t="str">
        <f t="shared" si="54"/>
        <v/>
      </c>
      <c r="L129" s="14" t="str">
        <f t="shared" si="54"/>
        <v/>
      </c>
    </row>
    <row r="130" spans="1:14" x14ac:dyDescent="0.35">
      <c r="A130" s="1" t="s">
        <v>203</v>
      </c>
      <c r="B130" s="1"/>
      <c r="C130" s="14">
        <f ca="1">IF(C28="","",(1-C$128)*C$127)</f>
        <v>9.4442160277425096</v>
      </c>
      <c r="D130" s="14">
        <f t="shared" ref="D130:L130" ca="1" si="55">IF(D28="","",(1-D$128)*D$127)</f>
        <v>7.684388989883022</v>
      </c>
      <c r="E130" s="14">
        <f t="shared" ca="1" si="55"/>
        <v>7.4637259269663421</v>
      </c>
      <c r="F130" s="14">
        <f t="shared" ca="1" si="55"/>
        <v>7.3163769202999607</v>
      </c>
      <c r="G130" s="14">
        <f t="shared" ca="1" si="55"/>
        <v>7.3389915260123022</v>
      </c>
      <c r="H130" s="14" t="str">
        <f t="shared" si="55"/>
        <v/>
      </c>
      <c r="I130" s="14" t="str">
        <f t="shared" si="55"/>
        <v/>
      </c>
      <c r="J130" s="14" t="str">
        <f t="shared" si="55"/>
        <v/>
      </c>
      <c r="K130" s="14" t="str">
        <f t="shared" si="55"/>
        <v/>
      </c>
      <c r="L130" s="14" t="str">
        <f t="shared" si="55"/>
        <v/>
      </c>
    </row>
    <row r="131" spans="1:14" x14ac:dyDescent="0.35">
      <c r="A131" s="32" t="s">
        <v>305</v>
      </c>
      <c r="B131" s="1"/>
      <c r="C131" s="141">
        <f ca="1">IF(C$27&lt;&gt;"",VLOOKUP(C129*1000000,'Powell-Elevation-Area'!$B$5:$H$689,7),"")</f>
        <v>3574</v>
      </c>
      <c r="D131" s="141">
        <f ca="1">IF(D$27&lt;&gt;"",VLOOKUP(D129*1000000,'Powell-Elevation-Area'!$B$5:$H$689,7),"")</f>
        <v>3551</v>
      </c>
      <c r="E131" s="141">
        <f ca="1">IF(E$27&lt;&gt;"",VLOOKUP(E129*1000000,'Powell-Elevation-Area'!$B$5:$H$689,7),"")</f>
        <v>3548</v>
      </c>
      <c r="F131" s="141">
        <f ca="1">IF(F$27&lt;&gt;"",VLOOKUP(F129*1000000,'Powell-Elevation-Area'!$B$5:$H$689,7),"")</f>
        <v>3546</v>
      </c>
      <c r="G131" s="141">
        <f ca="1">IF(G$27&lt;&gt;"",VLOOKUP(G129*1000000,'Powell-Elevation-Area'!$B$5:$H$689,7),"")</f>
        <v>3546.5</v>
      </c>
      <c r="H131" s="141" t="str">
        <f>IF(H$27&lt;&gt;"",VLOOKUP(H129*1000000,'Powell-Elevation-Area'!$B$5:$H$689,7),"")</f>
        <v/>
      </c>
      <c r="I131" s="141" t="str">
        <f>IF(I$27&lt;&gt;"",VLOOKUP(I129*1000000,'Powell-Elevation-Area'!$B$5:$H$689,7),"")</f>
        <v/>
      </c>
      <c r="J131" s="141" t="str">
        <f>IF(J$27&lt;&gt;"",VLOOKUP(J129*1000000,'Powell-Elevation-Area'!$B$5:$H$689,7),"")</f>
        <v/>
      </c>
      <c r="K131" s="141" t="str">
        <f>IF(K$27&lt;&gt;"",VLOOKUP(K129*1000000,'Powell-Elevation-Area'!$B$5:$H$689,7),"")</f>
        <v/>
      </c>
      <c r="L131" s="141" t="str">
        <f>IF(L$27&lt;&gt;"",VLOOKUP(L129*1000000,'Powell-Elevation-Area'!$B$5:$H$689,7),"")</f>
        <v/>
      </c>
    </row>
    <row r="132" spans="1:14" x14ac:dyDescent="0.35">
      <c r="A132" s="32" t="s">
        <v>306</v>
      </c>
      <c r="B132" s="1"/>
      <c r="C132" s="141">
        <f ca="1">IF(C$27&lt;&gt;"",VLOOKUP(C130*1000000,'Mead-Elevation-Area'!$B$5:$H$689,7),"")</f>
        <v>1073</v>
      </c>
      <c r="D132" s="141">
        <f ca="1">IF(D$27&lt;&gt;"",VLOOKUP(D130*1000000,'Mead-Elevation-Area'!$B$5:$H$689,7),"")</f>
        <v>1050</v>
      </c>
      <c r="E132" s="141">
        <f ca="1">IF(E$27&lt;&gt;"",VLOOKUP(E130*1000000,'Mead-Elevation-Area'!$B$5:$H$689,7),"")</f>
        <v>1046.5</v>
      </c>
      <c r="F132" s="141">
        <f ca="1">IF(F$27&lt;&gt;"",VLOOKUP(F130*1000000,'Mead-Elevation-Area'!$B$5:$H$689,7),"")</f>
        <v>1044.5</v>
      </c>
      <c r="G132" s="141">
        <f ca="1">IF(G$27&lt;&gt;"",VLOOKUP(G130*1000000,'Mead-Elevation-Area'!$B$5:$H$689,7),"")</f>
        <v>1045</v>
      </c>
      <c r="H132" s="141" t="str">
        <f>IF(H$27&lt;&gt;"",VLOOKUP(H130*1000000,'Mead-Elevation-Area'!$B$5:$H$689,7),"")</f>
        <v/>
      </c>
      <c r="I132" s="141" t="str">
        <f>IF(I$27&lt;&gt;"",VLOOKUP(I130*1000000,'Mead-Elevation-Area'!$B$5:$H$689,7),"")</f>
        <v/>
      </c>
      <c r="J132" s="141" t="str">
        <f>IF(J$27&lt;&gt;"",VLOOKUP(J130*1000000,'Mead-Elevation-Area'!$B$5:$H$689,7),"")</f>
        <v/>
      </c>
      <c r="K132" s="141" t="str">
        <f>IF(K$27&lt;&gt;"",VLOOKUP(K130*1000000,'Mead-Elevation-Area'!$B$5:$H$689,7),"")</f>
        <v/>
      </c>
      <c r="L132" s="141" t="str">
        <f>IF(L$27&lt;&gt;"",VLOOKUP(L130*1000000,'Mead-Elevation-Area'!$B$5:$H$689,7),"")</f>
        <v/>
      </c>
    </row>
    <row r="133" spans="1:14" x14ac:dyDescent="0.35">
      <c r="A133" s="1" t="s">
        <v>319</v>
      </c>
      <c r="B133" s="1"/>
      <c r="H133" s="14" t="str">
        <f>IF(H$27&lt;&gt;"",-H129+H37+H27-H61-VLOOKUP(H37*1000000,'Powell-Elevation-Area'!$B$5:$D$689,3)*$B$21/1000000,"")</f>
        <v/>
      </c>
      <c r="I133" s="14" t="str">
        <f>IF(I$27&lt;&gt;"",-I129+I37+I27-I61-VLOOKUP(I37*1000000,'Powell-Elevation-Area'!$B$5:$D$689,3)*$B$21/1000000,"")</f>
        <v/>
      </c>
      <c r="J133" s="14" t="str">
        <f>IF(J$27&lt;&gt;"",-J129+J37+J27-J61-VLOOKUP(J37*1000000,'Powell-Elevation-Area'!$B$5:$D$689,3)*$B$21/1000000,"")</f>
        <v/>
      </c>
      <c r="K133" s="14" t="str">
        <f>IF(K$27&lt;&gt;"",-K129+K37+K27-K61-VLOOKUP(K37*1000000,'Powell-Elevation-Area'!$B$5:$D$689,3)*$B$21/1000000,"")</f>
        <v/>
      </c>
      <c r="L133" s="14" t="str">
        <f>IF(L$27&lt;&gt;"",-L129+L37+L27-L61-VLOOKUP(L37*1000000,'Powell-Elevation-Area'!$B$5:$D$689,3)*$B$21/1000000,"")</f>
        <v/>
      </c>
    </row>
    <row r="134" spans="1:14" x14ac:dyDescent="0.35">
      <c r="A134" s="32" t="s">
        <v>320</v>
      </c>
      <c r="B134" s="1"/>
      <c r="C134" s="14">
        <f ca="1">IF(C$27&lt;&gt;"",-C129+C37+C27-C61-VLOOKUP(C37*1000000,'Powell-Elevation-Area'!$B$5:$D$689,3)*$B$21/1000000,"")</f>
        <v>7.832887092256918</v>
      </c>
      <c r="D134" s="14">
        <f ca="1">IF(D$27&lt;&gt;"",-D129+D37+D27-D61-VLOOKUP(D37*1000000,'Powell-Elevation-Area'!$B$5:$D$689,3)*$B$21/1000000,"")</f>
        <v>6.818314295474444</v>
      </c>
      <c r="E134" s="14">
        <f ca="1">IF(E$27&lt;&gt;"",-E129+E37+E27-E61-VLOOKUP(E37*1000000,'Powell-Elevation-Area'!$B$5:$D$689,3)*$B$21/1000000,"")</f>
        <v>8.3079182704172521</v>
      </c>
      <c r="F134" s="14">
        <f ca="1">IF(F$27&lt;&gt;"",-F129+F37+F27-F61-VLOOKUP(F37*1000000,'Powell-Elevation-Area'!$B$5:$D$689,3)*$B$21/1000000,"")</f>
        <v>8.2421463266669548</v>
      </c>
      <c r="G134" s="14">
        <f ca="1">IF(G$27&lt;&gt;"",-G129+G37+G27-G61-VLOOKUP(G37*1000000,'Powell-Elevation-Area'!$B$5:$D$689,3)*$B$21/1000000,"")</f>
        <v>8.0740599390462737</v>
      </c>
      <c r="H134" s="14" t="str">
        <f>IF(H$27&lt;&gt;"",-H129+H37+H27-H61-VLOOKUP(H37*1000000,'Powell-Elevation-Area'!$B$5:$D$689,3)*$B$21/1000000,"")</f>
        <v/>
      </c>
      <c r="I134" s="14" t="str">
        <f>IF(I$27&lt;&gt;"",-I129+I37+I27-I61-VLOOKUP(I37*1000000,'Powell-Elevation-Area'!$B$5:$D$689,3)*$B$21/1000000,"")</f>
        <v/>
      </c>
      <c r="J134" s="14" t="str">
        <f>IF(J$27&lt;&gt;"",-J129+J37+J27-J61-VLOOKUP(J37*1000000,'Powell-Elevation-Area'!$B$5:$D$689,3)*$B$21/1000000,"")</f>
        <v/>
      </c>
      <c r="K134" s="14" t="str">
        <f>IF(K$27&lt;&gt;"",-K129+K37+K27-K61-VLOOKUP(K37*1000000,'Powell-Elevation-Area'!$B$5:$D$689,3)*$B$21/1000000,"")</f>
        <v/>
      </c>
      <c r="L134" s="14" t="str">
        <f>IF(L$27&lt;&gt;"",-L129+L37+L27-L61-VLOOKUP(L37*1000000,'Powell-Elevation-Area'!$B$5:$D$689,3)*$B$21/1000000,"")</f>
        <v/>
      </c>
      <c r="N134" t="s">
        <v>204</v>
      </c>
    </row>
    <row r="135" spans="1:14" x14ac:dyDescent="0.35">
      <c r="A135" s="32" t="s">
        <v>321</v>
      </c>
      <c r="B135" s="1"/>
      <c r="C135" s="141" t="str">
        <f ca="1">IF(C$27&lt;&gt;"",VLOOKUP(C131,PowellReleaseTemperature!$A$5:$B$11,2),"")</f>
        <v>&lt; 18</v>
      </c>
      <c r="D135" s="141" t="str">
        <f ca="1">IF(D$27&lt;&gt;"",VLOOKUP(D131,PowellReleaseTemperature!$A$5:$B$11,2),"")</f>
        <v>&lt; 18</v>
      </c>
      <c r="E135" s="141" t="str">
        <f ca="1">IF(E$27&lt;&gt;"",VLOOKUP(E131,PowellReleaseTemperature!$A$5:$B$11,2),"")</f>
        <v>&lt; 18</v>
      </c>
      <c r="F135" s="141" t="str">
        <f ca="1">IF(F$27&lt;&gt;"",VLOOKUP(F131,PowellReleaseTemperature!$A$5:$B$11,2),"")</f>
        <v>&lt; 18</v>
      </c>
      <c r="G135" s="141" t="str">
        <f ca="1">IF(G$27&lt;&gt;"",VLOOKUP(G131,PowellReleaseTemperature!$A$5:$B$11,2),"")</f>
        <v>&lt; 18</v>
      </c>
      <c r="H135" s="141" t="str">
        <f>IF(H$27&lt;&gt;"",VLOOKUP(H131,PowellReleaseTemperature!$A$5:$B$11,2),"")</f>
        <v/>
      </c>
      <c r="I135" s="141" t="str">
        <f>IF(I$27&lt;&gt;"",VLOOKUP(I131,PowellReleaseTemperature!$A$5:$B$11,2),"")</f>
        <v/>
      </c>
      <c r="J135" s="141" t="str">
        <f>IF(J$27&lt;&gt;"",VLOOKUP(J131,PowellReleaseTemperature!$A$5:$B$11,2),"")</f>
        <v/>
      </c>
      <c r="K135" s="141" t="str">
        <f>IF(K$27&lt;&gt;"",VLOOKUP(K131,PowellReleaseTemperature!$A$5:$B$11,2),"")</f>
        <v/>
      </c>
      <c r="L135" s="141" t="str">
        <f>IF(L$27&lt;&gt;"",VLOOKUP(L131,PowellReleaseTemperature!$A$5:$B$11,2),"")</f>
        <v/>
      </c>
      <c r="N135" t="s">
        <v>326</v>
      </c>
    </row>
    <row r="136" spans="1:14" x14ac:dyDescent="0.35">
      <c r="C136" s="29"/>
    </row>
    <row r="137" spans="1:14" x14ac:dyDescent="0.35">
      <c r="A137" s="1" t="s">
        <v>125</v>
      </c>
      <c r="C137" s="12">
        <f>IF(C$27&lt;&gt;"",0.2,"")</f>
        <v>0.2</v>
      </c>
      <c r="D137" s="12">
        <f t="shared" ref="D137:L137" si="56">IF(D$27&lt;&gt;"",0.2,"")</f>
        <v>0.2</v>
      </c>
      <c r="E137" s="12">
        <f t="shared" si="56"/>
        <v>0.2</v>
      </c>
      <c r="F137" s="12">
        <f t="shared" si="56"/>
        <v>0.2</v>
      </c>
      <c r="G137" s="12">
        <f t="shared" si="56"/>
        <v>0.2</v>
      </c>
      <c r="H137" s="12" t="str">
        <f t="shared" si="56"/>
        <v/>
      </c>
      <c r="I137" s="12" t="str">
        <f t="shared" si="56"/>
        <v/>
      </c>
      <c r="J137" s="12" t="str">
        <f t="shared" si="56"/>
        <v/>
      </c>
      <c r="K137" s="12" t="str">
        <f t="shared" si="56"/>
        <v/>
      </c>
      <c r="L137" s="12" t="str">
        <f t="shared" si="56"/>
        <v/>
      </c>
    </row>
    <row r="138" spans="1:14" x14ac:dyDescent="0.35">
      <c r="A138" t="s">
        <v>126</v>
      </c>
      <c r="C138" s="14">
        <f t="shared" ref="C138:L138" ca="1" si="57">IF(C$27&lt;&gt;"",C115+C137,"")</f>
        <v>7.4590000000000005</v>
      </c>
      <c r="D138" s="14">
        <f t="shared" ca="1" si="57"/>
        <v>7.0870000000000006</v>
      </c>
      <c r="E138" s="14">
        <f t="shared" ca="1" si="57"/>
        <v>7.0870000000000006</v>
      </c>
      <c r="F138" s="14">
        <f t="shared" ca="1" si="57"/>
        <v>6.9790000000000001</v>
      </c>
      <c r="G138" s="14">
        <f t="shared" ca="1" si="57"/>
        <v>6.6870000000000003</v>
      </c>
      <c r="H138" s="14" t="str">
        <f t="shared" si="57"/>
        <v/>
      </c>
      <c r="I138" s="14" t="str">
        <f t="shared" si="57"/>
        <v/>
      </c>
      <c r="J138" s="14" t="str">
        <f t="shared" si="57"/>
        <v/>
      </c>
      <c r="K138" s="14" t="str">
        <f t="shared" si="57"/>
        <v/>
      </c>
      <c r="L138" s="14" t="str">
        <f t="shared" si="57"/>
        <v/>
      </c>
    </row>
    <row r="140" spans="1:14" x14ac:dyDescent="0.35">
      <c r="D140" s="18"/>
    </row>
  </sheetData>
  <mergeCells count="9">
    <mergeCell ref="C9:G9"/>
    <mergeCell ref="C10:G10"/>
    <mergeCell ref="C11:G11"/>
    <mergeCell ref="A3:G3"/>
    <mergeCell ref="C4:G4"/>
    <mergeCell ref="C5:G5"/>
    <mergeCell ref="C6:G6"/>
    <mergeCell ref="C7:G7"/>
    <mergeCell ref="C8:G8"/>
  </mergeCells>
  <conditionalFormatting sqref="C61:G61">
    <cfRule type="cellIs" dxfId="173" priority="72" operator="greaterThan">
      <formula>$C$60</formula>
    </cfRule>
  </conditionalFormatting>
  <conditionalFormatting sqref="H61">
    <cfRule type="cellIs" dxfId="172" priority="67" operator="greaterThan">
      <formula>$H$60</formula>
    </cfRule>
  </conditionalFormatting>
  <conditionalFormatting sqref="I61">
    <cfRule type="cellIs" dxfId="171" priority="66" operator="greaterThan">
      <formula>$I$60</formula>
    </cfRule>
  </conditionalFormatting>
  <conditionalFormatting sqref="J61">
    <cfRule type="cellIs" dxfId="170" priority="65" operator="greaterThan">
      <formula>$J$60</formula>
    </cfRule>
  </conditionalFormatting>
  <conditionalFormatting sqref="K61">
    <cfRule type="cellIs" dxfId="169" priority="64" operator="greaterThan">
      <formula>$K$60</formula>
    </cfRule>
  </conditionalFormatting>
  <conditionalFormatting sqref="L61">
    <cfRule type="cellIs" dxfId="168" priority="63" operator="greaterThan">
      <formula>$L$60</formula>
    </cfRule>
  </conditionalFormatting>
  <conditionalFormatting sqref="C69:L69">
    <cfRule type="cellIs" dxfId="167" priority="55" operator="greaterThan">
      <formula>$C$68</formula>
    </cfRule>
  </conditionalFormatting>
  <conditionalFormatting sqref="C77:G77">
    <cfRule type="cellIs" dxfId="166" priority="45" operator="greaterThan">
      <formula>$C$76</formula>
    </cfRule>
  </conditionalFormatting>
  <conditionalFormatting sqref="H77">
    <cfRule type="cellIs" dxfId="165" priority="40" operator="greaterThan">
      <formula>$H$76</formula>
    </cfRule>
  </conditionalFormatting>
  <conditionalFormatting sqref="I77">
    <cfRule type="cellIs" dxfId="164" priority="39" operator="greaterThan">
      <formula>$I$76</formula>
    </cfRule>
  </conditionalFormatting>
  <conditionalFormatting sqref="J77">
    <cfRule type="cellIs" dxfId="163" priority="38" operator="greaterThan">
      <formula>$J$76</formula>
    </cfRule>
  </conditionalFormatting>
  <conditionalFormatting sqref="K77">
    <cfRule type="cellIs" dxfId="162" priority="37" operator="greaterThan">
      <formula>$K$76</formula>
    </cfRule>
  </conditionalFormatting>
  <conditionalFormatting sqref="L77">
    <cfRule type="cellIs" dxfId="161" priority="36" operator="greaterThan">
      <formula>$L$76</formula>
    </cfRule>
  </conditionalFormatting>
  <conditionalFormatting sqref="C85">
    <cfRule type="cellIs" dxfId="160" priority="35" operator="greaterThan">
      <formula>$C$84</formula>
    </cfRule>
  </conditionalFormatting>
  <conditionalFormatting sqref="D85">
    <cfRule type="cellIs" dxfId="159" priority="34" operator="greaterThan">
      <formula>$D$84</formula>
    </cfRule>
  </conditionalFormatting>
  <conditionalFormatting sqref="E85">
    <cfRule type="cellIs" dxfId="158" priority="33" operator="greaterThan">
      <formula>$E$84</formula>
    </cfRule>
  </conditionalFormatting>
  <conditionalFormatting sqref="F85">
    <cfRule type="cellIs" dxfId="157" priority="32" operator="greaterThan">
      <formula>$F$84</formula>
    </cfRule>
  </conditionalFormatting>
  <conditionalFormatting sqref="G85">
    <cfRule type="cellIs" dxfId="156" priority="31" operator="greaterThan">
      <formula>$G$84</formula>
    </cfRule>
  </conditionalFormatting>
  <conditionalFormatting sqref="H85">
    <cfRule type="cellIs" dxfId="155" priority="30" operator="greaterThan">
      <formula>$H$84</formula>
    </cfRule>
  </conditionalFormatting>
  <conditionalFormatting sqref="I85">
    <cfRule type="cellIs" dxfId="154" priority="29" operator="greaterThan">
      <formula>$I$84</formula>
    </cfRule>
  </conditionalFormatting>
  <conditionalFormatting sqref="J85">
    <cfRule type="cellIs" dxfId="153" priority="28" operator="greaterThan">
      <formula>$J$84</formula>
    </cfRule>
  </conditionalFormatting>
  <conditionalFormatting sqref="K85">
    <cfRule type="cellIs" dxfId="152" priority="27" operator="greaterThan">
      <formula>$K$84</formula>
    </cfRule>
  </conditionalFormatting>
  <conditionalFormatting sqref="L85">
    <cfRule type="cellIs" dxfId="151" priority="26" operator="greaterThan">
      <formula>$L$84</formula>
    </cfRule>
  </conditionalFormatting>
  <conditionalFormatting sqref="C93">
    <cfRule type="cellIs" dxfId="150" priority="25" operator="greaterThan">
      <formula>$C$92</formula>
    </cfRule>
  </conditionalFormatting>
  <conditionalFormatting sqref="D93">
    <cfRule type="cellIs" dxfId="149" priority="24" operator="greaterThan">
      <formula>$D$92</formula>
    </cfRule>
  </conditionalFormatting>
  <conditionalFormatting sqref="E93">
    <cfRule type="cellIs" dxfId="148" priority="23" operator="greaterThan">
      <formula>$E$92</formula>
    </cfRule>
  </conditionalFormatting>
  <conditionalFormatting sqref="F93">
    <cfRule type="cellIs" dxfId="147" priority="22" operator="greaterThan">
      <formula>$F$92</formula>
    </cfRule>
  </conditionalFormatting>
  <conditionalFormatting sqref="G93">
    <cfRule type="cellIs" dxfId="146" priority="21" operator="greaterThan">
      <formula>$G$92</formula>
    </cfRule>
  </conditionalFormatting>
  <conditionalFormatting sqref="H93">
    <cfRule type="cellIs" dxfId="145" priority="20" operator="greaterThan">
      <formula>$H$92</formula>
    </cfRule>
  </conditionalFormatting>
  <conditionalFormatting sqref="I93">
    <cfRule type="cellIs" dxfId="144" priority="19" operator="greaterThan">
      <formula>$I$92</formula>
    </cfRule>
  </conditionalFormatting>
  <conditionalFormatting sqref="J93">
    <cfRule type="cellIs" dxfId="143" priority="18" operator="greaterThan">
      <formula>$J$92</formula>
    </cfRule>
  </conditionalFormatting>
  <conditionalFormatting sqref="K93">
    <cfRule type="cellIs" dxfId="142" priority="17" operator="greaterThan">
      <formula>$K$92</formula>
    </cfRule>
  </conditionalFormatting>
  <conditionalFormatting sqref="L93">
    <cfRule type="cellIs" dxfId="141" priority="16" operator="greaterThan">
      <formula>$L$92</formula>
    </cfRule>
  </conditionalFormatting>
  <conditionalFormatting sqref="C101">
    <cfRule type="cellIs" dxfId="140" priority="15" operator="greaterThan">
      <formula>$C$100</formula>
    </cfRule>
  </conditionalFormatting>
  <conditionalFormatting sqref="D101">
    <cfRule type="cellIs" dxfId="139" priority="14" operator="greaterThan">
      <formula>$D$100</formula>
    </cfRule>
  </conditionalFormatting>
  <conditionalFormatting sqref="E101">
    <cfRule type="cellIs" dxfId="138" priority="13" operator="greaterThan">
      <formula>$E$100</formula>
    </cfRule>
  </conditionalFormatting>
  <conditionalFormatting sqref="F101">
    <cfRule type="cellIs" dxfId="137" priority="12" operator="greaterThan">
      <formula>$F$100</formula>
    </cfRule>
  </conditionalFormatting>
  <conditionalFormatting sqref="G101">
    <cfRule type="cellIs" dxfId="136" priority="11" operator="greaterThan">
      <formula>$G$100</formula>
    </cfRule>
  </conditionalFormatting>
  <conditionalFormatting sqref="H101">
    <cfRule type="cellIs" dxfId="135" priority="10" operator="greaterThan">
      <formula>$H$100</formula>
    </cfRule>
  </conditionalFormatting>
  <conditionalFormatting sqref="I101">
    <cfRule type="cellIs" dxfId="134" priority="9" operator="greaterThan">
      <formula>$I$100</formula>
    </cfRule>
  </conditionalFormatting>
  <conditionalFormatting sqref="J101">
    <cfRule type="cellIs" dxfId="133" priority="8" operator="greaterThan">
      <formula>$J$100</formula>
    </cfRule>
  </conditionalFormatting>
  <conditionalFormatting sqref="K101">
    <cfRule type="cellIs" dxfId="132" priority="7" operator="greaterThan">
      <formula>$K$100</formula>
    </cfRule>
  </conditionalFormatting>
  <conditionalFormatting sqref="L101">
    <cfRule type="cellIs" dxfId="131" priority="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1" id="{888BF2D6-6120-4D6F-B6C2-F9CBE32EC8CB}">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 xmlns:xm="http://schemas.microsoft.com/office/excel/2006/main">
          <x14:cfRule type="iconSet" priority="59" id="{A3C294B6-2CAD-4C10-BBD7-0B7A04A0B3E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8" id="{E8F8BE61-59C8-4EAA-9485-81DCCF75CA33}">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7" id="{8A4934E0-5016-4803-8B4C-380C374CBAC1}">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6" id="{63FE3FC7-B720-4630-A3C0-B24DF74B113C}">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5" id="{3CB956A4-E869-45C1-89D7-8BDD4BF959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 operator="equal" id="{E5911458-E205-4530-8916-17CDCE7347E0}">
            <xm:f>PowellReleaseTemperature!$B$7</xm:f>
            <x14:dxf>
              <font>
                <color auto="1"/>
              </font>
              <fill>
                <patternFill>
                  <bgColor rgb="FFFF0000"/>
                </patternFill>
              </fill>
            </x14:dxf>
          </x14:cfRule>
          <x14:cfRule type="cellIs" priority="2" operator="equal" id="{BC958668-2353-4514-8E28-E75DF1194639}">
            <xm:f>PowellReleaseTemperature!$B$8</xm:f>
            <x14:dxf>
              <font>
                <color rgb="FF9C0006"/>
              </font>
              <fill>
                <patternFill>
                  <bgColor rgb="FFFFC7CE"/>
                </patternFill>
              </fill>
            </x14:dxf>
          </x14:cfRule>
          <x14:cfRule type="cellIs" priority="3" operator="equal" id="{BEFA8CD7-913B-4884-BE56-5D59D52DD394}">
            <xm:f>PowellReleaseTemperature!$B$9</xm:f>
            <x14:dxf>
              <font>
                <color auto="1"/>
              </font>
              <fill>
                <patternFill>
                  <bgColor theme="4" tint="0.39994506668294322"/>
                </patternFill>
              </fill>
            </x14:dxf>
          </x14:cfRule>
          <x14:cfRule type="cellIs" priority="4" operator="equal" id="{07DAD421-0EDE-41DE-A8D0-D5AFC5C99F38}">
            <xm:f>PowellReleaseTemperature!$B$10</xm:f>
            <x14:dxf>
              <font>
                <color auto="1"/>
              </font>
              <fill>
                <patternFill>
                  <bgColor theme="8" tint="-0.499984740745262"/>
                </patternFill>
              </fill>
            </x14:dxf>
          </x14:cfRule>
          <xm:sqref>C135:L135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workbookViewId="0">
      <selection activeCell="I39" sqref="I39"/>
    </sheetView>
  </sheetViews>
  <sheetFormatPr defaultRowHeight="14.5" x14ac:dyDescent="0.35"/>
  <sheetData>
    <row r="1" spans="7:24" ht="36" x14ac:dyDescent="0.8">
      <c r="G1" s="48" t="s">
        <v>39</v>
      </c>
      <c r="P1" s="48" t="s">
        <v>40</v>
      </c>
      <c r="X1" s="48" t="s">
        <v>221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1DD9-342D-4FB5-AEB0-ABC6804C3073}">
  <dimension ref="A1:N140"/>
  <sheetViews>
    <sheetView topLeftCell="C113" zoomScale="150" zoomScaleNormal="150" workbookViewId="0">
      <selection activeCell="N134" sqref="N134:N135"/>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32" t="s">
        <v>152</v>
      </c>
      <c r="B3" s="132"/>
      <c r="C3" s="132"/>
      <c r="D3" s="132"/>
      <c r="E3" s="132"/>
      <c r="F3" s="132"/>
      <c r="G3" s="132"/>
      <c r="H3" s="90"/>
      <c r="I3" s="90"/>
      <c r="J3" s="90"/>
      <c r="K3" s="90"/>
    </row>
    <row r="4" spans="1:11" x14ac:dyDescent="0.35">
      <c r="A4" s="59" t="s">
        <v>38</v>
      </c>
      <c r="B4" s="59" t="s">
        <v>42</v>
      </c>
      <c r="C4" s="133" t="s">
        <v>43</v>
      </c>
      <c r="D4" s="134"/>
      <c r="E4" s="134"/>
      <c r="F4" s="134"/>
      <c r="G4" s="135"/>
    </row>
    <row r="5" spans="1:11" x14ac:dyDescent="0.35">
      <c r="A5" s="91" t="s">
        <v>51</v>
      </c>
      <c r="B5" s="91"/>
      <c r="C5" s="136"/>
      <c r="D5" s="136"/>
      <c r="E5" s="136"/>
      <c r="F5" s="136"/>
      <c r="G5" s="136"/>
    </row>
    <row r="6" spans="1:11" x14ac:dyDescent="0.35">
      <c r="A6" s="89" t="s">
        <v>39</v>
      </c>
      <c r="B6" s="89" t="s">
        <v>156</v>
      </c>
      <c r="C6" s="130" t="s">
        <v>153</v>
      </c>
      <c r="D6" s="130"/>
      <c r="E6" s="130"/>
      <c r="F6" s="130"/>
      <c r="G6" s="130"/>
    </row>
    <row r="7" spans="1:11" x14ac:dyDescent="0.35">
      <c r="A7" s="89" t="s">
        <v>40</v>
      </c>
      <c r="B7" s="89" t="s">
        <v>156</v>
      </c>
      <c r="C7" s="130" t="s">
        <v>153</v>
      </c>
      <c r="D7" s="130"/>
      <c r="E7" s="130"/>
      <c r="F7" s="130"/>
      <c r="G7" s="130"/>
    </row>
    <row r="8" spans="1:11" x14ac:dyDescent="0.35">
      <c r="A8" s="89" t="s">
        <v>41</v>
      </c>
      <c r="B8" s="89" t="s">
        <v>156</v>
      </c>
      <c r="C8" s="130" t="s">
        <v>153</v>
      </c>
      <c r="D8" s="130"/>
      <c r="E8" s="130"/>
      <c r="F8" s="130"/>
      <c r="G8" s="130"/>
    </row>
    <row r="9" spans="1:11" x14ac:dyDescent="0.35">
      <c r="A9" s="89" t="s">
        <v>148</v>
      </c>
      <c r="B9" s="89" t="s">
        <v>156</v>
      </c>
      <c r="C9" s="130" t="s">
        <v>154</v>
      </c>
      <c r="D9" s="130"/>
      <c r="E9" s="130"/>
      <c r="F9" s="130"/>
      <c r="G9" s="130"/>
    </row>
    <row r="10" spans="1:11" x14ac:dyDescent="0.35">
      <c r="A10" s="89" t="s">
        <v>160</v>
      </c>
      <c r="B10" s="89" t="s">
        <v>156</v>
      </c>
      <c r="C10" s="131" t="s">
        <v>187</v>
      </c>
      <c r="D10" s="131"/>
      <c r="E10" s="131"/>
      <c r="F10" s="131"/>
      <c r="G10" s="131"/>
    </row>
    <row r="11" spans="1:11" x14ac:dyDescent="0.35">
      <c r="A11" s="89"/>
      <c r="B11" s="89"/>
      <c r="C11" s="131"/>
      <c r="D11" s="131"/>
      <c r="E11" s="131"/>
      <c r="F11" s="131"/>
      <c r="G11" s="131"/>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20" t="s">
        <v>228</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3.6462888923762851</v>
      </c>
      <c r="K30" s="14">
        <f t="shared" ca="1" si="5"/>
        <v>5.1398151681361623</v>
      </c>
      <c r="L30" s="14">
        <f t="shared" ca="1" si="5"/>
        <v>6.5701342123270718</v>
      </c>
      <c r="N30" t="s">
        <v>180</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1.3176652403314169</v>
      </c>
      <c r="K31" s="14">
        <f t="shared" ca="1" si="7"/>
        <v>1.0480741430616689</v>
      </c>
      <c r="L31" s="14">
        <f t="shared" ca="1" si="7"/>
        <v>0.80299386586720889</v>
      </c>
      <c r="N31" t="s">
        <v>177</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176</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179</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205</v>
      </c>
      <c r="C36"/>
    </row>
    <row r="37" spans="1:14" x14ac:dyDescent="0.35">
      <c r="A37" t="s">
        <v>113</v>
      </c>
      <c r="C37" s="14">
        <f>IF(C$27&lt;&gt;"",B22,"")</f>
        <v>11</v>
      </c>
      <c r="D37" s="14">
        <f ca="1">IF(D$27&lt;&gt;"",C129,"")</f>
        <v>9.8858844933333465</v>
      </c>
      <c r="E37" s="14">
        <f t="shared" ref="E37:G38" ca="1" si="8">IF(E$27&lt;&gt;"",D129,"")</f>
        <v>9.2421623911669677</v>
      </c>
      <c r="F37" s="14">
        <f t="shared" ca="1" si="8"/>
        <v>8.8220026852506006</v>
      </c>
      <c r="G37" s="14">
        <f t="shared" ca="1" si="8"/>
        <v>8.415399336583647</v>
      </c>
      <c r="H37" s="14">
        <f t="shared" ref="H37:H38" ca="1" si="9">IF(H$27&lt;&gt;"",G129,"")</f>
        <v>8.0217065854166965</v>
      </c>
      <c r="I37" s="14">
        <f t="shared" ref="I37:I38" ca="1" si="10">IF(I$27&lt;&gt;"",H129,"")</f>
        <v>7.6404879524503304</v>
      </c>
      <c r="J37" s="14">
        <f t="shared" ref="J37:J38" ca="1" si="11">IF(J$27&lt;&gt;"",I129,"")</f>
        <v>8.337464413234251</v>
      </c>
      <c r="K37" s="14">
        <f t="shared" ref="K37:K38" ca="1" si="12">IF(K$27&lt;&gt;"",J129,"")</f>
        <v>8.9462451815678712</v>
      </c>
      <c r="L37" s="14">
        <f t="shared" ref="L37:L38" ca="1" si="13">IF(L$27&lt;&gt;"",K129,"")</f>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9"/>
        <v>8.0217065854166965</v>
      </c>
      <c r="I38" s="14">
        <f t="shared" ca="1" si="10"/>
        <v>7.6404879524503304</v>
      </c>
      <c r="J38" s="14">
        <f t="shared" ca="1" si="11"/>
        <v>8.337464413234251</v>
      </c>
      <c r="K38" s="14">
        <f t="shared" ca="1" si="12"/>
        <v>8.9462451815678712</v>
      </c>
      <c r="L38" s="14">
        <f t="shared" ca="1" si="13"/>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14">IF(A6="","","    "&amp;A6&amp;" Share")</f>
        <v xml:space="preserve">    Upper Basin Share</v>
      </c>
      <c r="B40" s="1"/>
      <c r="C40" s="14">
        <f>IF(OR(C$27="",$A40=""),"",C$39*C30/C$29)</f>
        <v>0.24571184643515467</v>
      </c>
      <c r="D40" s="14">
        <f t="shared" ref="D40:L40" ca="1" si="15">IF(OR(D$27="",$A40=""),"",D$39*D30/D$29)</f>
        <v>0.22445720457529178</v>
      </c>
      <c r="E40" s="14">
        <f t="shared" ca="1" si="15"/>
        <v>0.20386305661860499</v>
      </c>
      <c r="F40" s="14">
        <f t="shared" ca="1" si="15"/>
        <v>0.18120897180962323</v>
      </c>
      <c r="G40" s="14">
        <f t="shared" ca="1" si="15"/>
        <v>0.15881556131446883</v>
      </c>
      <c r="H40" s="14">
        <f t="shared" ca="1" si="15"/>
        <v>0.13653972504683096</v>
      </c>
      <c r="I40" s="14">
        <f t="shared" ca="1" si="15"/>
        <v>0.11428608154311276</v>
      </c>
      <c r="J40" s="14">
        <f t="shared" ca="1" si="15"/>
        <v>0.19398233213160762</v>
      </c>
      <c r="K40" s="14">
        <f t="shared" ca="1" si="15"/>
        <v>0.26580088301448079</v>
      </c>
      <c r="L40" s="14">
        <f t="shared" ca="1" si="15"/>
        <v>0.33134931985453919</v>
      </c>
    </row>
    <row r="41" spans="1:14" x14ac:dyDescent="0.35">
      <c r="A41" t="str">
        <f t="shared" si="14"/>
        <v xml:space="preserve">    Lower Basin Share</v>
      </c>
      <c r="B41" s="1"/>
      <c r="C41" s="14">
        <f t="shared" ref="C41:L45" si="16">IF(OR(C$27="",$A41=""),"",C$39*C31/C$29)</f>
        <v>0.20638492544244763</v>
      </c>
      <c r="D41" s="14">
        <f t="shared" ca="1" si="16"/>
        <v>0.17326289275518164</v>
      </c>
      <c r="E41" s="14">
        <f t="shared" ca="1" si="16"/>
        <v>0.14049552646009136</v>
      </c>
      <c r="F41" s="14">
        <f t="shared" ca="1" si="16"/>
        <v>0.12590311345567917</v>
      </c>
      <c r="G41" s="14">
        <f t="shared" ca="1" si="16"/>
        <v>0.11138893372212583</v>
      </c>
      <c r="H41" s="14">
        <f t="shared" ca="1" si="16"/>
        <v>9.6847595928724495E-2</v>
      </c>
      <c r="I41" s="14">
        <f t="shared" ca="1" si="16"/>
        <v>8.2206361623691313E-2</v>
      </c>
      <c r="J41" s="14">
        <f t="shared" ca="1" si="16"/>
        <v>7.0099705161229459E-2</v>
      </c>
      <c r="K41" s="14">
        <f t="shared" ca="1" si="16"/>
        <v>5.4200204399851452E-2</v>
      </c>
      <c r="L41" s="14">
        <f t="shared" ca="1" si="16"/>
        <v>4.0497113560215549E-2</v>
      </c>
    </row>
    <row r="42" spans="1:14" x14ac:dyDescent="0.35">
      <c r="A42" t="str">
        <f t="shared" si="14"/>
        <v xml:space="preserve">    Mexico Share</v>
      </c>
      <c r="B42" s="1"/>
      <c r="C42" s="14">
        <f t="shared" si="16"/>
        <v>8.4270235222746598E-3</v>
      </c>
      <c r="D42" s="14">
        <f t="shared" ca="1" si="16"/>
        <v>8.2160300009359519E-3</v>
      </c>
      <c r="E42" s="14">
        <f t="shared" ca="1" si="16"/>
        <v>8.0446608424592555E-3</v>
      </c>
      <c r="F42" s="14">
        <f t="shared" ca="1" si="16"/>
        <v>7.7674976301542412E-3</v>
      </c>
      <c r="G42" s="14">
        <f t="shared" ca="1" si="16"/>
        <v>7.5020406102980219E-3</v>
      </c>
      <c r="H42" s="14">
        <f t="shared" ca="1" si="16"/>
        <v>7.2446549972895492E-3</v>
      </c>
      <c r="I42" s="14">
        <f t="shared" ca="1" si="16"/>
        <v>6.9926486357881823E-3</v>
      </c>
      <c r="J42" s="14">
        <f t="shared" ca="1" si="16"/>
        <v>6.3736418228881805E-3</v>
      </c>
      <c r="K42" s="14">
        <f t="shared" ca="1" si="16"/>
        <v>5.8660228297575008E-3</v>
      </c>
      <c r="L42" s="14">
        <f t="shared" ca="1" si="16"/>
        <v>5.4248279556052643E-3</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f t="shared" ca="1" si="16"/>
        <v>0</v>
      </c>
      <c r="I43" s="14">
        <f t="shared" ca="1" si="16"/>
        <v>0</v>
      </c>
      <c r="J43" s="14">
        <f t="shared" ca="1" si="16"/>
        <v>0</v>
      </c>
      <c r="K43" s="14">
        <f t="shared" ca="1" si="16"/>
        <v>0</v>
      </c>
      <c r="L43" s="14">
        <f t="shared" ca="1" si="16"/>
        <v>0</v>
      </c>
    </row>
    <row r="44" spans="1:14" x14ac:dyDescent="0.35">
      <c r="A44" t="str">
        <f t="shared" si="14"/>
        <v xml:space="preserve">    Shared, Reserve Share</v>
      </c>
      <c r="B44" s="1"/>
      <c r="C44" s="14">
        <f t="shared" si="16"/>
        <v>0.56137388460009618</v>
      </c>
      <c r="D44" s="14">
        <f t="shared" ca="1" si="16"/>
        <v>0.57517474366801757</v>
      </c>
      <c r="E44" s="14">
        <f t="shared" ca="1" si="16"/>
        <v>0.59258283457824423</v>
      </c>
      <c r="F44" s="14">
        <f t="shared" ca="1" si="16"/>
        <v>0.60299378110511648</v>
      </c>
      <c r="G44" s="14">
        <f t="shared" ca="1" si="16"/>
        <v>0.61434563335368053</v>
      </c>
      <c r="H44" s="14">
        <f t="shared" ca="1" si="16"/>
        <v>0.62647195662655497</v>
      </c>
      <c r="I44" s="14">
        <f t="shared" ca="1" si="16"/>
        <v>0.63922865329623468</v>
      </c>
      <c r="J44" s="14">
        <f t="shared" ca="1" si="16"/>
        <v>0.61664945088370171</v>
      </c>
      <c r="K44" s="14">
        <f t="shared" ca="1" si="16"/>
        <v>0.59942681225588323</v>
      </c>
      <c r="L44" s="14">
        <f t="shared" ca="1" si="16"/>
        <v>0.58457345362904012</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272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189</v>
      </c>
      <c r="B47" s="1"/>
      <c r="C47" s="52">
        <f>IF(C27="","",SUM(C27:C28))</f>
        <v>13.200000000000001</v>
      </c>
      <c r="D47" s="52">
        <f t="shared" ref="D47:L47" si="17">IF(D27="","",SUM(D27:D28))</f>
        <v>13.200000000000001</v>
      </c>
      <c r="E47" s="52">
        <f t="shared" si="17"/>
        <v>13.200000000000001</v>
      </c>
      <c r="F47" s="52">
        <f t="shared" si="17"/>
        <v>13.200000000000001</v>
      </c>
      <c r="G47" s="52">
        <f t="shared" si="17"/>
        <v>13.200000000000001</v>
      </c>
      <c r="H47" s="52">
        <f t="shared" si="17"/>
        <v>13.200000000000001</v>
      </c>
      <c r="I47" s="52">
        <f t="shared" si="17"/>
        <v>15.200000000000001</v>
      </c>
      <c r="J47" s="52">
        <f t="shared" si="17"/>
        <v>15.200000000000001</v>
      </c>
      <c r="K47" s="52">
        <f t="shared" si="17"/>
        <v>15.200000000000001</v>
      </c>
      <c r="L47" s="52">
        <f t="shared" si="17"/>
        <v>15.200000000000001</v>
      </c>
      <c r="M47" s="46"/>
      <c r="N47" s="46"/>
    </row>
    <row r="48" spans="1:14" x14ac:dyDescent="0.35">
      <c r="A48" t="str">
        <f>IF(A6="","","    To "&amp;A6)</f>
        <v xml:space="preserve">    To Upper Basin</v>
      </c>
      <c r="B48" s="24" t="s">
        <v>147</v>
      </c>
      <c r="C48" s="14">
        <f>IF(OR(C$27="",$A48=""),"",IF(C$47&gt;SUM(C49:C53),C$47-SUM(C49:C53),0))</f>
        <v>3.8956463910332868</v>
      </c>
      <c r="D48" s="14">
        <f t="shared" ref="D48:L48" ca="1" si="18">IF(OR(D$27="",$A48=""),"",IF(D$47&gt;SUM(D49:D53),D$47-SUM(D49:D53),0))</f>
        <v>3.8887459614993247</v>
      </c>
      <c r="E48" s="14">
        <f t="shared" ca="1" si="18"/>
        <v>3.8995419160442122</v>
      </c>
      <c r="F48" s="14">
        <f t="shared" ca="1" si="18"/>
        <v>3.8943364427807765</v>
      </c>
      <c r="G48" s="14">
        <f t="shared" ca="1" si="18"/>
        <v>3.8886605166564951</v>
      </c>
      <c r="H48" s="14">
        <f t="shared" ca="1" si="18"/>
        <v>3.8825973550200583</v>
      </c>
      <c r="I48" s="14">
        <f t="shared" ca="1" si="18"/>
        <v>5.8882190066852171</v>
      </c>
      <c r="J48" s="14">
        <f t="shared" ca="1" si="18"/>
        <v>5.8875086078914851</v>
      </c>
      <c r="K48" s="14">
        <f t="shared" ca="1" si="18"/>
        <v>5.8961199272053921</v>
      </c>
      <c r="L48" s="14">
        <f t="shared" ca="1" si="18"/>
        <v>5.9035466065188142</v>
      </c>
      <c r="M48" s="29"/>
      <c r="N48" s="29"/>
    </row>
    <row r="49" spans="1:14" x14ac:dyDescent="0.35">
      <c r="A49" t="str">
        <f t="shared" ref="A49:A53" si="19">IF(A7="","","    To "&amp;A7)</f>
        <v xml:space="preserve">    To Lower Basin</v>
      </c>
      <c r="B49" s="44">
        <f>7.5</f>
        <v>7.5</v>
      </c>
      <c r="C49" s="14">
        <f>IF(OR(C$27="",$A49=""),"",C28-C52/2-C51-C50/2+MIN($B49,C27-C50/2-C52/2))</f>
        <v>6.6956463910332857</v>
      </c>
      <c r="D49" s="14">
        <f t="shared" ref="D49:G49" ca="1" si="20">IF(OR(D$27="",$A49=""),"",D28-D52/2-D51-D50/2+MIN($B49,D27-D50/2-D52/2))</f>
        <v>6.6887459614993245</v>
      </c>
      <c r="E49" s="14">
        <f t="shared" ca="1" si="20"/>
        <v>6.6995419160442111</v>
      </c>
      <c r="F49" s="14">
        <f t="shared" ca="1" si="20"/>
        <v>6.6943364427807754</v>
      </c>
      <c r="G49" s="14">
        <f t="shared" ca="1" si="20"/>
        <v>6.6886605166564932</v>
      </c>
      <c r="H49" s="14">
        <f ca="1">IF(OR(H$27="",$A49=""),"",H28-H52/2-H51-H50/2+MIN($B49,H27-H50/2-H52/2))</f>
        <v>6.6825973550200555</v>
      </c>
      <c r="I49" s="14">
        <f t="shared" ref="I49:L49" ca="1" si="21">IF(OR(I$27="",$A49=""),"",I28-I52/2-I51-I50/2+MIN($B49,I27-I50/2-I52/2))</f>
        <v>6.6882190066852161</v>
      </c>
      <c r="J49" s="14">
        <f t="shared" ca="1" si="21"/>
        <v>6.6875086078914823</v>
      </c>
      <c r="K49" s="14">
        <f t="shared" ca="1" si="21"/>
        <v>6.696119927205392</v>
      </c>
      <c r="L49" s="14">
        <f t="shared" ca="1" si="21"/>
        <v>6.7035466065188132</v>
      </c>
      <c r="M49" s="29"/>
      <c r="N49" s="29"/>
    </row>
    <row r="50" spans="1:14" x14ac:dyDescent="0.35">
      <c r="A50" t="str">
        <f t="shared" si="19"/>
        <v xml:space="preserve">    To Mexico</v>
      </c>
      <c r="B50" s="44" t="s">
        <v>191</v>
      </c>
      <c r="C50" s="14">
        <f>IF(OR(C$27="",$A50=""),"",IF(C$47&gt;SUM(C51:C52,C46),C46,C$47-SUM(C51:C52)))</f>
        <v>1.4473333333333334</v>
      </c>
      <c r="D50" s="14">
        <f t="shared" ref="D50:L50" ca="1" si="22">IF(OR(D$27="",$A50=""),"",IF(D$47&gt;SUM(D51:D52,D46),D46,D$47-SUM(D51:D52)))</f>
        <v>1.4473333333333334</v>
      </c>
      <c r="E50" s="14">
        <f t="shared" ca="1" si="22"/>
        <v>1.4083333333333332</v>
      </c>
      <c r="F50" s="14">
        <f t="shared" ca="1" si="22"/>
        <v>1.4083333333333332</v>
      </c>
      <c r="G50" s="14">
        <f t="shared" ca="1" si="22"/>
        <v>1.4083333333333332</v>
      </c>
      <c r="H50" s="14">
        <f t="shared" ca="1" si="22"/>
        <v>1.4083333333333332</v>
      </c>
      <c r="I50" s="14">
        <f t="shared" ca="1" si="22"/>
        <v>1.3843333333333332</v>
      </c>
      <c r="J50" s="14">
        <f t="shared" ca="1" si="22"/>
        <v>1.4083333333333332</v>
      </c>
      <c r="K50" s="14">
        <f t="shared" ca="1" si="22"/>
        <v>1.4083333333333332</v>
      </c>
      <c r="L50" s="14">
        <f t="shared" ca="1" si="22"/>
        <v>1.4083333333333332</v>
      </c>
      <c r="M50" s="29"/>
      <c r="N50" s="29"/>
    </row>
    <row r="51" spans="1:14" x14ac:dyDescent="0.35">
      <c r="A51" t="str">
        <f t="shared" si="19"/>
        <v xml:space="preserve">    To Mohave &amp; Havasu Evap &amp; ET</v>
      </c>
      <c r="B51" s="44">
        <v>0.6</v>
      </c>
      <c r="C51" s="14">
        <f>IF(OR(C$27="",$A51=""),"",IF(C$47&gt;C52+$B$51,$B51,C$47-C52))</f>
        <v>0.6</v>
      </c>
      <c r="D51" s="14">
        <f t="shared" ref="D51:L51" ca="1" si="23">IF(OR(D$27="",$A51=""),"",IF(D$47&gt;D52+$B$51,$B51,D$47-D52))</f>
        <v>0.6</v>
      </c>
      <c r="E51" s="14">
        <f t="shared" ca="1" si="23"/>
        <v>0.6</v>
      </c>
      <c r="F51" s="14">
        <f t="shared" ca="1" si="23"/>
        <v>0.6</v>
      </c>
      <c r="G51" s="14">
        <f t="shared" ca="1" si="23"/>
        <v>0.6</v>
      </c>
      <c r="H51" s="14">
        <f t="shared" ca="1" si="23"/>
        <v>0.6</v>
      </c>
      <c r="I51" s="14">
        <f t="shared" ca="1" si="23"/>
        <v>0.6</v>
      </c>
      <c r="J51" s="14">
        <f t="shared" ca="1" si="23"/>
        <v>0.6</v>
      </c>
      <c r="K51" s="14">
        <f t="shared" ca="1" si="23"/>
        <v>0.6</v>
      </c>
      <c r="L51" s="14">
        <f t="shared" ca="1" si="23"/>
        <v>0.6</v>
      </c>
      <c r="M51" s="29"/>
      <c r="N51" s="29"/>
    </row>
    <row r="52" spans="1:14" x14ac:dyDescent="0.35">
      <c r="A52" t="str">
        <f t="shared" si="19"/>
        <v xml:space="preserve">    To Shared, Reserve</v>
      </c>
      <c r="B52" s="44" t="s">
        <v>190</v>
      </c>
      <c r="C52" s="14">
        <f>IF(OR(C$27="",$A52=""),"",IF(C$47&gt;C44,C44,C$47))</f>
        <v>0.56137388460009618</v>
      </c>
      <c r="D52" s="14">
        <f t="shared" ref="D52:L52" ca="1" si="24">IF(OR(D$27="",$A52=""),"",IF(D$47&gt;D44,D44,D$47))</f>
        <v>0.57517474366801757</v>
      </c>
      <c r="E52" s="14">
        <f t="shared" ca="1" si="24"/>
        <v>0.59258283457824423</v>
      </c>
      <c r="F52" s="14">
        <f t="shared" ca="1" si="24"/>
        <v>0.60299378110511648</v>
      </c>
      <c r="G52" s="14">
        <f t="shared" ca="1" si="24"/>
        <v>0.61434563335368053</v>
      </c>
      <c r="H52" s="14">
        <f t="shared" ca="1" si="24"/>
        <v>0.62647195662655497</v>
      </c>
      <c r="I52" s="14">
        <f t="shared" ca="1" si="24"/>
        <v>0.63922865329623468</v>
      </c>
      <c r="J52" s="14">
        <f t="shared" ca="1" si="24"/>
        <v>0.61664945088370171</v>
      </c>
      <c r="K52" s="14">
        <f t="shared" ca="1" si="24"/>
        <v>0.59942681225588323</v>
      </c>
      <c r="L52" s="14">
        <f t="shared" ca="1" si="24"/>
        <v>0.58457345362904012</v>
      </c>
      <c r="M52" s="29"/>
      <c r="N52" s="29"/>
    </row>
    <row r="53" spans="1:14" x14ac:dyDescent="0.35">
      <c r="A53" t="str">
        <f t="shared" si="19"/>
        <v/>
      </c>
      <c r="B53" s="44"/>
      <c r="C53" s="57" t="str">
        <f t="shared" ref="C53:L53" si="25">IF(OR(C$27="",$A53=""),"",IF(C$27&gt;$B53,$B53,C$27))</f>
        <v/>
      </c>
      <c r="D53" s="57" t="str">
        <f t="shared" si="25"/>
        <v/>
      </c>
      <c r="E53" s="57" t="str">
        <f t="shared" si="25"/>
        <v/>
      </c>
      <c r="F53" s="57" t="str">
        <f t="shared" si="25"/>
        <v/>
      </c>
      <c r="G53" s="57" t="str">
        <f t="shared" si="25"/>
        <v/>
      </c>
      <c r="H53" s="57" t="str">
        <f t="shared" si="25"/>
        <v/>
      </c>
      <c r="I53" s="57" t="str">
        <f t="shared" si="25"/>
        <v/>
      </c>
      <c r="J53" s="57" t="str">
        <f t="shared" si="25"/>
        <v/>
      </c>
      <c r="K53" s="57" t="str">
        <f t="shared" si="25"/>
        <v/>
      </c>
      <c r="L53" s="57" t="str">
        <f t="shared" si="25"/>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6">IF(OR(C$27="",$A59=""),"",C$112)</f>
        <v>0</v>
      </c>
      <c r="D59" s="78">
        <f t="shared" ca="1" si="26"/>
        <v>0</v>
      </c>
      <c r="E59" s="78">
        <f t="shared" ca="1" si="26"/>
        <v>0</v>
      </c>
      <c r="F59" s="78">
        <f t="shared" ca="1" si="26"/>
        <v>0</v>
      </c>
      <c r="G59" s="78">
        <f t="shared" ca="1" si="26"/>
        <v>0</v>
      </c>
      <c r="H59" s="78">
        <f t="shared" ca="1" si="26"/>
        <v>0</v>
      </c>
      <c r="I59" s="78">
        <f t="shared" ca="1" si="26"/>
        <v>0</v>
      </c>
      <c r="J59" s="78">
        <f t="shared" ca="1" si="26"/>
        <v>0</v>
      </c>
      <c r="K59" s="78">
        <f t="shared" ca="1" si="26"/>
        <v>0</v>
      </c>
      <c r="L59" s="78">
        <f t="shared" ca="1" si="26"/>
        <v>0</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7">IF(OR(D$27="",$A60=""),"",D30+D48-D40-D57)</f>
        <v>8.1876470515221662</v>
      </c>
      <c r="E60" s="14">
        <f t="shared" ca="1" si="27"/>
        <v>7.6833259109477732</v>
      </c>
      <c r="F60" s="14">
        <f t="shared" ca="1" si="27"/>
        <v>7.1964533819189267</v>
      </c>
      <c r="G60" s="14">
        <f t="shared" ca="1" si="27"/>
        <v>6.7262983372609533</v>
      </c>
      <c r="H60" s="14">
        <f t="shared" ca="1" si="27"/>
        <v>6.2723559672341809</v>
      </c>
      <c r="I60" s="14">
        <f t="shared" ca="1" si="27"/>
        <v>7.8462888923762852</v>
      </c>
      <c r="J60" s="14">
        <f t="shared" ca="1" si="27"/>
        <v>9.3398151681361625</v>
      </c>
      <c r="K60" s="14">
        <f t="shared" ca="1" si="27"/>
        <v>10.770134212327072</v>
      </c>
      <c r="L60" s="14">
        <f t="shared" ca="1" si="27"/>
        <v>12.142331498991346</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8">IF(D60&gt;4.2,4.2,MAX(D60,0))</f>
        <v>4.2</v>
      </c>
      <c r="E61" s="43">
        <f t="shared" ca="1" si="28"/>
        <v>4.2</v>
      </c>
      <c r="F61" s="43">
        <f t="shared" ca="1" si="28"/>
        <v>4.2</v>
      </c>
      <c r="G61" s="43">
        <f t="shared" ca="1" si="28"/>
        <v>4.2</v>
      </c>
      <c r="H61" s="43">
        <f t="shared" ca="1" si="28"/>
        <v>4.2</v>
      </c>
      <c r="I61" s="43">
        <f t="shared" ca="1" si="28"/>
        <v>4.2</v>
      </c>
      <c r="J61" s="43">
        <f t="shared" ca="1" si="28"/>
        <v>4.2</v>
      </c>
      <c r="K61" s="43">
        <f t="shared" ca="1" si="28"/>
        <v>4.2</v>
      </c>
      <c r="L61" s="43">
        <f t="shared" ca="1" si="28"/>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9">IF(OR(D$27="",$A62=""),"",D60-D61)</f>
        <v>3.987647051522166</v>
      </c>
      <c r="E62" s="77">
        <f t="shared" ca="1" si="29"/>
        <v>3.483325910947773</v>
      </c>
      <c r="F62" s="77">
        <f t="shared" ca="1" si="29"/>
        <v>2.9964533819189265</v>
      </c>
      <c r="G62" s="77">
        <f t="shared" ca="1" si="29"/>
        <v>2.5262983372609531</v>
      </c>
      <c r="H62" s="77">
        <f t="shared" ca="1" si="29"/>
        <v>2.0723559672341807</v>
      </c>
      <c r="I62" s="77">
        <f t="shared" ca="1" si="29"/>
        <v>3.6462888923762851</v>
      </c>
      <c r="J62" s="77">
        <f t="shared" ca="1" si="29"/>
        <v>5.1398151681361623</v>
      </c>
      <c r="K62" s="77">
        <f t="shared" ca="1" si="29"/>
        <v>6.5701342123270718</v>
      </c>
      <c r="L62" s="77">
        <f t="shared" ca="1" si="29"/>
        <v>7.9423314989913463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30">IF(A66="","",N58)</f>
        <v>Add if multiple transactions, e.g.: $350*0.5 + $450*0.25</v>
      </c>
    </row>
    <row r="67" spans="1:14" x14ac:dyDescent="0.35">
      <c r="A67" s="32" t="str">
        <f>IF(A66="","","   Volume all players (should be zero)")</f>
        <v xml:space="preserve">   Volume all players (should be zero)</v>
      </c>
      <c r="C67" s="78">
        <f t="shared" ref="C67:M67" ca="1" si="31">IF(OR(C$27="",$A67=""),"",C$112)</f>
        <v>0</v>
      </c>
      <c r="D67" s="78">
        <f t="shared" ca="1" si="31"/>
        <v>0</v>
      </c>
      <c r="E67" s="78">
        <f t="shared" ca="1" si="31"/>
        <v>0</v>
      </c>
      <c r="F67" s="78">
        <f t="shared" ca="1" si="31"/>
        <v>0</v>
      </c>
      <c r="G67" s="78">
        <f t="shared" ca="1" si="31"/>
        <v>0</v>
      </c>
      <c r="H67" s="78">
        <f t="shared" ca="1" si="31"/>
        <v>0</v>
      </c>
      <c r="I67" s="78">
        <f t="shared" ca="1" si="31"/>
        <v>0</v>
      </c>
      <c r="J67" s="78">
        <f t="shared" ca="1" si="31"/>
        <v>0</v>
      </c>
      <c r="K67" s="78">
        <f t="shared" ca="1" si="31"/>
        <v>0</v>
      </c>
      <c r="L67" s="78">
        <f t="shared" ca="1" si="31"/>
        <v>0</v>
      </c>
      <c r="M67" t="str">
        <f t="shared" si="31"/>
        <v/>
      </c>
      <c r="N67" t="str">
        <f t="shared" si="30"/>
        <v>If non-zero, players need to change amount(s)</v>
      </c>
    </row>
    <row r="68" spans="1:14" x14ac:dyDescent="0.35">
      <c r="A68" s="1" t="str">
        <f>IF(A66="","","   Available Water [maf]")</f>
        <v xml:space="preserve">   Available Water [maf]</v>
      </c>
      <c r="C68" s="14">
        <f t="shared" ref="C68:L68" si="32">IF(OR(C$27="",$A68=""),"",C31+C49-C41-C65)</f>
        <v>10.750668465590836</v>
      </c>
      <c r="D68" s="14">
        <f t="shared" ca="1" si="32"/>
        <v>10.007151534334978</v>
      </c>
      <c r="E68" s="14">
        <f t="shared" ca="1" si="32"/>
        <v>9.3071979239190981</v>
      </c>
      <c r="F68" s="14">
        <f t="shared" ca="1" si="32"/>
        <v>8.9886312532441934</v>
      </c>
      <c r="G68" s="14">
        <f t="shared" ca="1" si="32"/>
        <v>8.6789028361785618</v>
      </c>
      <c r="H68" s="14">
        <f t="shared" ca="1" si="32"/>
        <v>8.3776525952698933</v>
      </c>
      <c r="I68" s="14">
        <f t="shared" ca="1" si="32"/>
        <v>8.0966652403314168</v>
      </c>
      <c r="J68" s="14">
        <f t="shared" ca="1" si="32"/>
        <v>7.9350741430616694</v>
      </c>
      <c r="K68" s="14">
        <f t="shared" ca="1" si="32"/>
        <v>7.6899938658672093</v>
      </c>
      <c r="L68" s="14">
        <f t="shared" ca="1" si="32"/>
        <v>7.4660433588258064</v>
      </c>
      <c r="N68" t="str">
        <f t="shared" si="30"/>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30"/>
        <v>Must be less than Available water</v>
      </c>
    </row>
    <row r="70" spans="1:14" x14ac:dyDescent="0.35">
      <c r="A70" s="32" t="str">
        <f>IF(A69="","","   End of Year Balance [maf]")</f>
        <v xml:space="preserve">   End of Year Balance [maf]</v>
      </c>
      <c r="C70" s="77">
        <f>IF(OR(C$27="",$A70=""),"",C68-C69)</f>
        <v>3.4916684655908359</v>
      </c>
      <c r="D70" s="77">
        <f t="shared" ref="D70:L70" ca="1" si="33">IF(OR(D$27="",$A70=""),"",D68-D69)</f>
        <v>2.7481515343349781</v>
      </c>
      <c r="E70" s="77">
        <f t="shared" ca="1" si="33"/>
        <v>2.4201979239190976</v>
      </c>
      <c r="F70" s="77">
        <f t="shared" ca="1" si="33"/>
        <v>2.101631253244193</v>
      </c>
      <c r="G70" s="77">
        <f t="shared" ca="1" si="33"/>
        <v>1.7919028361785614</v>
      </c>
      <c r="H70" s="77">
        <f t="shared" ca="1" si="33"/>
        <v>1.4906525952698928</v>
      </c>
      <c r="I70" s="77">
        <f t="shared" ca="1" si="33"/>
        <v>1.3176652403314169</v>
      </c>
      <c r="J70" s="77">
        <f t="shared" ca="1" si="33"/>
        <v>1.0480741430616689</v>
      </c>
      <c r="K70" s="77">
        <f t="shared" ca="1" si="33"/>
        <v>0.80299386586720889</v>
      </c>
      <c r="L70" s="77">
        <f t="shared" ca="1" si="33"/>
        <v>0.57904335882580593</v>
      </c>
      <c r="N70" t="str">
        <f t="shared" si="30"/>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4">IF(A74="","",N66)</f>
        <v>Add if multiple transactions, e.g.: $350*0.5 + $450*0.25</v>
      </c>
    </row>
    <row r="75" spans="1:14" x14ac:dyDescent="0.35">
      <c r="A75" s="32" t="str">
        <f>IF(A74="","","   Volume all players (should be zero)")</f>
        <v xml:space="preserve">   Volume all players (should be zero)</v>
      </c>
      <c r="C75" s="78">
        <f t="shared" ref="C75:M75" ca="1" si="35">IF(OR(C$27="",$A75=""),"",C$112)</f>
        <v>0</v>
      </c>
      <c r="D75" s="78">
        <f t="shared" ca="1" si="35"/>
        <v>0</v>
      </c>
      <c r="E75" s="78">
        <f t="shared" ca="1" si="35"/>
        <v>0</v>
      </c>
      <c r="F75" s="78">
        <f t="shared" ca="1" si="35"/>
        <v>0</v>
      </c>
      <c r="G75" s="78">
        <f t="shared" ca="1" si="35"/>
        <v>0</v>
      </c>
      <c r="H75" s="78">
        <f t="shared" ca="1" si="35"/>
        <v>0</v>
      </c>
      <c r="I75" s="78">
        <f t="shared" ca="1" si="35"/>
        <v>0</v>
      </c>
      <c r="J75" s="78">
        <f t="shared" ca="1" si="35"/>
        <v>0</v>
      </c>
      <c r="K75" s="78">
        <f t="shared" ca="1" si="35"/>
        <v>0</v>
      </c>
      <c r="L75" s="78">
        <f t="shared" ca="1" si="35"/>
        <v>0</v>
      </c>
      <c r="M75" t="str">
        <f t="shared" si="35"/>
        <v/>
      </c>
      <c r="N75" t="str">
        <f t="shared" si="34"/>
        <v>If non-zero, players need to change amount(s)</v>
      </c>
    </row>
    <row r="76" spans="1:14" x14ac:dyDescent="0.35">
      <c r="A76" s="1" t="str">
        <f>IF(A74="","","   Available Water [maf]")</f>
        <v xml:space="preserve">   Available Water [maf]</v>
      </c>
      <c r="C76" s="14">
        <f t="shared" ref="C76:L76" si="36">IF(OR(C$27="",$A76=""),"",C32+C50-C42-C73)</f>
        <v>1.6129063098110585</v>
      </c>
      <c r="D76" s="14">
        <f t="shared" ca="1" si="36"/>
        <v>1.6046902798101226</v>
      </c>
      <c r="E76" s="14">
        <f t="shared" ca="1" si="36"/>
        <v>1.5576456189676631</v>
      </c>
      <c r="F76" s="14">
        <f ca="1">IF(OR(F$27="",$A76=""),"",F32+F50-F42-F73)</f>
        <v>1.5498781213375088</v>
      </c>
      <c r="G76" s="14">
        <f t="shared" ca="1" si="36"/>
        <v>1.5423760807272107</v>
      </c>
      <c r="H76" s="14">
        <f t="shared" ca="1" si="36"/>
        <v>1.5351314257299211</v>
      </c>
      <c r="I76" s="14">
        <f t="shared" ca="1" si="36"/>
        <v>1.504138777094133</v>
      </c>
      <c r="J76" s="14">
        <f t="shared" ca="1" si="36"/>
        <v>1.5217651352712449</v>
      </c>
      <c r="K76" s="14">
        <f t="shared" ca="1" si="36"/>
        <v>1.5158991124414873</v>
      </c>
      <c r="L76" s="14">
        <f t="shared" ca="1" si="36"/>
        <v>1.5104742844858821</v>
      </c>
      <c r="N76" t="str">
        <f t="shared" si="34"/>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7">D46</f>
        <v>1.4473333333333334</v>
      </c>
      <c r="E77" s="50">
        <f t="shared" ca="1" si="37"/>
        <v>1.4083333333333332</v>
      </c>
      <c r="F77" s="50">
        <f t="shared" ca="1" si="37"/>
        <v>1.4083333333333332</v>
      </c>
      <c r="G77" s="50">
        <f t="shared" ca="1" si="37"/>
        <v>1.4083333333333332</v>
      </c>
      <c r="H77" s="50">
        <f t="shared" ca="1" si="37"/>
        <v>1.4083333333333332</v>
      </c>
      <c r="I77" s="50">
        <f t="shared" ca="1" si="37"/>
        <v>1.3843333333333332</v>
      </c>
      <c r="J77" s="50">
        <f t="shared" ca="1" si="37"/>
        <v>1.4083333333333332</v>
      </c>
      <c r="K77" s="50">
        <f t="shared" ca="1" si="37"/>
        <v>1.4083333333333332</v>
      </c>
      <c r="L77" s="50">
        <f t="shared" ca="1" si="37"/>
        <v>1.4083333333333332</v>
      </c>
      <c r="N77" t="str">
        <f t="shared" si="34"/>
        <v>Must be less than Available water</v>
      </c>
    </row>
    <row r="78" spans="1:14" x14ac:dyDescent="0.35">
      <c r="A78" s="32" t="str">
        <f>IF(A77="","","   End of Year Balance [maf]")</f>
        <v xml:space="preserve">   End of Year Balance [maf]</v>
      </c>
      <c r="C78" s="77">
        <f>IF(OR(C$27="",$A78=""),"",C76-C77)</f>
        <v>0.16557297647772518</v>
      </c>
      <c r="D78" s="77">
        <f t="shared" ref="D78:L78" ca="1" si="38">IF(OR(D$27="",$A78=""),"",D76-D77)</f>
        <v>0.15735694647678922</v>
      </c>
      <c r="E78" s="77">
        <f t="shared" ca="1" si="38"/>
        <v>0.14931228563432986</v>
      </c>
      <c r="F78" s="77">
        <f t="shared" ca="1" si="38"/>
        <v>0.14154478800417558</v>
      </c>
      <c r="G78" s="77">
        <f t="shared" ca="1" si="38"/>
        <v>0.13404274739387745</v>
      </c>
      <c r="H78" s="77">
        <f t="shared" ca="1" si="38"/>
        <v>0.1267980923965879</v>
      </c>
      <c r="I78" s="77">
        <f t="shared" ca="1" si="38"/>
        <v>0.11980544376079982</v>
      </c>
      <c r="J78" s="77">
        <f t="shared" ca="1" si="38"/>
        <v>0.11343180193791169</v>
      </c>
      <c r="K78" s="77">
        <f t="shared" ca="1" si="38"/>
        <v>0.10756577910815412</v>
      </c>
      <c r="L78" s="77">
        <f t="shared" ca="1" si="38"/>
        <v>0.10214095115254884</v>
      </c>
      <c r="N78" t="str">
        <f t="shared" si="34"/>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9">IF(A82="","",N74)</f>
        <v>Add if multiple transactions, e.g.: $350*0.5 + $450*0.25</v>
      </c>
    </row>
    <row r="83" spans="1:14" x14ac:dyDescent="0.35">
      <c r="A83" s="32" t="str">
        <f>IF(A82="","","   Volume all players (should be zero)")</f>
        <v xml:space="preserve">   Volume all players (should be zero)</v>
      </c>
      <c r="C83" s="78">
        <f t="shared" ref="C83:M83" ca="1" si="40">IF(OR(C$27="",$A83=""),"",C$112)</f>
        <v>0</v>
      </c>
      <c r="D83" s="78">
        <f t="shared" ca="1" si="40"/>
        <v>0</v>
      </c>
      <c r="E83" s="78">
        <f t="shared" ca="1" si="40"/>
        <v>0</v>
      </c>
      <c r="F83" s="78">
        <f t="shared" ca="1" si="40"/>
        <v>0</v>
      </c>
      <c r="G83" s="78">
        <f t="shared" ca="1" si="40"/>
        <v>0</v>
      </c>
      <c r="H83" s="78">
        <f t="shared" ca="1" si="40"/>
        <v>0</v>
      </c>
      <c r="I83" s="78">
        <f t="shared" ca="1" si="40"/>
        <v>0</v>
      </c>
      <c r="J83" s="78">
        <f t="shared" ca="1" si="40"/>
        <v>0</v>
      </c>
      <c r="K83" s="78">
        <f t="shared" ca="1" si="40"/>
        <v>0</v>
      </c>
      <c r="L83" s="78">
        <f t="shared" ca="1" si="40"/>
        <v>0</v>
      </c>
      <c r="M83" t="str">
        <f t="shared" si="40"/>
        <v/>
      </c>
      <c r="N83" t="str">
        <f t="shared" si="39"/>
        <v>If non-zero, players need to change amount(s)</v>
      </c>
    </row>
    <row r="84" spans="1:14" x14ac:dyDescent="0.35">
      <c r="A84" s="1" t="str">
        <f>IF(A82="","","   Available Water [maf]")</f>
        <v xml:space="preserve">   Available Water [maf]</v>
      </c>
      <c r="C84" s="14">
        <f t="shared" ref="C84:L84" si="41">IF(OR(C$27="",$A84=""),"",C33+C51-C43-C81)</f>
        <v>0.6</v>
      </c>
      <c r="D84" s="14">
        <f t="shared" ca="1" si="41"/>
        <v>0.6</v>
      </c>
      <c r="E84" s="14">
        <f t="shared" ca="1" si="41"/>
        <v>0.6</v>
      </c>
      <c r="F84" s="14">
        <f t="shared" ca="1" si="41"/>
        <v>0.6</v>
      </c>
      <c r="G84" s="14">
        <f t="shared" ca="1" si="41"/>
        <v>0.6</v>
      </c>
      <c r="H84" s="14">
        <f t="shared" ca="1" si="41"/>
        <v>0.6</v>
      </c>
      <c r="I84" s="14">
        <f t="shared" ca="1" si="41"/>
        <v>0.6</v>
      </c>
      <c r="J84" s="14">
        <f t="shared" ca="1" si="41"/>
        <v>0.6</v>
      </c>
      <c r="K84" s="14">
        <f t="shared" ca="1" si="41"/>
        <v>0.6</v>
      </c>
      <c r="L84" s="14">
        <f t="shared" ca="1" si="41"/>
        <v>0.6</v>
      </c>
      <c r="N84" t="str">
        <f t="shared" si="39"/>
        <v>Available water = Account Balance + Available Inflow - Evaporation + Sales - Purchases</v>
      </c>
    </row>
    <row r="85" spans="1:14" x14ac:dyDescent="0.35">
      <c r="A85" s="1" t="str">
        <f>IF(A84="","","   Account Withdraw [maf]")</f>
        <v xml:space="preserve">   Account Withdraw [maf]</v>
      </c>
      <c r="C85" s="43">
        <f>C84</f>
        <v>0.6</v>
      </c>
      <c r="D85" s="43">
        <f t="shared" ref="D85:L85" ca="1" si="42">D84</f>
        <v>0.6</v>
      </c>
      <c r="E85" s="43">
        <f t="shared" ca="1" si="42"/>
        <v>0.6</v>
      </c>
      <c r="F85" s="43">
        <f t="shared" ca="1" si="42"/>
        <v>0.6</v>
      </c>
      <c r="G85" s="43">
        <f t="shared" ca="1" si="42"/>
        <v>0.6</v>
      </c>
      <c r="H85" s="43">
        <f t="shared" ca="1" si="42"/>
        <v>0.6</v>
      </c>
      <c r="I85" s="43">
        <f t="shared" ca="1" si="42"/>
        <v>0.6</v>
      </c>
      <c r="J85" s="43">
        <f t="shared" ca="1" si="42"/>
        <v>0.6</v>
      </c>
      <c r="K85" s="43">
        <f t="shared" ca="1" si="42"/>
        <v>0.6</v>
      </c>
      <c r="L85" s="43">
        <f t="shared" ca="1" si="42"/>
        <v>0.6</v>
      </c>
      <c r="N85" t="str">
        <f t="shared" si="39"/>
        <v>Must be less than Available water</v>
      </c>
    </row>
    <row r="86" spans="1:14" x14ac:dyDescent="0.35">
      <c r="A86" s="32" t="str">
        <f>IF(A85="","","   End of Year Balance [maf]")</f>
        <v xml:space="preserve">   End of Year Balance [maf]</v>
      </c>
      <c r="C86" s="77">
        <f>IF(OR(C$27="",$A86=""),"",C84-C85)</f>
        <v>0</v>
      </c>
      <c r="D86" s="77">
        <f t="shared" ref="D86:L86" ca="1" si="43">IF(OR(D$27="",$A86=""),"",D84-D85)</f>
        <v>0</v>
      </c>
      <c r="E86" s="77">
        <f t="shared" ca="1" si="43"/>
        <v>0</v>
      </c>
      <c r="F86" s="77">
        <f t="shared" ca="1" si="43"/>
        <v>0</v>
      </c>
      <c r="G86" s="77">
        <f t="shared" ca="1" si="43"/>
        <v>0</v>
      </c>
      <c r="H86" s="77">
        <f t="shared" ca="1" si="43"/>
        <v>0</v>
      </c>
      <c r="I86" s="77">
        <f t="shared" ca="1" si="43"/>
        <v>0</v>
      </c>
      <c r="J86" s="77">
        <f t="shared" ca="1" si="43"/>
        <v>0</v>
      </c>
      <c r="K86" s="77">
        <f t="shared" ca="1" si="43"/>
        <v>0</v>
      </c>
      <c r="L86" s="77">
        <f t="shared" ca="1" si="43"/>
        <v>0</v>
      </c>
      <c r="N86" t="str">
        <f t="shared" si="39"/>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4">IF(A90="","",N82)</f>
        <v>Add if multiple transactions, e.g.: $350*0.5 + $450*0.25</v>
      </c>
    </row>
    <row r="91" spans="1:14" x14ac:dyDescent="0.35">
      <c r="A91" s="32" t="str">
        <f>IF(A90="","","   Volume all players (should be zero)")</f>
        <v xml:space="preserve">   Volume all players (should be zero)</v>
      </c>
      <c r="C91" s="78">
        <f t="shared" ref="C91:M91" ca="1" si="45">IF(OR(C$27="",$A91=""),"",C$112)</f>
        <v>0</v>
      </c>
      <c r="D91" s="78">
        <f t="shared" ca="1" si="45"/>
        <v>0</v>
      </c>
      <c r="E91" s="78">
        <f t="shared" ca="1" si="45"/>
        <v>0</v>
      </c>
      <c r="F91" s="78">
        <f t="shared" ca="1" si="45"/>
        <v>0</v>
      </c>
      <c r="G91" s="78">
        <f t="shared" ca="1" si="45"/>
        <v>0</v>
      </c>
      <c r="H91" s="78">
        <f t="shared" ca="1" si="45"/>
        <v>0</v>
      </c>
      <c r="I91" s="78">
        <f t="shared" ca="1" si="45"/>
        <v>0</v>
      </c>
      <c r="J91" s="78">
        <f t="shared" ca="1" si="45"/>
        <v>0</v>
      </c>
      <c r="K91" s="78">
        <f t="shared" ca="1" si="45"/>
        <v>0</v>
      </c>
      <c r="L91" s="78">
        <f t="shared" ca="1" si="45"/>
        <v>0</v>
      </c>
      <c r="M91" t="str">
        <f t="shared" si="45"/>
        <v/>
      </c>
      <c r="N91" t="str">
        <f t="shared" si="44"/>
        <v>If non-zero, players need to change amount(s)</v>
      </c>
    </row>
    <row r="92" spans="1:14" x14ac:dyDescent="0.35">
      <c r="A92" s="1" t="str">
        <f>IF(A90="","","   Available Water [maf]")</f>
        <v xml:space="preserve">   Available Water [maf]</v>
      </c>
      <c r="C92" s="14">
        <f t="shared" ref="C92:L92" si="46">IF(OR(C$27="",$A92=""),"",C34+C52-C44-C89)</f>
        <v>11.59116925</v>
      </c>
      <c r="D92" s="14">
        <f t="shared" ca="1" si="46"/>
        <v>11.59116925</v>
      </c>
      <c r="E92" s="14">
        <f t="shared" ca="1" si="46"/>
        <v>11.59116925</v>
      </c>
      <c r="F92" s="14">
        <f t="shared" ca="1" si="46"/>
        <v>11.59116925</v>
      </c>
      <c r="G92" s="14">
        <f t="shared" ca="1" si="46"/>
        <v>11.59116925</v>
      </c>
      <c r="H92" s="14">
        <f t="shared" ca="1" si="46"/>
        <v>11.59116925</v>
      </c>
      <c r="I92" s="14">
        <f t="shared" ca="1" si="46"/>
        <v>11.59116925</v>
      </c>
      <c r="J92" s="14">
        <f t="shared" ca="1" si="46"/>
        <v>11.59116925</v>
      </c>
      <c r="K92" s="14">
        <f t="shared" ca="1" si="46"/>
        <v>11.59116925</v>
      </c>
      <c r="L92" s="14">
        <f t="shared" ca="1" si="46"/>
        <v>11.59116925</v>
      </c>
      <c r="N92" t="str">
        <f t="shared" si="4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4"/>
        <v>Must be less than Available water</v>
      </c>
    </row>
    <row r="94" spans="1:14" x14ac:dyDescent="0.35">
      <c r="A94" s="32" t="str">
        <f>IF(A93="","","   End of Year Balance [maf]")</f>
        <v xml:space="preserve">   End of Year Balance [maf]</v>
      </c>
      <c r="C94" s="77">
        <f>IF(OR(C$27="",$A94=""),"",C92-C93)</f>
        <v>11.59116925</v>
      </c>
      <c r="D94" s="77">
        <f t="shared" ref="D94:L94" ca="1" si="47">IF(OR(D$27="",$A94=""),"",D92-D93)</f>
        <v>11.59116925</v>
      </c>
      <c r="E94" s="77">
        <f t="shared" ca="1" si="47"/>
        <v>11.59116925</v>
      </c>
      <c r="F94" s="77">
        <f t="shared" ca="1" si="47"/>
        <v>11.59116925</v>
      </c>
      <c r="G94" s="77">
        <f t="shared" ca="1" si="47"/>
        <v>11.59116925</v>
      </c>
      <c r="H94" s="77">
        <f t="shared" ca="1" si="47"/>
        <v>11.59116925</v>
      </c>
      <c r="I94" s="77">
        <f t="shared" ca="1" si="47"/>
        <v>11.59116925</v>
      </c>
      <c r="J94" s="77">
        <f t="shared" ca="1" si="47"/>
        <v>11.59116925</v>
      </c>
      <c r="K94" s="77">
        <f t="shared" ca="1" si="47"/>
        <v>11.59116925</v>
      </c>
      <c r="L94" s="77">
        <f t="shared" ca="1" si="47"/>
        <v>11.59116925</v>
      </c>
      <c r="N94" t="str">
        <f t="shared" si="44"/>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8">IF(A98="","",N90)</f>
        <v/>
      </c>
    </row>
    <row r="99" spans="1:14" x14ac:dyDescent="0.35">
      <c r="A99" s="32" t="str">
        <f>IF(A98="","","   Volume all players (should be zero)")</f>
        <v/>
      </c>
      <c r="C99" s="78" t="str">
        <f t="shared" ref="C99:M99" si="49">IF(OR(C$27="",$A99=""),"",C$112)</f>
        <v/>
      </c>
      <c r="D99" s="78" t="str">
        <f t="shared" si="49"/>
        <v/>
      </c>
      <c r="E99" s="78" t="str">
        <f t="shared" si="49"/>
        <v/>
      </c>
      <c r="F99" s="78" t="str">
        <f t="shared" si="49"/>
        <v/>
      </c>
      <c r="G99" s="78" t="str">
        <f t="shared" si="49"/>
        <v/>
      </c>
      <c r="H99" s="78" t="str">
        <f t="shared" si="49"/>
        <v/>
      </c>
      <c r="I99" s="78" t="str">
        <f t="shared" si="49"/>
        <v/>
      </c>
      <c r="J99" s="78" t="str">
        <f t="shared" si="49"/>
        <v/>
      </c>
      <c r="K99" s="78" t="str">
        <f t="shared" si="49"/>
        <v/>
      </c>
      <c r="L99" s="78" t="str">
        <f t="shared" si="49"/>
        <v/>
      </c>
      <c r="M99" t="str">
        <f t="shared" si="49"/>
        <v/>
      </c>
      <c r="N99" t="str">
        <f t="shared" si="48"/>
        <v/>
      </c>
    </row>
    <row r="100" spans="1:14" x14ac:dyDescent="0.35">
      <c r="A100" s="1" t="str">
        <f>IF(A98="","","   Available Water [maf]")</f>
        <v/>
      </c>
      <c r="C100" s="14" t="str">
        <f t="shared" ref="C100:L100" si="50">IF(OR(C$27="",$A100=""),"",C35+C53-C45-C97)</f>
        <v/>
      </c>
      <c r="D100" s="14" t="str">
        <f t="shared" si="50"/>
        <v/>
      </c>
      <c r="E100" s="14" t="str">
        <f t="shared" si="50"/>
        <v/>
      </c>
      <c r="F100" s="14" t="str">
        <f t="shared" si="50"/>
        <v/>
      </c>
      <c r="G100" s="14" t="str">
        <f t="shared" si="50"/>
        <v/>
      </c>
      <c r="H100" s="14" t="str">
        <f t="shared" si="50"/>
        <v/>
      </c>
      <c r="I100" s="14" t="str">
        <f t="shared" si="50"/>
        <v/>
      </c>
      <c r="J100" s="14" t="str">
        <f t="shared" si="50"/>
        <v/>
      </c>
      <c r="K100" s="14" t="str">
        <f t="shared" si="50"/>
        <v/>
      </c>
      <c r="L100" s="14" t="str">
        <f t="shared" si="50"/>
        <v/>
      </c>
      <c r="N100" t="str">
        <f t="shared" si="48"/>
        <v/>
      </c>
    </row>
    <row r="101" spans="1:14" x14ac:dyDescent="0.35">
      <c r="A101" s="1" t="str">
        <f>IF(A100="","","   Account Withdraw [maf]")</f>
        <v/>
      </c>
      <c r="C101" s="43"/>
      <c r="D101" s="43"/>
      <c r="E101" s="43"/>
      <c r="F101" s="43"/>
      <c r="G101" s="43"/>
      <c r="H101" s="43"/>
      <c r="I101" s="43"/>
      <c r="J101" s="43"/>
      <c r="K101" s="43"/>
      <c r="L101" s="43"/>
      <c r="N101" t="str">
        <f t="shared" si="48"/>
        <v/>
      </c>
    </row>
    <row r="102" spans="1:14" x14ac:dyDescent="0.35">
      <c r="A102" s="32" t="str">
        <f>IF(A101="","","   End of Year Balance [maf]")</f>
        <v/>
      </c>
      <c r="C102" s="77" t="str">
        <f>IF(OR(C$27="",$A102=""),"",C100-C101)</f>
        <v/>
      </c>
      <c r="D102" s="77" t="str">
        <f t="shared" ref="D102:L102" si="51">IF(OR(D$27="",$A102=""),"",D100-D101)</f>
        <v/>
      </c>
      <c r="E102" s="77" t="str">
        <f t="shared" si="51"/>
        <v/>
      </c>
      <c r="F102" s="77" t="str">
        <f t="shared" si="51"/>
        <v/>
      </c>
      <c r="G102" s="77" t="str">
        <f t="shared" si="51"/>
        <v/>
      </c>
      <c r="H102" s="77" t="str">
        <f t="shared" si="51"/>
        <v/>
      </c>
      <c r="I102" s="77" t="str">
        <f t="shared" si="51"/>
        <v/>
      </c>
      <c r="J102" s="77" t="str">
        <f t="shared" si="51"/>
        <v/>
      </c>
      <c r="K102" s="77" t="str">
        <f t="shared" si="51"/>
        <v/>
      </c>
      <c r="L102" s="77" t="str">
        <f t="shared" si="51"/>
        <v/>
      </c>
      <c r="N102" t="str">
        <f t="shared" si="48"/>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52">IF(A6="","","    "&amp;A6)</f>
        <v xml:space="preserve">    Upper Basin</v>
      </c>
      <c r="B106" s="1"/>
      <c r="C106" s="78">
        <f t="shared" ref="C106:L111" ca="1" si="53">IF(OR(C$27="",$A106=""),"",OFFSET(C$57,8*(ROW(B106)-ROW(B$106)),0))</f>
        <v>0</v>
      </c>
      <c r="D106" s="78">
        <f t="shared" ca="1" si="53"/>
        <v>0</v>
      </c>
      <c r="E106" s="78">
        <f t="shared" ca="1" si="53"/>
        <v>0</v>
      </c>
      <c r="F106" s="78">
        <f t="shared" ca="1" si="53"/>
        <v>0</v>
      </c>
      <c r="G106" s="78">
        <f t="shared" ca="1" si="53"/>
        <v>0</v>
      </c>
      <c r="H106" s="78">
        <f t="shared" ca="1" si="53"/>
        <v>0</v>
      </c>
      <c r="I106" s="78">
        <f t="shared" ca="1" si="53"/>
        <v>0</v>
      </c>
      <c r="J106" s="78">
        <f t="shared" ca="1" si="53"/>
        <v>0</v>
      </c>
      <c r="K106" s="78">
        <f t="shared" ca="1" si="53"/>
        <v>0</v>
      </c>
      <c r="L106" s="78">
        <f t="shared" ca="1" si="53"/>
        <v>0</v>
      </c>
      <c r="M106" s="78">
        <f ca="1">IF(OR($A106=""),"",SUM(C106:L106))</f>
        <v>0</v>
      </c>
      <c r="N106" s="75">
        <f>IF(OR($A106=""),"",M58)</f>
        <v>0</v>
      </c>
    </row>
    <row r="107" spans="1:14" x14ac:dyDescent="0.35">
      <c r="A107" t="str">
        <f t="shared" si="52"/>
        <v xml:space="preserve">    Lower Basin</v>
      </c>
      <c r="B107" s="1"/>
      <c r="C107" s="78">
        <f t="shared" ca="1" si="53"/>
        <v>0</v>
      </c>
      <c r="D107" s="78">
        <f t="shared" ca="1" si="53"/>
        <v>0</v>
      </c>
      <c r="E107" s="78">
        <f t="shared" ca="1" si="53"/>
        <v>0</v>
      </c>
      <c r="F107" s="78">
        <f t="shared" ca="1" si="53"/>
        <v>0</v>
      </c>
      <c r="G107" s="78">
        <f t="shared" ca="1" si="53"/>
        <v>0</v>
      </c>
      <c r="H107" s="78">
        <f t="shared" ca="1" si="53"/>
        <v>0</v>
      </c>
      <c r="I107" s="78">
        <f t="shared" ca="1" si="53"/>
        <v>0</v>
      </c>
      <c r="J107" s="78">
        <f t="shared" ca="1" si="53"/>
        <v>0</v>
      </c>
      <c r="K107" s="78">
        <f t="shared" ca="1" si="53"/>
        <v>0</v>
      </c>
      <c r="L107" s="78">
        <f t="shared" ca="1" si="53"/>
        <v>0</v>
      </c>
      <c r="M107" s="78">
        <f t="shared" ref="M107:M111" ca="1" si="54">IF(OR($A107=""),"",SUM(C107:L107))</f>
        <v>0</v>
      </c>
      <c r="N107" s="75">
        <f>IF(OR($A107=""),"",M66)</f>
        <v>0</v>
      </c>
    </row>
    <row r="108" spans="1:14" x14ac:dyDescent="0.35">
      <c r="A108" t="str">
        <f t="shared" si="52"/>
        <v xml:space="preserve">    Mexico</v>
      </c>
      <c r="B108" s="1"/>
      <c r="C108" s="78">
        <f t="shared" ca="1" si="53"/>
        <v>0</v>
      </c>
      <c r="D108" s="78">
        <f t="shared" ca="1" si="53"/>
        <v>0</v>
      </c>
      <c r="E108" s="78">
        <f t="shared" ca="1" si="53"/>
        <v>0</v>
      </c>
      <c r="F108" s="78">
        <f t="shared" ca="1" si="53"/>
        <v>0</v>
      </c>
      <c r="G108" s="78">
        <f t="shared" ca="1" si="53"/>
        <v>0</v>
      </c>
      <c r="H108" s="78">
        <f t="shared" ca="1" si="53"/>
        <v>0</v>
      </c>
      <c r="I108" s="78">
        <f t="shared" ca="1" si="53"/>
        <v>0</v>
      </c>
      <c r="J108" s="78">
        <f t="shared" ca="1" si="53"/>
        <v>0</v>
      </c>
      <c r="K108" s="78">
        <f t="shared" ca="1" si="53"/>
        <v>0</v>
      </c>
      <c r="L108" s="78">
        <f t="shared" ca="1" si="53"/>
        <v>0</v>
      </c>
      <c r="M108" s="78">
        <f t="shared" ca="1" si="54"/>
        <v>0</v>
      </c>
      <c r="N108" s="75">
        <f>IF(OR($A108=""),"",M74)</f>
        <v>0</v>
      </c>
    </row>
    <row r="109" spans="1:14" x14ac:dyDescent="0.35">
      <c r="A109" t="str">
        <f t="shared" si="52"/>
        <v xml:space="preserve">    Mohave &amp; Havasu Evap &amp; ET</v>
      </c>
      <c r="B109" s="1"/>
      <c r="C109" s="78">
        <f t="shared" ca="1" si="53"/>
        <v>0</v>
      </c>
      <c r="D109" s="78">
        <f t="shared" ca="1" si="53"/>
        <v>0</v>
      </c>
      <c r="E109" s="78">
        <f t="shared" ca="1" si="53"/>
        <v>0</v>
      </c>
      <c r="F109" s="78">
        <f t="shared" ca="1" si="53"/>
        <v>0</v>
      </c>
      <c r="G109" s="78">
        <f t="shared" ca="1" si="53"/>
        <v>0</v>
      </c>
      <c r="H109" s="78">
        <f t="shared" ca="1" si="53"/>
        <v>0</v>
      </c>
      <c r="I109" s="78">
        <f t="shared" ca="1" si="53"/>
        <v>0</v>
      </c>
      <c r="J109" s="78">
        <f t="shared" ca="1" si="53"/>
        <v>0</v>
      </c>
      <c r="K109" s="78">
        <f t="shared" ca="1" si="53"/>
        <v>0</v>
      </c>
      <c r="L109" s="78">
        <f t="shared" ca="1" si="53"/>
        <v>0</v>
      </c>
      <c r="M109" s="78">
        <f t="shared" ca="1" si="54"/>
        <v>0</v>
      </c>
      <c r="N109" s="75">
        <f>IF(OR($A109=""),"",M82)</f>
        <v>0</v>
      </c>
    </row>
    <row r="110" spans="1:14" x14ac:dyDescent="0.35">
      <c r="A110" t="str">
        <f t="shared" si="52"/>
        <v xml:space="preserve">    Shared, Reserve</v>
      </c>
      <c r="B110" s="1"/>
      <c r="C110" s="78">
        <f t="shared" ca="1" si="53"/>
        <v>0</v>
      </c>
      <c r="D110" s="78">
        <f t="shared" ca="1" si="53"/>
        <v>0</v>
      </c>
      <c r="E110" s="78">
        <f t="shared" ca="1" si="53"/>
        <v>0</v>
      </c>
      <c r="F110" s="78">
        <f t="shared" ca="1" si="53"/>
        <v>0</v>
      </c>
      <c r="G110" s="78">
        <f t="shared" ca="1" si="53"/>
        <v>0</v>
      </c>
      <c r="H110" s="78">
        <f t="shared" ca="1" si="53"/>
        <v>0</v>
      </c>
      <c r="I110" s="78">
        <f t="shared" ca="1" si="53"/>
        <v>0</v>
      </c>
      <c r="J110" s="78">
        <f t="shared" ca="1" si="53"/>
        <v>0</v>
      </c>
      <c r="K110" s="78">
        <f t="shared" ca="1" si="53"/>
        <v>0</v>
      </c>
      <c r="L110" s="78">
        <f t="shared" ca="1" si="53"/>
        <v>0</v>
      </c>
      <c r="M110" s="78">
        <f t="shared" ca="1" si="54"/>
        <v>0</v>
      </c>
      <c r="N110" s="75">
        <f>IF(OR($A110=""),"",M90)</f>
        <v>0</v>
      </c>
    </row>
    <row r="111" spans="1:14" x14ac:dyDescent="0.35">
      <c r="A111" t="str">
        <f t="shared" si="52"/>
        <v/>
      </c>
      <c r="B111" s="1"/>
      <c r="C111" s="78" t="str">
        <f t="shared" ca="1" si="53"/>
        <v/>
      </c>
      <c r="D111" s="78" t="str">
        <f t="shared" ca="1" si="53"/>
        <v/>
      </c>
      <c r="E111" s="78" t="str">
        <f t="shared" ca="1" si="53"/>
        <v/>
      </c>
      <c r="F111" s="78" t="str">
        <f t="shared" ca="1" si="53"/>
        <v/>
      </c>
      <c r="G111" s="78" t="str">
        <f t="shared" ca="1" si="53"/>
        <v/>
      </c>
      <c r="H111" s="78" t="str">
        <f t="shared" ca="1" si="53"/>
        <v/>
      </c>
      <c r="I111" s="78" t="str">
        <f t="shared" ca="1" si="53"/>
        <v/>
      </c>
      <c r="J111" s="78" t="str">
        <f t="shared" ca="1" si="53"/>
        <v/>
      </c>
      <c r="K111" s="78" t="str">
        <f t="shared" ca="1" si="53"/>
        <v/>
      </c>
      <c r="L111" s="78" t="str">
        <f t="shared" ca="1" si="53"/>
        <v/>
      </c>
      <c r="M111" s="78" t="str">
        <f t="shared" si="54"/>
        <v/>
      </c>
      <c r="N111" s="75" t="str">
        <f>IF(OR($A111=""),"",M98)</f>
        <v/>
      </c>
    </row>
    <row r="112" spans="1:14" x14ac:dyDescent="0.35">
      <c r="A112" t="s">
        <v>146</v>
      </c>
      <c r="B112" s="1"/>
      <c r="C112" s="52">
        <f ca="1">IF(C$27&lt;&gt;"",SUM(C106:C111),"")</f>
        <v>0</v>
      </c>
      <c r="D112" s="52">
        <f t="shared" ref="D112:L112" ca="1" si="55">IF(D$27&lt;&gt;"",SUM(D106:D111),"")</f>
        <v>0</v>
      </c>
      <c r="E112" s="52">
        <f t="shared" ca="1" si="55"/>
        <v>0</v>
      </c>
      <c r="F112" s="52">
        <f t="shared" ca="1" si="55"/>
        <v>0</v>
      </c>
      <c r="G112" s="52">
        <f t="shared" ca="1" si="55"/>
        <v>0</v>
      </c>
      <c r="H112" s="52">
        <f t="shared" ca="1" si="55"/>
        <v>0</v>
      </c>
      <c r="I112" s="52">
        <f t="shared" ca="1" si="55"/>
        <v>0</v>
      </c>
      <c r="J112" s="52">
        <f t="shared" ca="1" si="55"/>
        <v>0</v>
      </c>
      <c r="K112" s="52">
        <f t="shared" ca="1" si="55"/>
        <v>0</v>
      </c>
      <c r="L112" s="52">
        <f t="shared" ca="1" si="55"/>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6">IF(OR(C$27="",$A114=""),"",OFFSET(C$61,8*(ROW(B114)-ROW(B$114)),0))</f>
        <v>4.2</v>
      </c>
      <c r="D114" s="78">
        <f t="shared" ca="1" si="56"/>
        <v>4.2</v>
      </c>
      <c r="E114" s="78">
        <f t="shared" ca="1" si="56"/>
        <v>4.2</v>
      </c>
      <c r="F114" s="78">
        <f t="shared" ca="1" si="56"/>
        <v>4.2</v>
      </c>
      <c r="G114" s="78">
        <f t="shared" ca="1" si="56"/>
        <v>4.2</v>
      </c>
      <c r="H114" s="78">
        <f t="shared" ca="1" si="56"/>
        <v>4.2</v>
      </c>
      <c r="I114" s="78">
        <f t="shared" ca="1" si="56"/>
        <v>4.2</v>
      </c>
      <c r="J114" s="78">
        <f t="shared" ca="1" si="56"/>
        <v>4.2</v>
      </c>
      <c r="K114" s="78">
        <f t="shared" ca="1" si="56"/>
        <v>4.2</v>
      </c>
      <c r="L114" s="78">
        <f t="shared" ca="1" si="56"/>
        <v>4.2</v>
      </c>
    </row>
    <row r="115" spans="1:12" x14ac:dyDescent="0.35">
      <c r="A115" t="str">
        <f>IF(A7="","","    "&amp;A7&amp;" - Release from Mead")</f>
        <v xml:space="preserve">    Lower Basin - Release from Mead</v>
      </c>
      <c r="C115" s="78">
        <f t="shared" ca="1" si="56"/>
        <v>7.2590000000000003</v>
      </c>
      <c r="D115" s="78">
        <f t="shared" ca="1" si="56"/>
        <v>7.2590000000000003</v>
      </c>
      <c r="E115" s="78">
        <f t="shared" ca="1" si="56"/>
        <v>6.8870000000000005</v>
      </c>
      <c r="F115" s="78">
        <f t="shared" ca="1" si="56"/>
        <v>6.8870000000000005</v>
      </c>
      <c r="G115" s="78">
        <f t="shared" ca="1" si="56"/>
        <v>6.8870000000000005</v>
      </c>
      <c r="H115" s="78">
        <f t="shared" ca="1" si="56"/>
        <v>6.8870000000000005</v>
      </c>
      <c r="I115" s="78">
        <f t="shared" ca="1" si="56"/>
        <v>6.7789999999999999</v>
      </c>
      <c r="J115" s="78">
        <f t="shared" ca="1" si="56"/>
        <v>6.8870000000000005</v>
      </c>
      <c r="K115" s="78">
        <f t="shared" ca="1" si="56"/>
        <v>6.8870000000000005</v>
      </c>
      <c r="L115" s="78">
        <f t="shared" ca="1" si="56"/>
        <v>6.8870000000000005</v>
      </c>
    </row>
    <row r="116" spans="1:12" x14ac:dyDescent="0.35">
      <c r="A116" t="str">
        <f>IF(A8="","","    "&amp;A8&amp;" - Release from Mead")</f>
        <v xml:space="preserve">    Mexico - Release from Mead</v>
      </c>
      <c r="C116" s="78">
        <f t="shared" ca="1" si="56"/>
        <v>1.4473333333333334</v>
      </c>
      <c r="D116" s="78">
        <f t="shared" ca="1" si="56"/>
        <v>1.4473333333333334</v>
      </c>
      <c r="E116" s="78">
        <f t="shared" ca="1" si="56"/>
        <v>1.4083333333333332</v>
      </c>
      <c r="F116" s="78">
        <f t="shared" ca="1" si="56"/>
        <v>1.4083333333333332</v>
      </c>
      <c r="G116" s="78">
        <f t="shared" ca="1" si="56"/>
        <v>1.4083333333333332</v>
      </c>
      <c r="H116" s="78">
        <f t="shared" ca="1" si="56"/>
        <v>1.4083333333333332</v>
      </c>
      <c r="I116" s="78">
        <f t="shared" ca="1" si="56"/>
        <v>1.3843333333333332</v>
      </c>
      <c r="J116" s="78">
        <f t="shared" ca="1" si="56"/>
        <v>1.4083333333333332</v>
      </c>
      <c r="K116" s="78">
        <f t="shared" ca="1" si="56"/>
        <v>1.4083333333333332</v>
      </c>
      <c r="L116" s="78">
        <f t="shared" ca="1" si="56"/>
        <v>1.4083333333333332</v>
      </c>
    </row>
    <row r="117" spans="1:12" x14ac:dyDescent="0.35">
      <c r="A117" t="str">
        <f>IF(A9="","","    "&amp;A9&amp;" - Release from Mead")</f>
        <v xml:space="preserve">    Mohave &amp; Havasu Evap &amp; ET - Release from Mead</v>
      </c>
      <c r="C117" s="78">
        <f t="shared" ca="1" si="56"/>
        <v>0.6</v>
      </c>
      <c r="D117" s="78">
        <f t="shared" ca="1" si="56"/>
        <v>0.6</v>
      </c>
      <c r="E117" s="78">
        <f t="shared" ca="1" si="56"/>
        <v>0.6</v>
      </c>
      <c r="F117" s="78">
        <f t="shared" ca="1" si="56"/>
        <v>0.6</v>
      </c>
      <c r="G117" s="78">
        <f t="shared" ca="1" si="56"/>
        <v>0.6</v>
      </c>
      <c r="H117" s="78">
        <f t="shared" ca="1" si="56"/>
        <v>0.6</v>
      </c>
      <c r="I117" s="78">
        <f t="shared" ca="1" si="56"/>
        <v>0.6</v>
      </c>
      <c r="J117" s="78">
        <f t="shared" ca="1" si="56"/>
        <v>0.6</v>
      </c>
      <c r="K117" s="78">
        <f t="shared" ca="1" si="56"/>
        <v>0.6</v>
      </c>
      <c r="L117" s="78">
        <f t="shared" ca="1" si="56"/>
        <v>0.6</v>
      </c>
    </row>
    <row r="118" spans="1:12" x14ac:dyDescent="0.35">
      <c r="A118" t="str">
        <f>IF(A10="","","    "&amp;A10&amp;" - Release from Mead")</f>
        <v xml:space="preserve">    Shared, Reserve - Release from Mead</v>
      </c>
      <c r="C118" s="78">
        <f t="shared" ca="1" si="56"/>
        <v>0</v>
      </c>
      <c r="D118" s="78">
        <f t="shared" ca="1" si="56"/>
        <v>0</v>
      </c>
      <c r="E118" s="78">
        <f t="shared" ca="1" si="56"/>
        <v>0</v>
      </c>
      <c r="F118" s="78">
        <f t="shared" ca="1" si="56"/>
        <v>0</v>
      </c>
      <c r="G118" s="78">
        <f t="shared" ca="1" si="56"/>
        <v>0</v>
      </c>
      <c r="H118" s="78">
        <f t="shared" ca="1" si="56"/>
        <v>0</v>
      </c>
      <c r="I118" s="78">
        <f t="shared" ca="1" si="56"/>
        <v>0</v>
      </c>
      <c r="J118" s="78">
        <f t="shared" ca="1" si="56"/>
        <v>0</v>
      </c>
      <c r="K118" s="78">
        <f t="shared" ca="1" si="56"/>
        <v>0</v>
      </c>
      <c r="L118" s="78">
        <f t="shared" ca="1" si="56"/>
        <v>0</v>
      </c>
    </row>
    <row r="119" spans="1:12" x14ac:dyDescent="0.35">
      <c r="A119" t="str">
        <f>IF(A11="","","    "&amp;A11&amp;" - Release from Mead")</f>
        <v/>
      </c>
      <c r="C119" s="78" t="str">
        <f t="shared" ca="1" si="56"/>
        <v/>
      </c>
      <c r="D119" s="78" t="str">
        <f t="shared" ca="1" si="56"/>
        <v/>
      </c>
      <c r="E119" s="78" t="str">
        <f t="shared" ca="1" si="56"/>
        <v/>
      </c>
      <c r="F119" s="78" t="str">
        <f t="shared" ca="1" si="56"/>
        <v/>
      </c>
      <c r="G119" s="78" t="str">
        <f t="shared" ca="1" si="56"/>
        <v/>
      </c>
      <c r="H119" s="78" t="str">
        <f t="shared" ca="1" si="56"/>
        <v/>
      </c>
      <c r="I119" s="78" t="str">
        <f t="shared" ca="1" si="56"/>
        <v/>
      </c>
      <c r="J119" s="78" t="str">
        <f t="shared" ca="1" si="56"/>
        <v/>
      </c>
      <c r="K119" s="78" t="str">
        <f t="shared" ca="1" si="56"/>
        <v/>
      </c>
      <c r="L119" s="78" t="str">
        <f t="shared" ca="1" si="56"/>
        <v/>
      </c>
    </row>
    <row r="120" spans="1:12" x14ac:dyDescent="0.35">
      <c r="A120" s="1" t="s">
        <v>139</v>
      </c>
      <c r="B120" s="1"/>
      <c r="D120" s="2"/>
      <c r="E120" s="2"/>
      <c r="F120" s="2"/>
      <c r="G120" s="2"/>
      <c r="H120" s="2"/>
      <c r="I120" s="2"/>
      <c r="J120" s="2"/>
      <c r="K120" s="2"/>
      <c r="L120" s="2"/>
    </row>
    <row r="121" spans="1:12" x14ac:dyDescent="0.35">
      <c r="A121" t="str">
        <f t="shared" ref="A121:A126" si="57">IF(A6="","","    "&amp;A6)</f>
        <v xml:space="preserve">    Upper Basin</v>
      </c>
      <c r="C121" s="78">
        <f t="shared" ref="C121:L126" ca="1" si="58">IF(OR(C$27="",$A121=""),"",OFFSET(C$62,8*(ROW(B121)-ROW(B$121)),0))</f>
        <v>4.5233582945981317</v>
      </c>
      <c r="D121" s="78">
        <f t="shared" ca="1" si="58"/>
        <v>3.987647051522166</v>
      </c>
      <c r="E121" s="78">
        <f t="shared" ca="1" si="58"/>
        <v>3.483325910947773</v>
      </c>
      <c r="F121" s="78">
        <f t="shared" ca="1" si="58"/>
        <v>2.9964533819189265</v>
      </c>
      <c r="G121" s="78">
        <f t="shared" ca="1" si="58"/>
        <v>2.5262983372609531</v>
      </c>
      <c r="H121" s="78">
        <f t="shared" ca="1" si="58"/>
        <v>2.0723559672341807</v>
      </c>
      <c r="I121" s="78">
        <f t="shared" ca="1" si="58"/>
        <v>3.6462888923762851</v>
      </c>
      <c r="J121" s="78">
        <f t="shared" ca="1" si="58"/>
        <v>5.1398151681361623</v>
      </c>
      <c r="K121" s="78">
        <f t="shared" ca="1" si="58"/>
        <v>6.5701342123270718</v>
      </c>
      <c r="L121" s="78">
        <f t="shared" ca="1" si="58"/>
        <v>7.9423314989913463</v>
      </c>
    </row>
    <row r="122" spans="1:12" x14ac:dyDescent="0.35">
      <c r="A122" t="str">
        <f t="shared" si="57"/>
        <v xml:space="preserve">    Lower Basin</v>
      </c>
      <c r="C122" s="78">
        <f t="shared" ca="1" si="58"/>
        <v>3.4916684655908359</v>
      </c>
      <c r="D122" s="78">
        <f t="shared" ca="1" si="58"/>
        <v>2.7481515343349781</v>
      </c>
      <c r="E122" s="78">
        <f t="shared" ca="1" si="58"/>
        <v>2.4201979239190976</v>
      </c>
      <c r="F122" s="78">
        <f t="shared" ca="1" si="58"/>
        <v>2.101631253244193</v>
      </c>
      <c r="G122" s="78">
        <f t="shared" ca="1" si="58"/>
        <v>1.7919028361785614</v>
      </c>
      <c r="H122" s="78">
        <f t="shared" ca="1" si="58"/>
        <v>1.4906525952698928</v>
      </c>
      <c r="I122" s="78">
        <f t="shared" ca="1" si="58"/>
        <v>1.3176652403314169</v>
      </c>
      <c r="J122" s="78">
        <f t="shared" ca="1" si="58"/>
        <v>1.0480741430616689</v>
      </c>
      <c r="K122" s="78">
        <f t="shared" ca="1" si="58"/>
        <v>0.80299386586720889</v>
      </c>
      <c r="L122" s="78">
        <f t="shared" ca="1" si="58"/>
        <v>0.57904335882580593</v>
      </c>
    </row>
    <row r="123" spans="1:12" x14ac:dyDescent="0.35">
      <c r="A123" t="str">
        <f t="shared" si="57"/>
        <v xml:space="preserve">    Mexico</v>
      </c>
      <c r="C123" s="78">
        <f t="shared" ca="1" si="58"/>
        <v>0.16557297647772518</v>
      </c>
      <c r="D123" s="78">
        <f t="shared" ca="1" si="58"/>
        <v>0.15735694647678922</v>
      </c>
      <c r="E123" s="78">
        <f t="shared" ca="1" si="58"/>
        <v>0.14931228563432986</v>
      </c>
      <c r="F123" s="78">
        <f t="shared" ca="1" si="58"/>
        <v>0.14154478800417558</v>
      </c>
      <c r="G123" s="78">
        <f t="shared" ca="1" si="58"/>
        <v>0.13404274739387745</v>
      </c>
      <c r="H123" s="78">
        <f t="shared" ca="1" si="58"/>
        <v>0.1267980923965879</v>
      </c>
      <c r="I123" s="78">
        <f t="shared" ca="1" si="58"/>
        <v>0.11980544376079982</v>
      </c>
      <c r="J123" s="78">
        <f t="shared" ca="1" si="58"/>
        <v>0.11343180193791169</v>
      </c>
      <c r="K123" s="78">
        <f t="shared" ca="1" si="58"/>
        <v>0.10756577910815412</v>
      </c>
      <c r="L123" s="78">
        <f t="shared" ca="1" si="58"/>
        <v>0.10214095115254884</v>
      </c>
    </row>
    <row r="124" spans="1:12" x14ac:dyDescent="0.35">
      <c r="A124" t="str">
        <f t="shared" si="57"/>
        <v xml:space="preserve">    Mohave &amp; Havasu Evap &amp; ET</v>
      </c>
      <c r="C124" s="78">
        <f t="shared" ca="1" si="58"/>
        <v>0</v>
      </c>
      <c r="D124" s="78">
        <f t="shared" ca="1" si="58"/>
        <v>0</v>
      </c>
      <c r="E124" s="78">
        <f t="shared" ca="1" si="58"/>
        <v>0</v>
      </c>
      <c r="F124" s="78">
        <f t="shared" ca="1" si="58"/>
        <v>0</v>
      </c>
      <c r="G124" s="78">
        <f t="shared" ca="1" si="58"/>
        <v>0</v>
      </c>
      <c r="H124" s="78">
        <f t="shared" ca="1" si="58"/>
        <v>0</v>
      </c>
      <c r="I124" s="78">
        <f t="shared" ca="1" si="58"/>
        <v>0</v>
      </c>
      <c r="J124" s="78">
        <f t="shared" ca="1" si="58"/>
        <v>0</v>
      </c>
      <c r="K124" s="78">
        <f t="shared" ca="1" si="58"/>
        <v>0</v>
      </c>
      <c r="L124" s="78">
        <f t="shared" ca="1" si="58"/>
        <v>0</v>
      </c>
    </row>
    <row r="125" spans="1:12" x14ac:dyDescent="0.35">
      <c r="A125" t="str">
        <f t="shared" si="57"/>
        <v xml:space="preserve">    Shared, Reserve</v>
      </c>
      <c r="C125" s="78">
        <f t="shared" ca="1" si="58"/>
        <v>11.59116925</v>
      </c>
      <c r="D125" s="78">
        <f t="shared" ca="1" si="58"/>
        <v>11.59116925</v>
      </c>
      <c r="E125" s="78">
        <f t="shared" ca="1" si="58"/>
        <v>11.59116925</v>
      </c>
      <c r="F125" s="78">
        <f t="shared" ca="1" si="58"/>
        <v>11.59116925</v>
      </c>
      <c r="G125" s="78">
        <f t="shared" ca="1" si="58"/>
        <v>11.59116925</v>
      </c>
      <c r="H125" s="78">
        <f t="shared" ca="1" si="58"/>
        <v>11.59116925</v>
      </c>
      <c r="I125" s="78">
        <f t="shared" ca="1" si="58"/>
        <v>11.59116925</v>
      </c>
      <c r="J125" s="78">
        <f t="shared" ca="1" si="58"/>
        <v>11.59116925</v>
      </c>
      <c r="K125" s="78">
        <f t="shared" ca="1" si="58"/>
        <v>11.59116925</v>
      </c>
      <c r="L125" s="78">
        <f t="shared" ca="1" si="58"/>
        <v>11.59116925</v>
      </c>
    </row>
    <row r="126" spans="1:12" x14ac:dyDescent="0.35">
      <c r="A126" t="str">
        <f t="shared" si="57"/>
        <v/>
      </c>
      <c r="C126" s="78" t="str">
        <f t="shared" ca="1" si="58"/>
        <v/>
      </c>
      <c r="D126" s="78" t="str">
        <f t="shared" ca="1" si="58"/>
        <v/>
      </c>
      <c r="E126" s="78" t="str">
        <f t="shared" ca="1" si="58"/>
        <v/>
      </c>
      <c r="F126" s="78" t="str">
        <f t="shared" ca="1" si="58"/>
        <v/>
      </c>
      <c r="G126" s="78" t="str">
        <f t="shared" ca="1" si="58"/>
        <v/>
      </c>
      <c r="H126" s="78" t="str">
        <f t="shared" ca="1" si="58"/>
        <v/>
      </c>
      <c r="I126" s="78" t="str">
        <f t="shared" ca="1" si="58"/>
        <v/>
      </c>
      <c r="J126" s="78" t="str">
        <f t="shared" ca="1" si="58"/>
        <v/>
      </c>
      <c r="K126" s="78" t="str">
        <f t="shared" ca="1" si="58"/>
        <v/>
      </c>
      <c r="L126" s="78" t="str">
        <f t="shared" ca="1" si="58"/>
        <v/>
      </c>
    </row>
    <row r="127" spans="1:12" x14ac:dyDescent="0.35">
      <c r="A127" s="1" t="s">
        <v>123</v>
      </c>
      <c r="B127" s="1"/>
      <c r="C127" s="14">
        <f ca="1">IF(C$27&lt;&gt;"",SUM(C121:C126),"")</f>
        <v>19.771768986666693</v>
      </c>
      <c r="D127" s="14">
        <f t="shared" ref="D127:L127" ca="1" si="59">IF(D$27&lt;&gt;"",SUM(D121:D126),"")</f>
        <v>18.484324782333935</v>
      </c>
      <c r="E127" s="14">
        <f t="shared" ca="1" si="59"/>
        <v>17.644005370501201</v>
      </c>
      <c r="F127" s="14">
        <f t="shared" ca="1" si="59"/>
        <v>16.830798673167294</v>
      </c>
      <c r="G127" s="14">
        <f t="shared" ca="1" si="59"/>
        <v>16.043413170833393</v>
      </c>
      <c r="H127" s="14">
        <f t="shared" ca="1" si="59"/>
        <v>15.280975904900661</v>
      </c>
      <c r="I127" s="14">
        <f t="shared" ca="1" si="59"/>
        <v>16.674928826468502</v>
      </c>
      <c r="J127" s="14">
        <f t="shared" ca="1" si="59"/>
        <v>17.892490363135742</v>
      </c>
      <c r="K127" s="14">
        <f t="shared" ca="1" si="59"/>
        <v>19.071863107302434</v>
      </c>
      <c r="L127" s="14">
        <f t="shared" ca="1" si="59"/>
        <v>20.2146850589697</v>
      </c>
    </row>
    <row r="128" spans="1:12" x14ac:dyDescent="0.35">
      <c r="A128" s="1" t="s">
        <v>206</v>
      </c>
      <c r="B128" s="1"/>
      <c r="C128" s="87">
        <v>0.5</v>
      </c>
      <c r="D128" s="87">
        <v>0.5</v>
      </c>
      <c r="E128" s="87">
        <v>0.5</v>
      </c>
      <c r="F128" s="87">
        <v>0.5</v>
      </c>
      <c r="G128" s="87">
        <v>0.5</v>
      </c>
      <c r="H128" s="87">
        <v>0.5</v>
      </c>
      <c r="I128" s="87">
        <v>0.5</v>
      </c>
      <c r="J128" s="87">
        <v>0.5</v>
      </c>
      <c r="K128" s="87">
        <v>0.5</v>
      </c>
      <c r="L128" s="87">
        <v>0.5</v>
      </c>
    </row>
    <row r="129" spans="1:14" x14ac:dyDescent="0.35">
      <c r="A129" s="1" t="s">
        <v>202</v>
      </c>
      <c r="B129" s="1"/>
      <c r="C129" s="14">
        <f ca="1">IF(C27="","",C$128*C$127)</f>
        <v>9.8858844933333465</v>
      </c>
      <c r="D129" s="14">
        <f t="shared" ref="D129:L129" ca="1" si="60">IF(D27="","",D$128*D$127)</f>
        <v>9.2421623911669677</v>
      </c>
      <c r="E129" s="14">
        <f t="shared" ca="1" si="60"/>
        <v>8.8220026852506006</v>
      </c>
      <c r="F129" s="14">
        <f t="shared" ca="1" si="60"/>
        <v>8.415399336583647</v>
      </c>
      <c r="G129" s="14">
        <f t="shared" ca="1" si="60"/>
        <v>8.0217065854166965</v>
      </c>
      <c r="H129" s="14">
        <f t="shared" ca="1" si="60"/>
        <v>7.6404879524503304</v>
      </c>
      <c r="I129" s="14">
        <f t="shared" ca="1" si="60"/>
        <v>8.337464413234251</v>
      </c>
      <c r="J129" s="14">
        <f t="shared" ca="1" si="60"/>
        <v>8.9462451815678712</v>
      </c>
      <c r="K129" s="14">
        <f t="shared" ca="1" si="60"/>
        <v>9.535931553651217</v>
      </c>
      <c r="L129" s="14">
        <f t="shared" ca="1" si="60"/>
        <v>10.10734252948485</v>
      </c>
    </row>
    <row r="130" spans="1:14" x14ac:dyDescent="0.35">
      <c r="A130" s="1" t="s">
        <v>203</v>
      </c>
      <c r="B130" s="1"/>
      <c r="C130" s="14">
        <f ca="1">IF(C28="","",(1-C$128)*C$127)</f>
        <v>9.8858844933333465</v>
      </c>
      <c r="D130" s="14">
        <f t="shared" ref="D130:L130" ca="1" si="61">IF(D28="","",(1-D$128)*D$127)</f>
        <v>9.2421623911669677</v>
      </c>
      <c r="E130" s="14">
        <f t="shared" ca="1" si="61"/>
        <v>8.8220026852506006</v>
      </c>
      <c r="F130" s="14">
        <f t="shared" ca="1" si="61"/>
        <v>8.415399336583647</v>
      </c>
      <c r="G130" s="14">
        <f t="shared" ca="1" si="61"/>
        <v>8.0217065854166965</v>
      </c>
      <c r="H130" s="14">
        <f t="shared" ca="1" si="61"/>
        <v>7.6404879524503304</v>
      </c>
      <c r="I130" s="14">
        <f t="shared" ca="1" si="61"/>
        <v>8.337464413234251</v>
      </c>
      <c r="J130" s="14">
        <f t="shared" ca="1" si="61"/>
        <v>8.9462451815678712</v>
      </c>
      <c r="K130" s="14">
        <f t="shared" ca="1" si="61"/>
        <v>9.535931553651217</v>
      </c>
      <c r="L130" s="14">
        <f t="shared" ca="1" si="61"/>
        <v>10.10734252948485</v>
      </c>
    </row>
    <row r="131" spans="1:14" x14ac:dyDescent="0.35">
      <c r="A131" s="32" t="s">
        <v>305</v>
      </c>
      <c r="B131" s="1"/>
      <c r="C131" s="141">
        <f ca="1">IF(C$27&lt;&gt;"",VLOOKUP(C129*1000000,'Powell-Elevation-Area'!$B$5:$H$689,7),"")</f>
        <v>3579</v>
      </c>
      <c r="D131" s="141">
        <f ca="1">IF(D$27&lt;&gt;"",VLOOKUP(D129*1000000,'Powell-Elevation-Area'!$B$5:$H$689,7),"")</f>
        <v>3571.5</v>
      </c>
      <c r="E131" s="141">
        <f ca="1">IF(E$27&lt;&gt;"",VLOOKUP(E129*1000000,'Powell-Elevation-Area'!$B$5:$H$689,7),"")</f>
        <v>3566</v>
      </c>
      <c r="F131" s="141">
        <f ca="1">IF(F$27&lt;&gt;"",VLOOKUP(F129*1000000,'Powell-Elevation-Area'!$B$5:$H$689,7),"")</f>
        <v>3561</v>
      </c>
      <c r="G131" s="141">
        <f ca="1">IF(G$27&lt;&gt;"",VLOOKUP(G129*1000000,'Powell-Elevation-Area'!$B$5:$H$689,7),"")</f>
        <v>3555.5</v>
      </c>
      <c r="H131" s="141">
        <f ca="1">IF(H$27&lt;&gt;"",VLOOKUP(H129*1000000,'Powell-Elevation-Area'!$B$5:$H$689,7),"")</f>
        <v>3550.5</v>
      </c>
      <c r="I131" s="141">
        <f ca="1">IF(I$27&lt;&gt;"",VLOOKUP(I129*1000000,'Powell-Elevation-Area'!$B$5:$H$689,7),"")</f>
        <v>3560</v>
      </c>
      <c r="J131" s="141">
        <f ca="1">IF(J$27&lt;&gt;"",VLOOKUP(J129*1000000,'Powell-Elevation-Area'!$B$5:$H$689,7),"")</f>
        <v>3567.5</v>
      </c>
      <c r="K131" s="141">
        <f ca="1">IF(K$27&lt;&gt;"",VLOOKUP(K129*1000000,'Powell-Elevation-Area'!$B$5:$H$689,7),"")</f>
        <v>3575</v>
      </c>
      <c r="L131" s="141">
        <f ca="1">IF(L$27&lt;&gt;"",VLOOKUP(L129*1000000,'Powell-Elevation-Area'!$B$5:$H$689,7),"")</f>
        <v>3581.5</v>
      </c>
    </row>
    <row r="132" spans="1:14" x14ac:dyDescent="0.35">
      <c r="A132" s="32" t="s">
        <v>306</v>
      </c>
      <c r="B132" s="1"/>
      <c r="C132" s="141">
        <f ca="1">IF(C$27&lt;&gt;"",VLOOKUP(C130*1000000,'Mead-Elevation-Area'!$B$5:$H$689,7),"")</f>
        <v>1078</v>
      </c>
      <c r="D132" s="141">
        <f ca="1">IF(D$27&lt;&gt;"",VLOOKUP(D130*1000000,'Mead-Elevation-Area'!$B$5:$H$689,7),"")</f>
        <v>1070.5</v>
      </c>
      <c r="E132" s="141">
        <f ca="1">IF(E$27&lt;&gt;"",VLOOKUP(E130*1000000,'Mead-Elevation-Area'!$B$5:$H$689,7),"")</f>
        <v>1065</v>
      </c>
      <c r="F132" s="141">
        <f ca="1">IF(F$27&lt;&gt;"",VLOOKUP(F130*1000000,'Mead-Elevation-Area'!$B$5:$H$689,7),"")</f>
        <v>1059.5</v>
      </c>
      <c r="G132" s="141">
        <f ca="1">IF(G$27&lt;&gt;"",VLOOKUP(G130*1000000,'Mead-Elevation-Area'!$B$5:$H$689,7),"")</f>
        <v>1054.5</v>
      </c>
      <c r="H132" s="141">
        <f ca="1">IF(H$27&lt;&gt;"",VLOOKUP(H130*1000000,'Mead-Elevation-Area'!$B$5:$H$689,7),"")</f>
        <v>1049</v>
      </c>
      <c r="I132" s="141">
        <f ca="1">IF(I$27&lt;&gt;"",VLOOKUP(I130*1000000,'Mead-Elevation-Area'!$B$5:$H$689,7),"")</f>
        <v>1058.5</v>
      </c>
      <c r="J132" s="141">
        <f ca="1">IF(J$27&lt;&gt;"",VLOOKUP(J130*1000000,'Mead-Elevation-Area'!$B$5:$H$689,7),"")</f>
        <v>1066.5</v>
      </c>
      <c r="K132" s="141">
        <f ca="1">IF(K$27&lt;&gt;"",VLOOKUP(K130*1000000,'Mead-Elevation-Area'!$B$5:$H$689,7),"")</f>
        <v>1074</v>
      </c>
      <c r="L132" s="141">
        <f ca="1">IF(L$27&lt;&gt;"",VLOOKUP(L130*1000000,'Mead-Elevation-Area'!$B$5:$H$689,7),"")</f>
        <v>1081</v>
      </c>
    </row>
    <row r="133" spans="1:14" x14ac:dyDescent="0.35">
      <c r="A133" s="1" t="s">
        <v>319</v>
      </c>
      <c r="B133" s="1"/>
      <c r="C133"/>
    </row>
    <row r="134" spans="1:14" x14ac:dyDescent="0.35">
      <c r="A134" s="32" t="s">
        <v>320</v>
      </c>
      <c r="B134" s="1"/>
      <c r="C134" s="14">
        <f ca="1">IF(C$27&lt;&gt;"",-C129+C37+C27-C61-VLOOKUP(C37*1000000,'Powell-Elevation-Area'!$B$5:$D$689,3)*$B$21/1000000,"")</f>
        <v>8.7912186266660797</v>
      </c>
      <c r="D134" s="14">
        <f ca="1">IF(D$27&lt;&gt;"",-D129+D37+D27-D61-VLOOKUP(D37*1000000,'Powell-Elevation-Area'!$B$5:$D$689,3)*$B$21/1000000,"")</f>
        <v>8.3556252311669503</v>
      </c>
      <c r="E134" s="14">
        <f ca="1">IF(E$27&lt;&gt;"",-E129+E37+E27-E61-VLOOKUP(E37*1000000,'Powell-Elevation-Area'!$B$5:$D$689,3)*$B$21/1000000,"")</f>
        <v>8.1528756274163676</v>
      </c>
      <c r="F134" s="14">
        <f ca="1">IF(F$27&lt;&gt;"",-F129+F37+F27-F61-VLOOKUP(F37*1000000,'Powell-Elevation-Area'!$B$5:$D$689,3)*$B$21/1000000,"")</f>
        <v>8.1545819846663807</v>
      </c>
      <c r="G134" s="14">
        <f ca="1">IF(G$27&lt;&gt;"",-G129+G37+G27-G61-VLOOKUP(G37*1000000,'Powell-Elevation-Area'!$B$5:$D$689,3)*$B$21/1000000,"")</f>
        <v>8.1555465821663784</v>
      </c>
      <c r="H134" s="14">
        <f ca="1">IF(H$27&lt;&gt;"",-H129+H37+H27-H61-VLOOKUP(H37*1000000,'Powell-Elevation-Area'!$B$5:$D$689,3)*$B$21/1000000,"")</f>
        <v>8.1571607003663651</v>
      </c>
      <c r="I134" s="14">
        <f ca="1">IF(I$27&lt;&gt;"",-I129+I37+I27-I61-VLOOKUP(I37*1000000,'Powell-Elevation-Area'!$B$5:$D$689,3)*$B$21/1000000,"")</f>
        <v>9.0915357941166537</v>
      </c>
      <c r="J134" s="14">
        <f ca="1">IF(J$27&lt;&gt;"",-J129+J37+J27-J61-VLOOKUP(J37*1000000,'Powell-Elevation-Area'!$B$5:$D$689,3)*$B$21/1000000,"")</f>
        <v>9.1558481016669528</v>
      </c>
      <c r="K134" s="14">
        <f ca="1">IF(K$27&lt;&gt;"",-K129+K37+K27-K61-VLOOKUP(K37*1000000,'Powell-Elevation-Area'!$B$5:$D$689,3)*$B$21/1000000,"")</f>
        <v>9.1541297054160804</v>
      </c>
      <c r="L134" s="14">
        <f ca="1">IF(L$27&lt;&gt;"",-L129+L37+L27-L61-VLOOKUP(L37*1000000,'Powell-Elevation-Area'!$B$5:$D$689,3)*$B$21/1000000,"")</f>
        <v>9.1515923091663662</v>
      </c>
      <c r="N134" t="s">
        <v>204</v>
      </c>
    </row>
    <row r="135" spans="1:14" x14ac:dyDescent="0.35">
      <c r="A135" s="32" t="s">
        <v>321</v>
      </c>
      <c r="B135" s="1"/>
      <c r="C135" s="141" t="str">
        <f ca="1">IF(C$27&lt;&gt;"",VLOOKUP(C131,PowellReleaseTemperature!$A$5:$B$11,2),"")</f>
        <v>&lt; 18</v>
      </c>
      <c r="D135" s="141" t="str">
        <f ca="1">IF(D$27&lt;&gt;"",VLOOKUP(D131,PowellReleaseTemperature!$A$5:$B$11,2),"")</f>
        <v>&lt; 18</v>
      </c>
      <c r="E135" s="141" t="str">
        <f ca="1">IF(E$27&lt;&gt;"",VLOOKUP(E131,PowellReleaseTemperature!$A$5:$B$11,2),"")</f>
        <v>&lt; 18</v>
      </c>
      <c r="F135" s="141" t="str">
        <f ca="1">IF(F$27&lt;&gt;"",VLOOKUP(F131,PowellReleaseTemperature!$A$5:$B$11,2),"")</f>
        <v>&lt; 18</v>
      </c>
      <c r="G135" s="141" t="str">
        <f ca="1">IF(G$27&lt;&gt;"",VLOOKUP(G131,PowellReleaseTemperature!$A$5:$B$11,2),"")</f>
        <v>&lt; 18</v>
      </c>
      <c r="H135" s="141" t="str">
        <f ca="1">IF(H$27&lt;&gt;"",VLOOKUP(H131,PowellReleaseTemperature!$A$5:$B$11,2),"")</f>
        <v>&lt; 18</v>
      </c>
      <c r="I135" s="141" t="str">
        <f ca="1">IF(I$27&lt;&gt;"",VLOOKUP(I131,PowellReleaseTemperature!$A$5:$B$11,2),"")</f>
        <v>&lt; 18</v>
      </c>
      <c r="J135" s="141" t="str">
        <f ca="1">IF(J$27&lt;&gt;"",VLOOKUP(J131,PowellReleaseTemperature!$A$5:$B$11,2),"")</f>
        <v>&lt; 18</v>
      </c>
      <c r="K135" s="141" t="str">
        <f ca="1">IF(K$27&lt;&gt;"",VLOOKUP(K131,PowellReleaseTemperature!$A$5:$B$11,2),"")</f>
        <v>&lt; 18</v>
      </c>
      <c r="L135" s="141" t="str">
        <f ca="1">IF(L$27&lt;&gt;"",VLOOKUP(L131,PowellReleaseTemperature!$A$5:$B$11,2),"")</f>
        <v>&lt; 18</v>
      </c>
      <c r="N135" t="s">
        <v>326</v>
      </c>
    </row>
    <row r="136" spans="1:14" x14ac:dyDescent="0.35">
      <c r="A136" s="32"/>
      <c r="B136" s="1"/>
      <c r="C136" s="141"/>
    </row>
    <row r="137" spans="1:14" x14ac:dyDescent="0.35">
      <c r="A137" s="1" t="s">
        <v>125</v>
      </c>
      <c r="C137" s="12">
        <f>IF(C$27&lt;&gt;"",0.2,"")</f>
        <v>0.2</v>
      </c>
      <c r="D137" s="12">
        <f t="shared" ref="D137:L137" si="62">IF(D$27&lt;&gt;"",0.2,"")</f>
        <v>0.2</v>
      </c>
      <c r="E137" s="12">
        <f t="shared" si="62"/>
        <v>0.2</v>
      </c>
      <c r="F137" s="12">
        <f t="shared" si="62"/>
        <v>0.2</v>
      </c>
      <c r="G137" s="12">
        <f t="shared" si="62"/>
        <v>0.2</v>
      </c>
      <c r="H137" s="12">
        <f t="shared" si="62"/>
        <v>0.2</v>
      </c>
      <c r="I137" s="12">
        <f t="shared" si="62"/>
        <v>0.2</v>
      </c>
      <c r="J137" s="12">
        <f t="shared" si="62"/>
        <v>0.2</v>
      </c>
      <c r="K137" s="12">
        <f t="shared" si="62"/>
        <v>0.2</v>
      </c>
      <c r="L137" s="12">
        <f t="shared" si="62"/>
        <v>0.2</v>
      </c>
    </row>
    <row r="138" spans="1:14" x14ac:dyDescent="0.35">
      <c r="A138" t="s">
        <v>126</v>
      </c>
      <c r="C138" s="14">
        <f t="shared" ref="C138:L138" ca="1" si="63">IF(C$27&lt;&gt;"",C115+C137,"")</f>
        <v>7.4590000000000005</v>
      </c>
      <c r="D138" s="14">
        <f t="shared" ca="1" si="63"/>
        <v>7.4590000000000005</v>
      </c>
      <c r="E138" s="14">
        <f t="shared" ca="1" si="63"/>
        <v>7.0870000000000006</v>
      </c>
      <c r="F138" s="14">
        <f t="shared" ca="1" si="63"/>
        <v>7.0870000000000006</v>
      </c>
      <c r="G138" s="14">
        <f t="shared" ca="1" si="63"/>
        <v>7.0870000000000006</v>
      </c>
      <c r="H138" s="14">
        <f t="shared" ca="1" si="63"/>
        <v>7.0870000000000006</v>
      </c>
      <c r="I138" s="14">
        <f t="shared" ca="1" si="63"/>
        <v>6.9790000000000001</v>
      </c>
      <c r="J138" s="14">
        <f t="shared" ca="1" si="63"/>
        <v>7.0870000000000006</v>
      </c>
      <c r="K138" s="14">
        <f t="shared" ca="1" si="63"/>
        <v>7.0870000000000006</v>
      </c>
      <c r="L138" s="14">
        <f t="shared" ca="1" si="63"/>
        <v>7.0870000000000006</v>
      </c>
    </row>
    <row r="140" spans="1:14" x14ac:dyDescent="0.35">
      <c r="D140" s="18"/>
    </row>
  </sheetData>
  <mergeCells count="9">
    <mergeCell ref="C9:G9"/>
    <mergeCell ref="C10:G10"/>
    <mergeCell ref="C11:G11"/>
    <mergeCell ref="A3:G3"/>
    <mergeCell ref="C4:G4"/>
    <mergeCell ref="C5:G5"/>
    <mergeCell ref="C6:G6"/>
    <mergeCell ref="C7:G7"/>
    <mergeCell ref="C8:G8"/>
  </mergeCells>
  <conditionalFormatting sqref="C61:L61">
    <cfRule type="cellIs" dxfId="126" priority="58" operator="greaterThan">
      <formula>$C$60</formula>
    </cfRule>
  </conditionalFormatting>
  <conditionalFormatting sqref="C69:L69">
    <cfRule type="cellIs" dxfId="125" priority="47" operator="greaterThan">
      <formula>$C$68</formula>
    </cfRule>
  </conditionalFormatting>
  <conditionalFormatting sqref="C77:L77">
    <cfRule type="cellIs" dxfId="124" priority="41" operator="greaterThan">
      <formula>$C$76</formula>
    </cfRule>
  </conditionalFormatting>
  <conditionalFormatting sqref="C85">
    <cfRule type="cellIs" dxfId="123" priority="35" operator="greaterThan">
      <formula>$C$84</formula>
    </cfRule>
  </conditionalFormatting>
  <conditionalFormatting sqref="D85">
    <cfRule type="cellIs" dxfId="122" priority="34" operator="greaterThan">
      <formula>$D$84</formula>
    </cfRule>
  </conditionalFormatting>
  <conditionalFormatting sqref="E85">
    <cfRule type="cellIs" dxfId="121" priority="33" operator="greaterThan">
      <formula>$E$84</formula>
    </cfRule>
  </conditionalFormatting>
  <conditionalFormatting sqref="F85">
    <cfRule type="cellIs" dxfId="120" priority="32" operator="greaterThan">
      <formula>$F$84</formula>
    </cfRule>
  </conditionalFormatting>
  <conditionalFormatting sqref="G85:L85">
    <cfRule type="cellIs" dxfId="119" priority="31" operator="greaterThan">
      <formula>$G$84</formula>
    </cfRule>
  </conditionalFormatting>
  <conditionalFormatting sqref="C93">
    <cfRule type="cellIs" dxfId="118" priority="25" operator="greaterThan">
      <formula>$C$92</formula>
    </cfRule>
  </conditionalFormatting>
  <conditionalFormatting sqref="D93">
    <cfRule type="cellIs" dxfId="117" priority="24" operator="greaterThan">
      <formula>$D$92</formula>
    </cfRule>
  </conditionalFormatting>
  <conditionalFormatting sqref="E93">
    <cfRule type="cellIs" dxfId="116" priority="23" operator="greaterThan">
      <formula>$E$92</formula>
    </cfRule>
  </conditionalFormatting>
  <conditionalFormatting sqref="F93">
    <cfRule type="cellIs" dxfId="115" priority="22" operator="greaterThan">
      <formula>$F$92</formula>
    </cfRule>
  </conditionalFormatting>
  <conditionalFormatting sqref="G93">
    <cfRule type="cellIs" dxfId="114" priority="21" operator="greaterThan">
      <formula>$G$92</formula>
    </cfRule>
  </conditionalFormatting>
  <conditionalFormatting sqref="H93">
    <cfRule type="cellIs" dxfId="113" priority="20" operator="greaterThan">
      <formula>$H$92</formula>
    </cfRule>
  </conditionalFormatting>
  <conditionalFormatting sqref="I93">
    <cfRule type="cellIs" dxfId="112" priority="19" operator="greaterThan">
      <formula>$I$92</formula>
    </cfRule>
  </conditionalFormatting>
  <conditionalFormatting sqref="J93">
    <cfRule type="cellIs" dxfId="111" priority="18" operator="greaterThan">
      <formula>$J$92</formula>
    </cfRule>
  </conditionalFormatting>
  <conditionalFormatting sqref="K93">
    <cfRule type="cellIs" dxfId="110" priority="17" operator="greaterThan">
      <formula>$K$92</formula>
    </cfRule>
  </conditionalFormatting>
  <conditionalFormatting sqref="L93">
    <cfRule type="cellIs" dxfId="109" priority="16" operator="greaterThan">
      <formula>$L$92</formula>
    </cfRule>
  </conditionalFormatting>
  <conditionalFormatting sqref="C101">
    <cfRule type="cellIs" dxfId="108" priority="15" operator="greaterThan">
      <formula>$C$100</formula>
    </cfRule>
  </conditionalFormatting>
  <conditionalFormatting sqref="D101">
    <cfRule type="cellIs" dxfId="107" priority="14" operator="greaterThan">
      <formula>$D$100</formula>
    </cfRule>
  </conditionalFormatting>
  <conditionalFormatting sqref="E101">
    <cfRule type="cellIs" dxfId="106" priority="13" operator="greaterThan">
      <formula>$E$100</formula>
    </cfRule>
  </conditionalFormatting>
  <conditionalFormatting sqref="F101">
    <cfRule type="cellIs" dxfId="105" priority="12" operator="greaterThan">
      <formula>$F$100</formula>
    </cfRule>
  </conditionalFormatting>
  <conditionalFormatting sqref="G101">
    <cfRule type="cellIs" dxfId="104" priority="11" operator="greaterThan">
      <formula>$G$100</formula>
    </cfRule>
  </conditionalFormatting>
  <conditionalFormatting sqref="H101">
    <cfRule type="cellIs" dxfId="103" priority="10" operator="greaterThan">
      <formula>$H$100</formula>
    </cfRule>
  </conditionalFormatting>
  <conditionalFormatting sqref="I101">
    <cfRule type="cellIs" dxfId="102" priority="9" operator="greaterThan">
      <formula>$I$100</formula>
    </cfRule>
  </conditionalFormatting>
  <conditionalFormatting sqref="J101">
    <cfRule type="cellIs" dxfId="101" priority="8" operator="greaterThan">
      <formula>$J$100</formula>
    </cfRule>
  </conditionalFormatting>
  <conditionalFormatting sqref="K101">
    <cfRule type="cellIs" dxfId="100" priority="7" operator="greaterThan">
      <formula>$K$100</formula>
    </cfRule>
  </conditionalFormatting>
  <conditionalFormatting sqref="L101">
    <cfRule type="cellIs" dxfId="99" priority="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7" id="{13398D08-0450-4098-8FB8-7A69C4B5F6B4}">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 xmlns:xm="http://schemas.microsoft.com/office/excel/2006/main">
          <x14:cfRule type="cellIs" priority="1" operator="equal" id="{C5109834-FD4B-4350-B02F-0A56865A75D4}">
            <xm:f>PowellReleaseTemperature!$B$7</xm:f>
            <x14:dxf>
              <font>
                <color auto="1"/>
              </font>
              <fill>
                <patternFill>
                  <bgColor rgb="FFFF0000"/>
                </patternFill>
              </fill>
            </x14:dxf>
          </x14:cfRule>
          <x14:cfRule type="cellIs" priority="2" operator="equal" id="{D640E566-6641-4C9C-808B-98F32C90BDED}">
            <xm:f>PowellReleaseTemperature!$B$8</xm:f>
            <x14:dxf>
              <font>
                <color rgb="FF9C0006"/>
              </font>
              <fill>
                <patternFill>
                  <bgColor rgb="FFFFC7CE"/>
                </patternFill>
              </fill>
            </x14:dxf>
          </x14:cfRule>
          <x14:cfRule type="cellIs" priority="3" operator="equal" id="{603CDA8C-420E-4E79-BBA3-AD36A65C85A1}">
            <xm:f>PowellReleaseTemperature!$B$9</xm:f>
            <x14:dxf>
              <font>
                <color auto="1"/>
              </font>
              <fill>
                <patternFill>
                  <bgColor theme="4" tint="0.39994506668294322"/>
                </patternFill>
              </fill>
            </x14:dxf>
          </x14:cfRule>
          <x14:cfRule type="cellIs" priority="4" operator="equal" id="{C7412537-C1EF-4F92-8EBB-5560AF47E19A}">
            <xm:f>PowellReleaseTemperature!$B$10</xm:f>
            <x14:dxf>
              <font>
                <color auto="1"/>
              </font>
              <fill>
                <patternFill>
                  <bgColor theme="8" tint="-0.499984740745262"/>
                </patternFill>
              </fill>
            </x14:dxf>
          </x14:cfRule>
          <xm:sqref>C135:C136 D135:L135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0BDC-D766-412C-8E1F-D6BEEEFF488D}">
  <dimension ref="A1:N140"/>
  <sheetViews>
    <sheetView topLeftCell="B114" zoomScale="150" zoomScaleNormal="150" workbookViewId="0">
      <selection activeCell="N134" sqref="N134:N135"/>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32" t="s">
        <v>152</v>
      </c>
      <c r="B3" s="132"/>
      <c r="C3" s="132"/>
      <c r="D3" s="132"/>
      <c r="E3" s="132"/>
      <c r="F3" s="132"/>
      <c r="G3" s="132"/>
      <c r="H3" s="90"/>
      <c r="I3" s="90"/>
      <c r="J3" s="90"/>
      <c r="K3" s="90"/>
    </row>
    <row r="4" spans="1:11" x14ac:dyDescent="0.35">
      <c r="A4" s="59" t="s">
        <v>38</v>
      </c>
      <c r="B4" s="59" t="s">
        <v>42</v>
      </c>
      <c r="C4" s="133" t="s">
        <v>43</v>
      </c>
      <c r="D4" s="134"/>
      <c r="E4" s="134"/>
      <c r="F4" s="134"/>
      <c r="G4" s="135"/>
    </row>
    <row r="5" spans="1:11" x14ac:dyDescent="0.35">
      <c r="A5" s="91" t="s">
        <v>51</v>
      </c>
      <c r="B5" s="91"/>
      <c r="C5" s="136"/>
      <c r="D5" s="136"/>
      <c r="E5" s="136"/>
      <c r="F5" s="136"/>
      <c r="G5" s="136"/>
    </row>
    <row r="6" spans="1:11" x14ac:dyDescent="0.35">
      <c r="A6" s="89" t="s">
        <v>39</v>
      </c>
      <c r="B6" s="89" t="s">
        <v>156</v>
      </c>
      <c r="C6" s="130" t="s">
        <v>229</v>
      </c>
      <c r="D6" s="130"/>
      <c r="E6" s="130"/>
      <c r="F6" s="130"/>
      <c r="G6" s="130"/>
    </row>
    <row r="7" spans="1:11" x14ac:dyDescent="0.35">
      <c r="A7" s="89" t="s">
        <v>40</v>
      </c>
      <c r="B7" s="89" t="s">
        <v>156</v>
      </c>
      <c r="C7" s="130" t="s">
        <v>230</v>
      </c>
      <c r="D7" s="130"/>
      <c r="E7" s="130"/>
      <c r="F7" s="130"/>
      <c r="G7" s="130"/>
    </row>
    <row r="8" spans="1:11" x14ac:dyDescent="0.35">
      <c r="A8" s="89" t="s">
        <v>41</v>
      </c>
      <c r="B8" s="89" t="s">
        <v>156</v>
      </c>
      <c r="C8" s="130" t="s">
        <v>153</v>
      </c>
      <c r="D8" s="130"/>
      <c r="E8" s="130"/>
      <c r="F8" s="130"/>
      <c r="G8" s="130"/>
    </row>
    <row r="9" spans="1:11" x14ac:dyDescent="0.35">
      <c r="A9" s="89" t="s">
        <v>148</v>
      </c>
      <c r="B9" s="89" t="s">
        <v>156</v>
      </c>
      <c r="C9" s="130" t="s">
        <v>154</v>
      </c>
      <c r="D9" s="130"/>
      <c r="E9" s="130"/>
      <c r="F9" s="130"/>
      <c r="G9" s="130"/>
    </row>
    <row r="10" spans="1:11" x14ac:dyDescent="0.35">
      <c r="A10" s="89" t="s">
        <v>160</v>
      </c>
      <c r="B10" s="89" t="s">
        <v>156</v>
      </c>
      <c r="C10" s="131" t="s">
        <v>187</v>
      </c>
      <c r="D10" s="131"/>
      <c r="E10" s="131"/>
      <c r="F10" s="131"/>
      <c r="G10" s="131"/>
    </row>
    <row r="11" spans="1:11" x14ac:dyDescent="0.35">
      <c r="A11" s="89"/>
      <c r="B11" s="89"/>
      <c r="C11" s="131"/>
      <c r="D11" s="131"/>
      <c r="E11" s="131"/>
      <c r="F11" s="131"/>
      <c r="G11" s="131"/>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128" t="s">
        <v>228</v>
      </c>
      <c r="E18" s="129"/>
      <c r="F18" s="129"/>
      <c r="G18" s="129"/>
      <c r="H18" s="129"/>
      <c r="I18" s="129"/>
      <c r="J18" s="129"/>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3.1462888923762851</v>
      </c>
      <c r="K30" s="14">
        <f t="shared" ca="1" si="5"/>
        <v>4.1664151356452086</v>
      </c>
      <c r="L30" s="14">
        <f t="shared" ca="1" si="5"/>
        <v>5.1470726802877307</v>
      </c>
      <c r="N30" t="s">
        <v>180</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1.8176652403314169</v>
      </c>
      <c r="K31" s="14">
        <f t="shared" ca="1" si="7"/>
        <v>2.0214741755526227</v>
      </c>
      <c r="L31" s="14">
        <f t="shared" ca="1" si="7"/>
        <v>2.2260553979065509</v>
      </c>
      <c r="N31" t="s">
        <v>177</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176</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179</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205</v>
      </c>
      <c r="C36"/>
    </row>
    <row r="37" spans="1:14" x14ac:dyDescent="0.35">
      <c r="A37" t="s">
        <v>113</v>
      </c>
      <c r="C37" s="14">
        <f>IF(C$27&lt;&gt;"",B22,"")</f>
        <v>11</v>
      </c>
      <c r="D37" s="14">
        <f ca="1">IF(D$27&lt;&gt;"",C129,"")</f>
        <v>9.8858844933333465</v>
      </c>
      <c r="E37" s="14">
        <f t="shared" ref="E37:L38" ca="1" si="8">IF(E$27&lt;&gt;"",D129,"")</f>
        <v>9.2421623911669677</v>
      </c>
      <c r="F37" s="14">
        <f t="shared" ca="1" si="8"/>
        <v>8.8220026852506006</v>
      </c>
      <c r="G37" s="14">
        <f t="shared" ca="1" si="8"/>
        <v>8.415399336583647</v>
      </c>
      <c r="H37" s="14">
        <f t="shared" ca="1" si="8"/>
        <v>8.0217065854166965</v>
      </c>
      <c r="I37" s="14">
        <f t="shared" ca="1" si="8"/>
        <v>7.6404879524503304</v>
      </c>
      <c r="J37" s="14">
        <f t="shared" ca="1" si="8"/>
        <v>8.337464413234251</v>
      </c>
      <c r="K37" s="14">
        <f t="shared" ca="1" si="8"/>
        <v>8.9462451815678712</v>
      </c>
      <c r="L37" s="14">
        <f t="shared" ca="1" si="8"/>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8"/>
        <v>8.0217065854166965</v>
      </c>
      <c r="I38" s="14">
        <f t="shared" ca="1" si="8"/>
        <v>7.6404879524503304</v>
      </c>
      <c r="J38" s="14">
        <f t="shared" ca="1" si="8"/>
        <v>8.337464413234251</v>
      </c>
      <c r="K38" s="14">
        <f t="shared" ca="1" si="8"/>
        <v>8.9462451815678712</v>
      </c>
      <c r="L38" s="14">
        <f t="shared" ca="1" si="8"/>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9">IF(A6="","","    "&amp;A6&amp;" Share")</f>
        <v xml:space="preserve">    Upper Basin Share</v>
      </c>
      <c r="B40" s="1"/>
      <c r="C40" s="14">
        <f>IF(OR(C$27="",$A40=""),"",C$39*C30/C$29)</f>
        <v>0.24571184643515467</v>
      </c>
      <c r="D40" s="14">
        <f t="shared" ref="D40:L40" ca="1" si="10">IF(OR(D$27="",$A40=""),"",D$39*D30/D$29)</f>
        <v>0.22445720457529178</v>
      </c>
      <c r="E40" s="14">
        <f t="shared" ca="1" si="10"/>
        <v>0.20386305661860499</v>
      </c>
      <c r="F40" s="14">
        <f t="shared" ca="1" si="10"/>
        <v>0.18120897180962323</v>
      </c>
      <c r="G40" s="14">
        <f t="shared" ca="1" si="10"/>
        <v>0.15881556131446883</v>
      </c>
      <c r="H40" s="14">
        <f t="shared" ca="1" si="10"/>
        <v>0.13653972504683096</v>
      </c>
      <c r="I40" s="14">
        <f t="shared" ca="1" si="10"/>
        <v>0.11428608154311276</v>
      </c>
      <c r="J40" s="14">
        <f t="shared" ca="1" si="10"/>
        <v>0.16738236462256181</v>
      </c>
      <c r="K40" s="14">
        <f t="shared" ca="1" si="10"/>
        <v>0.21546238256286968</v>
      </c>
      <c r="L40" s="14">
        <f t="shared" ca="1" si="10"/>
        <v>0.25958054687153143</v>
      </c>
    </row>
    <row r="41" spans="1:14" x14ac:dyDescent="0.35">
      <c r="A41" t="str">
        <f t="shared" si="9"/>
        <v xml:space="preserve">    Lower Basin Share</v>
      </c>
      <c r="B41" s="1"/>
      <c r="C41" s="14">
        <f t="shared" ref="C41:L45" si="11">IF(OR(C$27="",$A41=""),"",C$39*C31/C$29)</f>
        <v>0.20638492544244763</v>
      </c>
      <c r="D41" s="14">
        <f t="shared" ca="1" si="11"/>
        <v>0.17326289275518164</v>
      </c>
      <c r="E41" s="14">
        <f t="shared" ca="1" si="11"/>
        <v>0.14049552646009136</v>
      </c>
      <c r="F41" s="14">
        <f t="shared" ca="1" si="11"/>
        <v>0.12590311345567917</v>
      </c>
      <c r="G41" s="14">
        <f t="shared" ca="1" si="11"/>
        <v>0.11138893372212583</v>
      </c>
      <c r="H41" s="14">
        <f t="shared" ca="1" si="11"/>
        <v>9.6847595928724495E-2</v>
      </c>
      <c r="I41" s="14">
        <f t="shared" ca="1" si="11"/>
        <v>8.2206361623691313E-2</v>
      </c>
      <c r="J41" s="14">
        <f t="shared" ca="1" si="11"/>
        <v>9.6699672670275252E-2</v>
      </c>
      <c r="K41" s="14">
        <f t="shared" ca="1" si="11"/>
        <v>0.10453870485146255</v>
      </c>
      <c r="L41" s="14">
        <f t="shared" ca="1" si="11"/>
        <v>0.11226588654322336</v>
      </c>
    </row>
    <row r="42" spans="1:14" x14ac:dyDescent="0.35">
      <c r="A42" t="str">
        <f t="shared" si="9"/>
        <v xml:space="preserve">    Mexico Share</v>
      </c>
      <c r="B42" s="1"/>
      <c r="C42" s="14">
        <f t="shared" si="11"/>
        <v>8.4270235222746598E-3</v>
      </c>
      <c r="D42" s="14">
        <f t="shared" ca="1" si="11"/>
        <v>8.2160300009359519E-3</v>
      </c>
      <c r="E42" s="14">
        <f t="shared" ca="1" si="11"/>
        <v>8.0446608424592555E-3</v>
      </c>
      <c r="F42" s="14">
        <f t="shared" ca="1" si="11"/>
        <v>7.7674976301542412E-3</v>
      </c>
      <c r="G42" s="14">
        <f t="shared" ca="1" si="11"/>
        <v>7.5020406102980219E-3</v>
      </c>
      <c r="H42" s="14">
        <f t="shared" ca="1" si="11"/>
        <v>7.2446549972895492E-3</v>
      </c>
      <c r="I42" s="14">
        <f t="shared" ca="1" si="11"/>
        <v>6.9926486357881823E-3</v>
      </c>
      <c r="J42" s="14">
        <f t="shared" ca="1" si="11"/>
        <v>6.3736418228881805E-3</v>
      </c>
      <c r="K42" s="14">
        <f t="shared" ca="1" si="11"/>
        <v>5.8660228297575008E-3</v>
      </c>
      <c r="L42" s="14">
        <f t="shared" ca="1" si="11"/>
        <v>5.4248279556052643E-3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0.57517474366801757</v>
      </c>
      <c r="E44" s="14">
        <f t="shared" ca="1" si="11"/>
        <v>0.59258283457824423</v>
      </c>
      <c r="F44" s="14">
        <f t="shared" ca="1" si="11"/>
        <v>0.60299378110511648</v>
      </c>
      <c r="G44" s="14">
        <f t="shared" ca="1" si="11"/>
        <v>0.61434563335368053</v>
      </c>
      <c r="H44" s="14">
        <f t="shared" ca="1" si="11"/>
        <v>0.62647195662655497</v>
      </c>
      <c r="I44" s="14">
        <f t="shared" ca="1" si="11"/>
        <v>0.63922865329623468</v>
      </c>
      <c r="J44" s="14">
        <f t="shared" ca="1" si="11"/>
        <v>0.61664945088370171</v>
      </c>
      <c r="K44" s="14">
        <f t="shared" ca="1" si="11"/>
        <v>0.59942681225588323</v>
      </c>
      <c r="L44" s="14">
        <f t="shared" ca="1" si="11"/>
        <v>0.58457345362904012</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272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189</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147</v>
      </c>
      <c r="C48" s="14">
        <f>IF(OR(C$27="",$A48=""),"",IF(C$47&gt;SUM(C49:C53),C$47-SUM(C49:C53),0))</f>
        <v>3.8956463910332868</v>
      </c>
      <c r="D48" s="14">
        <f t="shared" ref="D48:L48" ca="1" si="13">IF(OR(D$27="",$A48=""),"",IF(D$47&gt;SUM(D49:D53),D$47-SUM(D49:D53),0))</f>
        <v>3.8887459614993247</v>
      </c>
      <c r="E48" s="14">
        <f t="shared" ca="1" si="13"/>
        <v>3.8995419160442122</v>
      </c>
      <c r="F48" s="14">
        <f t="shared" ca="1" si="13"/>
        <v>3.8943364427807765</v>
      </c>
      <c r="G48" s="14">
        <f t="shared" ca="1" si="13"/>
        <v>3.8886605166564951</v>
      </c>
      <c r="H48" s="14">
        <f t="shared" ca="1" si="13"/>
        <v>3.8825973550200583</v>
      </c>
      <c r="I48" s="14">
        <f t="shared" ca="1" si="13"/>
        <v>5.8882190066852171</v>
      </c>
      <c r="J48" s="14">
        <f t="shared" ca="1" si="13"/>
        <v>5.8875086078914851</v>
      </c>
      <c r="K48" s="14">
        <f t="shared" ca="1" si="13"/>
        <v>5.8961199272053921</v>
      </c>
      <c r="L48" s="14">
        <f t="shared" ca="1" si="13"/>
        <v>5.9035466065188142</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6.6943364427807754</v>
      </c>
      <c r="G49" s="14">
        <f t="shared" ca="1" si="15"/>
        <v>6.6886605166564932</v>
      </c>
      <c r="H49" s="14">
        <f ca="1">IF(OR(H$27="",$A49=""),"",H28-H52/2-H51-H50/2+MIN($B49,H27-H50/2-H52/2))</f>
        <v>6.6825973550200555</v>
      </c>
      <c r="I49" s="14">
        <f t="shared" ref="I49:L49" ca="1" si="16">IF(OR(I$27="",$A49=""),"",I28-I52/2-I51-I50/2+MIN($B49,I27-I50/2-I52/2))</f>
        <v>6.6882190066852161</v>
      </c>
      <c r="J49" s="14">
        <f t="shared" ca="1" si="16"/>
        <v>6.6875086078914823</v>
      </c>
      <c r="K49" s="14">
        <f t="shared" ca="1" si="16"/>
        <v>6.696119927205392</v>
      </c>
      <c r="L49" s="14">
        <f t="shared" ca="1" si="16"/>
        <v>6.7035466065188132</v>
      </c>
      <c r="M49" s="29"/>
      <c r="N49" s="29"/>
    </row>
    <row r="50" spans="1:14" x14ac:dyDescent="0.35">
      <c r="A50" t="str">
        <f t="shared" si="14"/>
        <v xml:space="preserve">    To Mexico</v>
      </c>
      <c r="B50" s="44" t="s">
        <v>191</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190</v>
      </c>
      <c r="C52" s="14">
        <f>IF(OR(C$27="",$A52=""),"",IF(C$47&gt;C44,C44,C$47))</f>
        <v>0.56137388460009618</v>
      </c>
      <c r="D52" s="14">
        <f t="shared" ref="D52:L52" ca="1" si="19">IF(OR(D$27="",$A52=""),"",IF(D$47&gt;D44,D44,D$47))</f>
        <v>0.57517474366801757</v>
      </c>
      <c r="E52" s="14">
        <f t="shared" ca="1" si="19"/>
        <v>0.59258283457824423</v>
      </c>
      <c r="F52" s="14">
        <f t="shared" ca="1" si="19"/>
        <v>0.60299378110511648</v>
      </c>
      <c r="G52" s="14">
        <f t="shared" ca="1" si="19"/>
        <v>0.61434563335368053</v>
      </c>
      <c r="H52" s="14">
        <f t="shared" ca="1" si="19"/>
        <v>0.62647195662655497</v>
      </c>
      <c r="I52" s="14">
        <f t="shared" ca="1" si="19"/>
        <v>0.63922865329623468</v>
      </c>
      <c r="J52" s="14">
        <f t="shared" ca="1" si="19"/>
        <v>0.61664945088370171</v>
      </c>
      <c r="K52" s="14">
        <f t="shared" ca="1" si="19"/>
        <v>0.59942681225588323</v>
      </c>
      <c r="L52" s="14">
        <f t="shared" ca="1" si="19"/>
        <v>0.58457345362904012</v>
      </c>
      <c r="M52" s="29"/>
      <c r="N52" s="29"/>
    </row>
    <row r="53" spans="1:14" x14ac:dyDescent="0.35">
      <c r="A53" t="str">
        <f t="shared" si="14"/>
        <v/>
      </c>
      <c r="B53" s="44"/>
      <c r="C53" s="57" t="str">
        <f t="shared" ref="C53:L53" si="20">IF(OR(C$27="",$A53=""),"",IF(C$27&gt;$B53,$B53,C$27))</f>
        <v/>
      </c>
      <c r="D53" s="57" t="str">
        <f t="shared" si="20"/>
        <v/>
      </c>
      <c r="E53" s="57" t="str">
        <f t="shared" si="20"/>
        <v/>
      </c>
      <c r="F53" s="57" t="str">
        <f t="shared" si="20"/>
        <v/>
      </c>
      <c r="G53" s="57" t="str">
        <f t="shared" si="20"/>
        <v/>
      </c>
      <c r="H53" s="57" t="str">
        <f t="shared" si="20"/>
        <v/>
      </c>
      <c r="I53" s="57" t="str">
        <f t="shared" si="20"/>
        <v/>
      </c>
      <c r="J53" s="57" t="str">
        <f t="shared" si="20"/>
        <v/>
      </c>
      <c r="K53" s="57" t="str">
        <f t="shared" si="20"/>
        <v/>
      </c>
      <c r="L53" s="57" t="str">
        <f t="shared" si="20"/>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v>0.5</v>
      </c>
      <c r="J57" s="25">
        <f>I57</f>
        <v>0.5</v>
      </c>
      <c r="K57" s="25">
        <f t="shared" ref="K57:L57" si="21">J57</f>
        <v>0.5</v>
      </c>
      <c r="L57" s="25">
        <f t="shared" si="21"/>
        <v>0.5</v>
      </c>
      <c r="M57" s="78">
        <f>SUM(C57:L57)</f>
        <v>2</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f>350*I57</f>
        <v>175</v>
      </c>
      <c r="J58" s="76">
        <f t="shared" ref="J58:L58" si="22">350*J57</f>
        <v>175</v>
      </c>
      <c r="K58" s="76">
        <f t="shared" si="22"/>
        <v>175</v>
      </c>
      <c r="L58" s="76">
        <f t="shared" si="22"/>
        <v>175</v>
      </c>
      <c r="M58" s="7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3">IF(OR(C$27="",$A59=""),"",C$112)</f>
        <v>0</v>
      </c>
      <c r="D59" s="78">
        <f t="shared" ca="1" si="23"/>
        <v>0</v>
      </c>
      <c r="E59" s="78">
        <f t="shared" ca="1" si="23"/>
        <v>0</v>
      </c>
      <c r="F59" s="78">
        <f t="shared" ca="1" si="23"/>
        <v>0</v>
      </c>
      <c r="G59" s="78">
        <f t="shared" ca="1" si="23"/>
        <v>0</v>
      </c>
      <c r="H59" s="78">
        <f t="shared" ca="1" si="23"/>
        <v>0</v>
      </c>
      <c r="I59" s="78">
        <f t="shared" ca="1" si="23"/>
        <v>0</v>
      </c>
      <c r="J59" s="78">
        <f t="shared" ca="1" si="23"/>
        <v>0</v>
      </c>
      <c r="K59" s="78">
        <f t="shared" ca="1" si="23"/>
        <v>0</v>
      </c>
      <c r="L59" s="78">
        <f t="shared" ca="1" si="23"/>
        <v>0</v>
      </c>
      <c r="M59" t="str">
        <f t="shared" si="23"/>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4">IF(OR(D$27="",$A60=""),"",D30+D48-D40-D57)</f>
        <v>8.1876470515221662</v>
      </c>
      <c r="E60" s="14">
        <f t="shared" ca="1" si="24"/>
        <v>7.6833259109477732</v>
      </c>
      <c r="F60" s="14">
        <f t="shared" ca="1" si="24"/>
        <v>7.1964533819189267</v>
      </c>
      <c r="G60" s="14">
        <f t="shared" ca="1" si="24"/>
        <v>6.7262983372609533</v>
      </c>
      <c r="H60" s="14">
        <f t="shared" ca="1" si="24"/>
        <v>6.2723559672341809</v>
      </c>
      <c r="I60" s="14">
        <f t="shared" ca="1" si="24"/>
        <v>7.3462888923762852</v>
      </c>
      <c r="J60" s="14">
        <f t="shared" ca="1" si="24"/>
        <v>8.3664151356452088</v>
      </c>
      <c r="K60" s="14">
        <f t="shared" ca="1" si="24"/>
        <v>9.3470726802877309</v>
      </c>
      <c r="L60" s="14">
        <f t="shared" ca="1" si="24"/>
        <v>10.291038739935013</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5">IF(D60&gt;4.2,4.2,MAX(D60,0))</f>
        <v>4.2</v>
      </c>
      <c r="E61" s="43">
        <f t="shared" ca="1" si="25"/>
        <v>4.2</v>
      </c>
      <c r="F61" s="43">
        <f t="shared" ca="1" si="25"/>
        <v>4.2</v>
      </c>
      <c r="G61" s="43">
        <f t="shared" ca="1" si="25"/>
        <v>4.2</v>
      </c>
      <c r="H61" s="43">
        <f t="shared" ca="1" si="25"/>
        <v>4.2</v>
      </c>
      <c r="I61" s="43">
        <f t="shared" ca="1" si="25"/>
        <v>4.2</v>
      </c>
      <c r="J61" s="43">
        <f t="shared" ca="1" si="25"/>
        <v>4.2</v>
      </c>
      <c r="K61" s="43">
        <f t="shared" ca="1" si="25"/>
        <v>4.2</v>
      </c>
      <c r="L61" s="43">
        <f t="shared" ca="1" si="25"/>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6">IF(OR(D$27="",$A62=""),"",D60-D61)</f>
        <v>3.987647051522166</v>
      </c>
      <c r="E62" s="77">
        <f t="shared" ca="1" si="26"/>
        <v>3.483325910947773</v>
      </c>
      <c r="F62" s="77">
        <f t="shared" ca="1" si="26"/>
        <v>2.9964533819189265</v>
      </c>
      <c r="G62" s="77">
        <f t="shared" ca="1" si="26"/>
        <v>2.5262983372609531</v>
      </c>
      <c r="H62" s="77">
        <f t="shared" ca="1" si="26"/>
        <v>2.0723559672341807</v>
      </c>
      <c r="I62" s="77">
        <f t="shared" ca="1" si="26"/>
        <v>3.1462888923762851</v>
      </c>
      <c r="J62" s="77">
        <f t="shared" ca="1" si="26"/>
        <v>4.1664151356452086</v>
      </c>
      <c r="K62" s="77">
        <f t="shared" ca="1" si="26"/>
        <v>5.1470726802877307</v>
      </c>
      <c r="L62" s="77">
        <f t="shared" ca="1" si="26"/>
        <v>6.091038739935013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f>-I57</f>
        <v>-0.5</v>
      </c>
      <c r="J65" s="25">
        <f t="shared" ref="J65:L65" si="27">-J57</f>
        <v>-0.5</v>
      </c>
      <c r="K65" s="25">
        <f t="shared" si="27"/>
        <v>-0.5</v>
      </c>
      <c r="L65" s="25">
        <f t="shared" si="27"/>
        <v>-0.5</v>
      </c>
      <c r="M65" s="78">
        <f>SUM(C65:L65)</f>
        <v>-2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25">
        <f>-I58</f>
        <v>-175</v>
      </c>
      <c r="J66" s="25">
        <f t="shared" ref="J66:L66" si="28">-J58</f>
        <v>-175</v>
      </c>
      <c r="K66" s="25">
        <f t="shared" si="28"/>
        <v>-175</v>
      </c>
      <c r="L66" s="25">
        <f t="shared" si="28"/>
        <v>-175</v>
      </c>
      <c r="M66" s="75">
        <f>SUM(C66:L66)</f>
        <v>-700</v>
      </c>
      <c r="N66" t="str">
        <f t="shared" ref="N66:N70" si="29">IF(A66="","",N58)</f>
        <v>Add if multiple transactions, e.g.: $350*0.5 + $450*0.25</v>
      </c>
    </row>
    <row r="67" spans="1:14" x14ac:dyDescent="0.35">
      <c r="A67" s="32" t="str">
        <f>IF(A66="","","   Volume all players (should be zero)")</f>
        <v xml:space="preserve">   Volume all players (should be zero)</v>
      </c>
      <c r="C67" s="78">
        <f t="shared" ref="C67:M67" ca="1" si="30">IF(OR(C$27="",$A67=""),"",C$112)</f>
        <v>0</v>
      </c>
      <c r="D67" s="78">
        <f t="shared" ca="1" si="30"/>
        <v>0</v>
      </c>
      <c r="E67" s="78">
        <f t="shared" ca="1" si="30"/>
        <v>0</v>
      </c>
      <c r="F67" s="78">
        <f t="shared" ca="1" si="30"/>
        <v>0</v>
      </c>
      <c r="G67" s="78">
        <f t="shared" ca="1" si="30"/>
        <v>0</v>
      </c>
      <c r="H67" s="78">
        <f t="shared" ca="1" si="30"/>
        <v>0</v>
      </c>
      <c r="I67" s="78">
        <f t="shared" ca="1" si="30"/>
        <v>0</v>
      </c>
      <c r="J67" s="78">
        <f t="shared" ca="1" si="30"/>
        <v>0</v>
      </c>
      <c r="K67" s="78">
        <f t="shared" ca="1" si="30"/>
        <v>0</v>
      </c>
      <c r="L67" s="78">
        <f t="shared" ca="1" si="30"/>
        <v>0</v>
      </c>
      <c r="M67" t="str">
        <f t="shared" si="30"/>
        <v/>
      </c>
      <c r="N67" t="str">
        <f t="shared" si="29"/>
        <v>If non-zero, players need to change amount(s)</v>
      </c>
    </row>
    <row r="68" spans="1:14" x14ac:dyDescent="0.35">
      <c r="A68" s="1" t="str">
        <f>IF(A66="","","   Available Water [maf]")</f>
        <v xml:space="preserve">   Available Water [maf]</v>
      </c>
      <c r="C68" s="14">
        <f t="shared" ref="C68:L68" si="31">IF(OR(C$27="",$A68=""),"",C31+C49-C41-C65)</f>
        <v>10.750668465590836</v>
      </c>
      <c r="D68" s="14">
        <f t="shared" ca="1" si="31"/>
        <v>10.007151534334978</v>
      </c>
      <c r="E68" s="14">
        <f t="shared" ca="1" si="31"/>
        <v>9.3071979239190981</v>
      </c>
      <c r="F68" s="14">
        <f t="shared" ca="1" si="31"/>
        <v>8.9886312532441934</v>
      </c>
      <c r="G68" s="14">
        <f t="shared" ca="1" si="31"/>
        <v>8.6789028361785618</v>
      </c>
      <c r="H68" s="14">
        <f t="shared" ca="1" si="31"/>
        <v>8.3776525952698933</v>
      </c>
      <c r="I68" s="14">
        <f t="shared" ca="1" si="31"/>
        <v>8.5966652403314168</v>
      </c>
      <c r="J68" s="14">
        <f t="shared" ca="1" si="31"/>
        <v>8.9084741755526231</v>
      </c>
      <c r="K68" s="14">
        <f t="shared" ca="1" si="31"/>
        <v>9.1130553979065514</v>
      </c>
      <c r="L68" s="14">
        <f t="shared" ca="1" si="31"/>
        <v>9.3173361178821406</v>
      </c>
      <c r="N68" t="str">
        <f t="shared" si="29"/>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9"/>
        <v>Must be less than Available water</v>
      </c>
    </row>
    <row r="70" spans="1:14" x14ac:dyDescent="0.35">
      <c r="A70" s="32" t="str">
        <f>IF(A69="","","   End of Year Balance [maf]")</f>
        <v xml:space="preserve">   End of Year Balance [maf]</v>
      </c>
      <c r="C70" s="77">
        <f>IF(OR(C$27="",$A70=""),"",C68-C69)</f>
        <v>3.4916684655908359</v>
      </c>
      <c r="D70" s="77">
        <f t="shared" ref="D70:L70" ca="1" si="32">IF(OR(D$27="",$A70=""),"",D68-D69)</f>
        <v>2.7481515343349781</v>
      </c>
      <c r="E70" s="77">
        <f t="shared" ca="1" si="32"/>
        <v>2.4201979239190976</v>
      </c>
      <c r="F70" s="77">
        <f t="shared" ca="1" si="32"/>
        <v>2.101631253244193</v>
      </c>
      <c r="G70" s="77">
        <f t="shared" ca="1" si="32"/>
        <v>1.7919028361785614</v>
      </c>
      <c r="H70" s="77">
        <f t="shared" ca="1" si="32"/>
        <v>1.4906525952698928</v>
      </c>
      <c r="I70" s="77">
        <f t="shared" ca="1" si="32"/>
        <v>1.8176652403314169</v>
      </c>
      <c r="J70" s="77">
        <f t="shared" ca="1" si="32"/>
        <v>2.0214741755526227</v>
      </c>
      <c r="K70" s="77">
        <f t="shared" ca="1" si="32"/>
        <v>2.2260553979065509</v>
      </c>
      <c r="L70" s="77">
        <f t="shared" ca="1" si="32"/>
        <v>2.4303361178821401</v>
      </c>
      <c r="N70" t="str">
        <f t="shared" si="29"/>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3">IF(A74="","",N66)</f>
        <v>Add if multiple transactions, e.g.: $350*0.5 + $450*0.25</v>
      </c>
    </row>
    <row r="75" spans="1:14" x14ac:dyDescent="0.35">
      <c r="A75" s="32" t="str">
        <f>IF(A74="","","   Volume all players (should be zero)")</f>
        <v xml:space="preserve">   Volume all players (should be zero)</v>
      </c>
      <c r="C75" s="78">
        <f t="shared" ref="C75:M75" ca="1" si="34">IF(OR(C$27="",$A75=""),"",C$112)</f>
        <v>0</v>
      </c>
      <c r="D75" s="78">
        <f t="shared" ca="1" si="34"/>
        <v>0</v>
      </c>
      <c r="E75" s="78">
        <f t="shared" ca="1" si="34"/>
        <v>0</v>
      </c>
      <c r="F75" s="78">
        <f t="shared" ca="1" si="34"/>
        <v>0</v>
      </c>
      <c r="G75" s="78">
        <f t="shared" ca="1" si="34"/>
        <v>0</v>
      </c>
      <c r="H75" s="78">
        <f t="shared" ca="1" si="34"/>
        <v>0</v>
      </c>
      <c r="I75" s="78">
        <f t="shared" ca="1" si="34"/>
        <v>0</v>
      </c>
      <c r="J75" s="78">
        <f t="shared" ca="1" si="34"/>
        <v>0</v>
      </c>
      <c r="K75" s="78">
        <f t="shared" ca="1" si="34"/>
        <v>0</v>
      </c>
      <c r="L75" s="78">
        <f t="shared" ca="1" si="34"/>
        <v>0</v>
      </c>
      <c r="M75" t="str">
        <f t="shared" si="34"/>
        <v/>
      </c>
      <c r="N75" t="str">
        <f t="shared" si="33"/>
        <v>If non-zero, players need to change amount(s)</v>
      </c>
    </row>
    <row r="76" spans="1:14" x14ac:dyDescent="0.35">
      <c r="A76" s="1" t="str">
        <f>IF(A74="","","   Available Water [maf]")</f>
        <v xml:space="preserve">   Available Water [maf]</v>
      </c>
      <c r="C76" s="14">
        <f t="shared" ref="C76:L76" si="35">IF(OR(C$27="",$A76=""),"",C32+C50-C42-C73)</f>
        <v>1.6129063098110585</v>
      </c>
      <c r="D76" s="14">
        <f t="shared" ca="1" si="35"/>
        <v>1.6046902798101226</v>
      </c>
      <c r="E76" s="14">
        <f t="shared" ca="1" si="35"/>
        <v>1.5576456189676631</v>
      </c>
      <c r="F76" s="14">
        <f ca="1">IF(OR(F$27="",$A76=""),"",F32+F50-F42-F73)</f>
        <v>1.5498781213375088</v>
      </c>
      <c r="G76" s="14">
        <f t="shared" ca="1" si="35"/>
        <v>1.5423760807272107</v>
      </c>
      <c r="H76" s="14">
        <f t="shared" ca="1" si="35"/>
        <v>1.5351314257299211</v>
      </c>
      <c r="I76" s="14">
        <f t="shared" ca="1" si="35"/>
        <v>1.504138777094133</v>
      </c>
      <c r="J76" s="14">
        <f t="shared" ca="1" si="35"/>
        <v>1.5217651352712449</v>
      </c>
      <c r="K76" s="14">
        <f t="shared" ca="1" si="35"/>
        <v>1.5158991124414873</v>
      </c>
      <c r="L76" s="14">
        <f t="shared" ca="1" si="35"/>
        <v>1.5104742844858821</v>
      </c>
      <c r="N76" t="str">
        <f t="shared" si="33"/>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6">D46</f>
        <v>1.4473333333333334</v>
      </c>
      <c r="E77" s="50">
        <f t="shared" ca="1" si="36"/>
        <v>1.4083333333333332</v>
      </c>
      <c r="F77" s="50">
        <f t="shared" ca="1" si="36"/>
        <v>1.4083333333333332</v>
      </c>
      <c r="G77" s="50">
        <f t="shared" ca="1" si="36"/>
        <v>1.4083333333333332</v>
      </c>
      <c r="H77" s="50">
        <f t="shared" ca="1" si="36"/>
        <v>1.4083333333333332</v>
      </c>
      <c r="I77" s="50">
        <f t="shared" ca="1" si="36"/>
        <v>1.3843333333333332</v>
      </c>
      <c r="J77" s="50">
        <f t="shared" ca="1" si="36"/>
        <v>1.4083333333333332</v>
      </c>
      <c r="K77" s="50">
        <f t="shared" ca="1" si="36"/>
        <v>1.4083333333333332</v>
      </c>
      <c r="L77" s="50">
        <f t="shared" ca="1" si="36"/>
        <v>1.4083333333333332</v>
      </c>
      <c r="N77" t="str">
        <f t="shared" si="33"/>
        <v>Must be less than Available water</v>
      </c>
    </row>
    <row r="78" spans="1:14" x14ac:dyDescent="0.35">
      <c r="A78" s="32" t="str">
        <f>IF(A77="","","   End of Year Balance [maf]")</f>
        <v xml:space="preserve">   End of Year Balance [maf]</v>
      </c>
      <c r="C78" s="77">
        <f>IF(OR(C$27="",$A78=""),"",C76-C77)</f>
        <v>0.16557297647772518</v>
      </c>
      <c r="D78" s="77">
        <f t="shared" ref="D78:L78" ca="1" si="37">IF(OR(D$27="",$A78=""),"",D76-D77)</f>
        <v>0.15735694647678922</v>
      </c>
      <c r="E78" s="77">
        <f t="shared" ca="1" si="37"/>
        <v>0.14931228563432986</v>
      </c>
      <c r="F78" s="77">
        <f t="shared" ca="1" si="37"/>
        <v>0.14154478800417558</v>
      </c>
      <c r="G78" s="77">
        <f t="shared" ca="1" si="37"/>
        <v>0.13404274739387745</v>
      </c>
      <c r="H78" s="77">
        <f t="shared" ca="1" si="37"/>
        <v>0.1267980923965879</v>
      </c>
      <c r="I78" s="77">
        <f t="shared" ca="1" si="37"/>
        <v>0.11980544376079982</v>
      </c>
      <c r="J78" s="77">
        <f t="shared" ca="1" si="37"/>
        <v>0.11343180193791169</v>
      </c>
      <c r="K78" s="77">
        <f t="shared" ca="1" si="37"/>
        <v>0.10756577910815412</v>
      </c>
      <c r="L78" s="77">
        <f t="shared" ca="1" si="37"/>
        <v>0.10214095115254884</v>
      </c>
      <c r="N78" t="str">
        <f t="shared" si="33"/>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8">IF(A82="","",N74)</f>
        <v>Add if multiple transactions, e.g.: $350*0.5 + $450*0.25</v>
      </c>
    </row>
    <row r="83" spans="1:14" x14ac:dyDescent="0.35">
      <c r="A83" s="32" t="str">
        <f>IF(A82="","","   Volume all players (should be zero)")</f>
        <v xml:space="preserve">   Volume all players (should be zero)</v>
      </c>
      <c r="C83" s="78">
        <f t="shared" ref="C83:M83" ca="1" si="39">IF(OR(C$27="",$A83=""),"",C$112)</f>
        <v>0</v>
      </c>
      <c r="D83" s="78">
        <f t="shared" ca="1" si="39"/>
        <v>0</v>
      </c>
      <c r="E83" s="78">
        <f t="shared" ca="1" si="39"/>
        <v>0</v>
      </c>
      <c r="F83" s="78">
        <f t="shared" ca="1" si="39"/>
        <v>0</v>
      </c>
      <c r="G83" s="78">
        <f t="shared" ca="1" si="39"/>
        <v>0</v>
      </c>
      <c r="H83" s="78">
        <f t="shared" ca="1" si="39"/>
        <v>0</v>
      </c>
      <c r="I83" s="78">
        <f t="shared" ca="1" si="39"/>
        <v>0</v>
      </c>
      <c r="J83" s="78">
        <f t="shared" ca="1" si="39"/>
        <v>0</v>
      </c>
      <c r="K83" s="78">
        <f t="shared" ca="1" si="39"/>
        <v>0</v>
      </c>
      <c r="L83" s="78">
        <f t="shared" ca="1" si="39"/>
        <v>0</v>
      </c>
      <c r="M83" t="str">
        <f t="shared" si="39"/>
        <v/>
      </c>
      <c r="N83" t="str">
        <f t="shared" si="38"/>
        <v>If non-zero, players need to change amount(s)</v>
      </c>
    </row>
    <row r="84" spans="1:14" x14ac:dyDescent="0.35">
      <c r="A84" s="1" t="str">
        <f>IF(A82="","","   Available Water [maf]")</f>
        <v xml:space="preserve">   Available Water [maf]</v>
      </c>
      <c r="C84" s="14">
        <f t="shared" ref="C84:L84" si="40">IF(OR(C$27="",$A84=""),"",C33+C51-C43-C81)</f>
        <v>0.6</v>
      </c>
      <c r="D84" s="14">
        <f t="shared" ca="1" si="40"/>
        <v>0.6</v>
      </c>
      <c r="E84" s="14">
        <f t="shared" ca="1" si="40"/>
        <v>0.6</v>
      </c>
      <c r="F84" s="14">
        <f t="shared" ca="1" si="40"/>
        <v>0.6</v>
      </c>
      <c r="G84" s="14">
        <f t="shared" ca="1" si="40"/>
        <v>0.6</v>
      </c>
      <c r="H84" s="14">
        <f t="shared" ca="1" si="40"/>
        <v>0.6</v>
      </c>
      <c r="I84" s="14">
        <f t="shared" ca="1" si="40"/>
        <v>0.6</v>
      </c>
      <c r="J84" s="14">
        <f t="shared" ca="1" si="40"/>
        <v>0.6</v>
      </c>
      <c r="K84" s="14">
        <f t="shared" ca="1" si="40"/>
        <v>0.6</v>
      </c>
      <c r="L84" s="14">
        <f t="shared" ca="1" si="40"/>
        <v>0.6</v>
      </c>
      <c r="N84" t="str">
        <f t="shared" si="38"/>
        <v>Available water = Account Balance + Available Inflow - Evaporation + Sales - Purchases</v>
      </c>
    </row>
    <row r="85" spans="1:14" x14ac:dyDescent="0.35">
      <c r="A85" s="1" t="str">
        <f>IF(A84="","","   Account Withdraw [maf]")</f>
        <v xml:space="preserve">   Account Withdraw [maf]</v>
      </c>
      <c r="C85" s="43">
        <f>C84</f>
        <v>0.6</v>
      </c>
      <c r="D85" s="43">
        <f t="shared" ref="D85:L85" ca="1" si="41">D84</f>
        <v>0.6</v>
      </c>
      <c r="E85" s="43">
        <f t="shared" ca="1" si="41"/>
        <v>0.6</v>
      </c>
      <c r="F85" s="43">
        <f t="shared" ca="1" si="41"/>
        <v>0.6</v>
      </c>
      <c r="G85" s="43">
        <f t="shared" ca="1" si="41"/>
        <v>0.6</v>
      </c>
      <c r="H85" s="43">
        <f t="shared" ca="1" si="41"/>
        <v>0.6</v>
      </c>
      <c r="I85" s="43">
        <f t="shared" ca="1" si="41"/>
        <v>0.6</v>
      </c>
      <c r="J85" s="43">
        <f t="shared" ca="1" si="41"/>
        <v>0.6</v>
      </c>
      <c r="K85" s="43">
        <f t="shared" ca="1" si="41"/>
        <v>0.6</v>
      </c>
      <c r="L85" s="43">
        <f t="shared" ca="1" si="41"/>
        <v>0.6</v>
      </c>
      <c r="N85" t="str">
        <f t="shared" si="38"/>
        <v>Must be less than Available water</v>
      </c>
    </row>
    <row r="86" spans="1:14" x14ac:dyDescent="0.35">
      <c r="A86" s="32" t="str">
        <f>IF(A85="","","   End of Year Balance [maf]")</f>
        <v xml:space="preserve">   End of Year Balance [maf]</v>
      </c>
      <c r="C86" s="77">
        <f>IF(OR(C$27="",$A86=""),"",C84-C85)</f>
        <v>0</v>
      </c>
      <c r="D86" s="77">
        <f t="shared" ref="D86:L86" ca="1" si="42">IF(OR(D$27="",$A86=""),"",D84-D85)</f>
        <v>0</v>
      </c>
      <c r="E86" s="77">
        <f t="shared" ca="1" si="42"/>
        <v>0</v>
      </c>
      <c r="F86" s="77">
        <f t="shared" ca="1" si="42"/>
        <v>0</v>
      </c>
      <c r="G86" s="77">
        <f t="shared" ca="1" si="42"/>
        <v>0</v>
      </c>
      <c r="H86" s="77">
        <f t="shared" ca="1" si="42"/>
        <v>0</v>
      </c>
      <c r="I86" s="77">
        <f t="shared" ca="1" si="42"/>
        <v>0</v>
      </c>
      <c r="J86" s="77">
        <f t="shared" ca="1" si="42"/>
        <v>0</v>
      </c>
      <c r="K86" s="77">
        <f t="shared" ca="1" si="42"/>
        <v>0</v>
      </c>
      <c r="L86" s="77">
        <f t="shared" ca="1" si="42"/>
        <v>0</v>
      </c>
      <c r="N86" t="str">
        <f t="shared" si="38"/>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3">IF(A90="","",N82)</f>
        <v>Add if multiple transactions, e.g.: $350*0.5 + $450*0.25</v>
      </c>
    </row>
    <row r="91" spans="1:14" x14ac:dyDescent="0.35">
      <c r="A91" s="32" t="str">
        <f>IF(A90="","","   Volume all players (should be zero)")</f>
        <v xml:space="preserve">   Volume all players (should be zero)</v>
      </c>
      <c r="C91" s="78">
        <f t="shared" ref="C91:M91" ca="1" si="44">IF(OR(C$27="",$A91=""),"",C$112)</f>
        <v>0</v>
      </c>
      <c r="D91" s="78">
        <f t="shared" ca="1" si="44"/>
        <v>0</v>
      </c>
      <c r="E91" s="78">
        <f t="shared" ca="1" si="44"/>
        <v>0</v>
      </c>
      <c r="F91" s="78">
        <f t="shared" ca="1" si="44"/>
        <v>0</v>
      </c>
      <c r="G91" s="78">
        <f t="shared" ca="1" si="44"/>
        <v>0</v>
      </c>
      <c r="H91" s="78">
        <f t="shared" ca="1" si="44"/>
        <v>0</v>
      </c>
      <c r="I91" s="78">
        <f t="shared" ca="1" si="44"/>
        <v>0</v>
      </c>
      <c r="J91" s="78">
        <f t="shared" ca="1" si="44"/>
        <v>0</v>
      </c>
      <c r="K91" s="78">
        <f t="shared" ca="1" si="44"/>
        <v>0</v>
      </c>
      <c r="L91" s="78">
        <f t="shared" ca="1" si="44"/>
        <v>0</v>
      </c>
      <c r="M91" t="str">
        <f t="shared" si="44"/>
        <v/>
      </c>
      <c r="N91" t="str">
        <f t="shared" si="43"/>
        <v>If non-zero, players need to change amount(s)</v>
      </c>
    </row>
    <row r="92" spans="1:14" x14ac:dyDescent="0.35">
      <c r="A92" s="1" t="str">
        <f>IF(A90="","","   Available Water [maf]")</f>
        <v xml:space="preserve">   Available Water [maf]</v>
      </c>
      <c r="C92" s="14">
        <f t="shared" ref="C92:L92" si="45">IF(OR(C$27="",$A92=""),"",C34+C52-C44-C89)</f>
        <v>11.59116925</v>
      </c>
      <c r="D92" s="14">
        <f t="shared" ca="1" si="45"/>
        <v>11.59116925</v>
      </c>
      <c r="E92" s="14">
        <f t="shared" ca="1" si="45"/>
        <v>11.59116925</v>
      </c>
      <c r="F92" s="14">
        <f t="shared" ca="1" si="45"/>
        <v>11.59116925</v>
      </c>
      <c r="G92" s="14">
        <f t="shared" ca="1" si="45"/>
        <v>11.59116925</v>
      </c>
      <c r="H92" s="14">
        <f t="shared" ca="1" si="45"/>
        <v>11.59116925</v>
      </c>
      <c r="I92" s="14">
        <f t="shared" ca="1" si="45"/>
        <v>11.59116925</v>
      </c>
      <c r="J92" s="14">
        <f t="shared" ca="1" si="45"/>
        <v>11.59116925</v>
      </c>
      <c r="K92" s="14">
        <f t="shared" ca="1" si="45"/>
        <v>11.59116925</v>
      </c>
      <c r="L92" s="14">
        <f t="shared" ca="1" si="45"/>
        <v>11.59116925</v>
      </c>
      <c r="N92" t="str">
        <f t="shared" si="43"/>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3"/>
        <v>Must be less than Available water</v>
      </c>
    </row>
    <row r="94" spans="1:14" x14ac:dyDescent="0.35">
      <c r="A94" s="32" t="str">
        <f>IF(A93="","","   End of Year Balance [maf]")</f>
        <v xml:space="preserve">   End of Year Balance [maf]</v>
      </c>
      <c r="C94" s="77">
        <f>IF(OR(C$27="",$A94=""),"",C92-C93)</f>
        <v>11.59116925</v>
      </c>
      <c r="D94" s="77">
        <f t="shared" ref="D94:L94" ca="1" si="46">IF(OR(D$27="",$A94=""),"",D92-D93)</f>
        <v>11.59116925</v>
      </c>
      <c r="E94" s="77">
        <f t="shared" ca="1" si="46"/>
        <v>11.59116925</v>
      </c>
      <c r="F94" s="77">
        <f t="shared" ca="1" si="46"/>
        <v>11.59116925</v>
      </c>
      <c r="G94" s="77">
        <f t="shared" ca="1" si="46"/>
        <v>11.59116925</v>
      </c>
      <c r="H94" s="77">
        <f t="shared" ca="1" si="46"/>
        <v>11.59116925</v>
      </c>
      <c r="I94" s="77">
        <f t="shared" ca="1" si="46"/>
        <v>11.59116925</v>
      </c>
      <c r="J94" s="77">
        <f t="shared" ca="1" si="46"/>
        <v>11.59116925</v>
      </c>
      <c r="K94" s="77">
        <f t="shared" ca="1" si="46"/>
        <v>11.59116925</v>
      </c>
      <c r="L94" s="77">
        <f t="shared" ca="1" si="46"/>
        <v>11.59116925</v>
      </c>
      <c r="N94" t="str">
        <f t="shared" si="43"/>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7">IF(A98="","",N90)</f>
        <v/>
      </c>
    </row>
    <row r="99" spans="1:14" x14ac:dyDescent="0.35">
      <c r="A99" s="32" t="str">
        <f>IF(A98="","","   Volume all players (should be zero)")</f>
        <v/>
      </c>
      <c r="C99" s="78" t="str">
        <f t="shared" ref="C99:M99" si="48">IF(OR(C$27="",$A99=""),"",C$112)</f>
        <v/>
      </c>
      <c r="D99" s="78" t="str">
        <f t="shared" si="48"/>
        <v/>
      </c>
      <c r="E99" s="78" t="str">
        <f t="shared" si="48"/>
        <v/>
      </c>
      <c r="F99" s="78" t="str">
        <f t="shared" si="48"/>
        <v/>
      </c>
      <c r="G99" s="78" t="str">
        <f t="shared" si="48"/>
        <v/>
      </c>
      <c r="H99" s="78" t="str">
        <f t="shared" si="48"/>
        <v/>
      </c>
      <c r="I99" s="78" t="str">
        <f t="shared" si="48"/>
        <v/>
      </c>
      <c r="J99" s="78" t="str">
        <f t="shared" si="48"/>
        <v/>
      </c>
      <c r="K99" s="78" t="str">
        <f t="shared" si="48"/>
        <v/>
      </c>
      <c r="L99" s="78" t="str">
        <f t="shared" si="48"/>
        <v/>
      </c>
      <c r="M99" t="str">
        <f t="shared" si="48"/>
        <v/>
      </c>
      <c r="N99" t="str">
        <f t="shared" si="47"/>
        <v/>
      </c>
    </row>
    <row r="100" spans="1:14" x14ac:dyDescent="0.35">
      <c r="A100" s="1" t="str">
        <f>IF(A98="","","   Available Water [maf]")</f>
        <v/>
      </c>
      <c r="C100" s="14" t="str">
        <f t="shared" ref="C100:L100" si="49">IF(OR(C$27="",$A100=""),"",C35+C53-C45-C97)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43"/>
      <c r="D101" s="43"/>
      <c r="E101" s="43"/>
      <c r="F101" s="43"/>
      <c r="G101" s="43"/>
      <c r="H101" s="43"/>
      <c r="I101" s="43"/>
      <c r="J101" s="43"/>
      <c r="K101" s="43"/>
      <c r="L101" s="43"/>
      <c r="N101" t="str">
        <f t="shared" si="47"/>
        <v/>
      </c>
    </row>
    <row r="102" spans="1:14" x14ac:dyDescent="0.35">
      <c r="A102" s="32" t="str">
        <f>IF(A101="","","   End of Year Balance [maf]")</f>
        <v/>
      </c>
      <c r="C102" s="77" t="str">
        <f>IF(OR(C$27="",$A102=""),"",C100-C101)</f>
        <v/>
      </c>
      <c r="D102" s="77" t="str">
        <f t="shared" ref="D102:L102" si="50">IF(OR(D$27="",$A102=""),"",D100-D101)</f>
        <v/>
      </c>
      <c r="E102" s="77" t="str">
        <f t="shared" si="50"/>
        <v/>
      </c>
      <c r="F102" s="77" t="str">
        <f t="shared" si="50"/>
        <v/>
      </c>
      <c r="G102" s="77" t="str">
        <f t="shared" si="50"/>
        <v/>
      </c>
      <c r="H102" s="77" t="str">
        <f t="shared" si="50"/>
        <v/>
      </c>
      <c r="I102" s="77" t="str">
        <f t="shared" si="50"/>
        <v/>
      </c>
      <c r="J102" s="77" t="str">
        <f t="shared" si="50"/>
        <v/>
      </c>
      <c r="K102" s="77" t="str">
        <f t="shared" si="50"/>
        <v/>
      </c>
      <c r="L102" s="77" t="str">
        <f t="shared" si="50"/>
        <v/>
      </c>
      <c r="N102" t="str">
        <f t="shared" si="47"/>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51">IF(A6="","","    "&amp;A6)</f>
        <v xml:space="preserve">    Upper Basin</v>
      </c>
      <c r="B106" s="1"/>
      <c r="C106" s="78">
        <f t="shared" ref="C106:L111" ca="1" si="52">IF(OR(C$27="",$A106=""),"",OFFSET(C$57,8*(ROW(B106)-ROW(B$106)),0))</f>
        <v>0</v>
      </c>
      <c r="D106" s="78">
        <f t="shared" ca="1" si="52"/>
        <v>0</v>
      </c>
      <c r="E106" s="78">
        <f t="shared" ca="1" si="52"/>
        <v>0</v>
      </c>
      <c r="F106" s="78">
        <f t="shared" ca="1" si="52"/>
        <v>0</v>
      </c>
      <c r="G106" s="78">
        <f t="shared" ca="1" si="52"/>
        <v>0</v>
      </c>
      <c r="H106" s="78">
        <f t="shared" ca="1" si="52"/>
        <v>0</v>
      </c>
      <c r="I106" s="78">
        <f t="shared" ca="1" si="52"/>
        <v>0.5</v>
      </c>
      <c r="J106" s="78">
        <f t="shared" ca="1" si="52"/>
        <v>0.5</v>
      </c>
      <c r="K106" s="78">
        <f t="shared" ca="1" si="52"/>
        <v>0.5</v>
      </c>
      <c r="L106" s="78">
        <f t="shared" ca="1" si="52"/>
        <v>0.5</v>
      </c>
      <c r="M106" s="78">
        <f ca="1">IF(OR($A106=""),"",SUM(C106:L106))</f>
        <v>2</v>
      </c>
      <c r="N106" s="75">
        <f>IF(OR($A106=""),"",M58)</f>
        <v>700</v>
      </c>
    </row>
    <row r="107" spans="1:14" x14ac:dyDescent="0.35">
      <c r="A107" t="str">
        <f t="shared" si="51"/>
        <v xml:space="preserve">    Lower Basin</v>
      </c>
      <c r="B107" s="1"/>
      <c r="C107" s="78">
        <f t="shared" ca="1" si="52"/>
        <v>0</v>
      </c>
      <c r="D107" s="78">
        <f t="shared" ca="1" si="52"/>
        <v>0</v>
      </c>
      <c r="E107" s="78">
        <f t="shared" ca="1" si="52"/>
        <v>0</v>
      </c>
      <c r="F107" s="78">
        <f t="shared" ca="1" si="52"/>
        <v>0</v>
      </c>
      <c r="G107" s="78">
        <f t="shared" ca="1" si="52"/>
        <v>0</v>
      </c>
      <c r="H107" s="78">
        <f t="shared" ca="1" si="52"/>
        <v>0</v>
      </c>
      <c r="I107" s="78">
        <f t="shared" ca="1" si="52"/>
        <v>-0.5</v>
      </c>
      <c r="J107" s="78">
        <f t="shared" ca="1" si="52"/>
        <v>-0.5</v>
      </c>
      <c r="K107" s="78">
        <f t="shared" ca="1" si="52"/>
        <v>-0.5</v>
      </c>
      <c r="L107" s="78">
        <f t="shared" ca="1" si="52"/>
        <v>-0.5</v>
      </c>
      <c r="M107" s="78">
        <f t="shared" ref="M107:M111" ca="1" si="53">IF(OR($A107=""),"",SUM(C107:L107))</f>
        <v>-2</v>
      </c>
      <c r="N107" s="75">
        <f>IF(OR($A107=""),"",M66)</f>
        <v>-700</v>
      </c>
    </row>
    <row r="108" spans="1:14" x14ac:dyDescent="0.35">
      <c r="A108" t="str">
        <f t="shared" si="51"/>
        <v xml:space="preserve">    Mexico</v>
      </c>
      <c r="B108" s="1"/>
      <c r="C108" s="78">
        <f t="shared" ca="1" si="52"/>
        <v>0</v>
      </c>
      <c r="D108" s="78">
        <f t="shared" ca="1" si="52"/>
        <v>0</v>
      </c>
      <c r="E108" s="78">
        <f t="shared" ca="1" si="52"/>
        <v>0</v>
      </c>
      <c r="F108" s="78">
        <f t="shared" ca="1" si="52"/>
        <v>0</v>
      </c>
      <c r="G108" s="78">
        <f t="shared" ca="1" si="52"/>
        <v>0</v>
      </c>
      <c r="H108" s="78">
        <f t="shared" ca="1" si="52"/>
        <v>0</v>
      </c>
      <c r="I108" s="78">
        <f t="shared" ca="1" si="52"/>
        <v>0</v>
      </c>
      <c r="J108" s="78">
        <f t="shared" ca="1" si="52"/>
        <v>0</v>
      </c>
      <c r="K108" s="78">
        <f t="shared" ca="1" si="52"/>
        <v>0</v>
      </c>
      <c r="L108" s="78">
        <f t="shared" ca="1" si="52"/>
        <v>0</v>
      </c>
      <c r="M108" s="78">
        <f t="shared" ca="1" si="53"/>
        <v>0</v>
      </c>
      <c r="N108" s="75">
        <f>IF(OR($A108=""),"",M74)</f>
        <v>0</v>
      </c>
    </row>
    <row r="109" spans="1:14" x14ac:dyDescent="0.35">
      <c r="A109" t="str">
        <f t="shared" si="51"/>
        <v xml:space="preserve">    Mohave &amp; Havasu Evap &amp; ET</v>
      </c>
      <c r="B109" s="1"/>
      <c r="C109" s="78">
        <f t="shared" ca="1" si="52"/>
        <v>0</v>
      </c>
      <c r="D109" s="78">
        <f t="shared" ca="1" si="52"/>
        <v>0</v>
      </c>
      <c r="E109" s="78">
        <f t="shared" ca="1" si="52"/>
        <v>0</v>
      </c>
      <c r="F109" s="78">
        <f t="shared" ca="1" si="52"/>
        <v>0</v>
      </c>
      <c r="G109" s="78">
        <f t="shared" ca="1" si="52"/>
        <v>0</v>
      </c>
      <c r="H109" s="78">
        <f t="shared" ca="1" si="52"/>
        <v>0</v>
      </c>
      <c r="I109" s="78">
        <f t="shared" ca="1" si="52"/>
        <v>0</v>
      </c>
      <c r="J109" s="78">
        <f t="shared" ca="1" si="52"/>
        <v>0</v>
      </c>
      <c r="K109" s="78">
        <f t="shared" ca="1" si="52"/>
        <v>0</v>
      </c>
      <c r="L109" s="78">
        <f t="shared" ca="1" si="52"/>
        <v>0</v>
      </c>
      <c r="M109" s="78">
        <f t="shared" ca="1" si="53"/>
        <v>0</v>
      </c>
      <c r="N109" s="75">
        <f>IF(OR($A109=""),"",M82)</f>
        <v>0</v>
      </c>
    </row>
    <row r="110" spans="1:14" x14ac:dyDescent="0.35">
      <c r="A110" t="str">
        <f t="shared" si="51"/>
        <v xml:space="preserve">    Shared, Reserve</v>
      </c>
      <c r="B110" s="1"/>
      <c r="C110" s="78">
        <f t="shared" ca="1" si="52"/>
        <v>0</v>
      </c>
      <c r="D110" s="78">
        <f t="shared" ca="1" si="52"/>
        <v>0</v>
      </c>
      <c r="E110" s="78">
        <f t="shared" ca="1" si="52"/>
        <v>0</v>
      </c>
      <c r="F110" s="78">
        <f t="shared" ca="1" si="52"/>
        <v>0</v>
      </c>
      <c r="G110" s="78">
        <f t="shared" ca="1" si="52"/>
        <v>0</v>
      </c>
      <c r="H110" s="78">
        <f t="shared" ca="1" si="52"/>
        <v>0</v>
      </c>
      <c r="I110" s="78">
        <f t="shared" ca="1" si="52"/>
        <v>0</v>
      </c>
      <c r="J110" s="78">
        <f t="shared" ca="1" si="52"/>
        <v>0</v>
      </c>
      <c r="K110" s="78">
        <f t="shared" ca="1" si="52"/>
        <v>0</v>
      </c>
      <c r="L110" s="78">
        <f t="shared" ca="1" si="52"/>
        <v>0</v>
      </c>
      <c r="M110" s="78">
        <f t="shared" ca="1" si="53"/>
        <v>0</v>
      </c>
      <c r="N110" s="75">
        <f>IF(OR($A110=""),"",M90)</f>
        <v>0</v>
      </c>
    </row>
    <row r="111" spans="1:14" x14ac:dyDescent="0.35">
      <c r="A111" t="str">
        <f t="shared" si="51"/>
        <v/>
      </c>
      <c r="B111" s="1"/>
      <c r="C111" s="78" t="str">
        <f t="shared" ca="1" si="52"/>
        <v/>
      </c>
      <c r="D111" s="78" t="str">
        <f t="shared" ca="1" si="52"/>
        <v/>
      </c>
      <c r="E111" s="78" t="str">
        <f t="shared" ca="1" si="52"/>
        <v/>
      </c>
      <c r="F111" s="78" t="str">
        <f t="shared" ca="1" si="52"/>
        <v/>
      </c>
      <c r="G111" s="78" t="str">
        <f t="shared" ca="1" si="52"/>
        <v/>
      </c>
      <c r="H111" s="78" t="str">
        <f t="shared" ca="1" si="52"/>
        <v/>
      </c>
      <c r="I111" s="78" t="str">
        <f t="shared" ca="1" si="52"/>
        <v/>
      </c>
      <c r="J111" s="78" t="str">
        <f t="shared" ca="1" si="52"/>
        <v/>
      </c>
      <c r="K111" s="78" t="str">
        <f t="shared" ca="1" si="52"/>
        <v/>
      </c>
      <c r="L111" s="78" t="str">
        <f t="shared" ca="1" si="52"/>
        <v/>
      </c>
      <c r="M111" s="78" t="str">
        <f t="shared" si="53"/>
        <v/>
      </c>
      <c r="N111" s="75" t="str">
        <f>IF(OR($A111=""),"",M98)</f>
        <v/>
      </c>
    </row>
    <row r="112" spans="1:14" x14ac:dyDescent="0.35">
      <c r="A112" t="s">
        <v>146</v>
      </c>
      <c r="B112" s="1"/>
      <c r="C112" s="52">
        <f ca="1">IF(C$27&lt;&gt;"",SUM(C106:C111),"")</f>
        <v>0</v>
      </c>
      <c r="D112" s="52">
        <f t="shared" ref="D112:L112" ca="1" si="54">IF(D$27&lt;&gt;"",SUM(D106:D111),"")</f>
        <v>0</v>
      </c>
      <c r="E112" s="52">
        <f t="shared" ca="1" si="54"/>
        <v>0</v>
      </c>
      <c r="F112" s="52">
        <f t="shared" ca="1" si="54"/>
        <v>0</v>
      </c>
      <c r="G112" s="52">
        <f t="shared" ca="1" si="54"/>
        <v>0</v>
      </c>
      <c r="H112" s="52">
        <f t="shared" ca="1" si="54"/>
        <v>0</v>
      </c>
      <c r="I112" s="52">
        <f t="shared" ca="1" si="54"/>
        <v>0</v>
      </c>
      <c r="J112" s="52">
        <f t="shared" ca="1" si="54"/>
        <v>0</v>
      </c>
      <c r="K112" s="52">
        <f t="shared" ca="1" si="54"/>
        <v>0</v>
      </c>
      <c r="L112" s="52">
        <f t="shared" ca="1" si="54"/>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5">IF(OR(C$27="",$A114=""),"",OFFSET(C$61,8*(ROW(B114)-ROW(B$114)),0))</f>
        <v>4.2</v>
      </c>
      <c r="D114" s="78">
        <f t="shared" ca="1" si="55"/>
        <v>4.2</v>
      </c>
      <c r="E114" s="78">
        <f t="shared" ca="1" si="55"/>
        <v>4.2</v>
      </c>
      <c r="F114" s="78">
        <f t="shared" ca="1" si="55"/>
        <v>4.2</v>
      </c>
      <c r="G114" s="78">
        <f t="shared" ca="1" si="55"/>
        <v>4.2</v>
      </c>
      <c r="H114" s="78">
        <f t="shared" ca="1" si="55"/>
        <v>4.2</v>
      </c>
      <c r="I114" s="78">
        <f t="shared" ca="1" si="55"/>
        <v>4.2</v>
      </c>
      <c r="J114" s="78">
        <f t="shared" ca="1" si="55"/>
        <v>4.2</v>
      </c>
      <c r="K114" s="78">
        <f t="shared" ca="1" si="55"/>
        <v>4.2</v>
      </c>
      <c r="L114" s="78">
        <f t="shared" ca="1" si="55"/>
        <v>4.2</v>
      </c>
    </row>
    <row r="115" spans="1:12" x14ac:dyDescent="0.35">
      <c r="A115" t="str">
        <f>IF(A7="","","    "&amp;A7&amp;" - Release from Mead")</f>
        <v xml:space="preserve">    Lower Basin - Release from Mead</v>
      </c>
      <c r="C115" s="78">
        <f t="shared" ca="1" si="55"/>
        <v>7.2590000000000003</v>
      </c>
      <c r="D115" s="78">
        <f t="shared" ca="1" si="55"/>
        <v>7.2590000000000003</v>
      </c>
      <c r="E115" s="78">
        <f t="shared" ca="1" si="55"/>
        <v>6.8870000000000005</v>
      </c>
      <c r="F115" s="78">
        <f t="shared" ca="1" si="55"/>
        <v>6.8870000000000005</v>
      </c>
      <c r="G115" s="78">
        <f t="shared" ca="1" si="55"/>
        <v>6.8870000000000005</v>
      </c>
      <c r="H115" s="78">
        <f t="shared" ca="1" si="55"/>
        <v>6.8870000000000005</v>
      </c>
      <c r="I115" s="78">
        <f t="shared" ca="1" si="55"/>
        <v>6.7789999999999999</v>
      </c>
      <c r="J115" s="78">
        <f t="shared" ca="1" si="55"/>
        <v>6.8870000000000005</v>
      </c>
      <c r="K115" s="78">
        <f t="shared" ca="1" si="55"/>
        <v>6.8870000000000005</v>
      </c>
      <c r="L115" s="78">
        <f t="shared" ca="1" si="55"/>
        <v>6.8870000000000005</v>
      </c>
    </row>
    <row r="116" spans="1:12" x14ac:dyDescent="0.35">
      <c r="A116" t="str">
        <f>IF(A8="","","    "&amp;A8&amp;" - Release from Mead")</f>
        <v xml:space="preserve">    Mexico - Release from Mead</v>
      </c>
      <c r="C116" s="78">
        <f t="shared" ca="1" si="55"/>
        <v>1.4473333333333334</v>
      </c>
      <c r="D116" s="78">
        <f t="shared" ca="1" si="55"/>
        <v>1.4473333333333334</v>
      </c>
      <c r="E116" s="78">
        <f t="shared" ca="1" si="55"/>
        <v>1.4083333333333332</v>
      </c>
      <c r="F116" s="78">
        <f t="shared" ca="1" si="55"/>
        <v>1.4083333333333332</v>
      </c>
      <c r="G116" s="78">
        <f t="shared" ca="1" si="55"/>
        <v>1.4083333333333332</v>
      </c>
      <c r="H116" s="78">
        <f t="shared" ca="1" si="55"/>
        <v>1.4083333333333332</v>
      </c>
      <c r="I116" s="78">
        <f t="shared" ca="1" si="55"/>
        <v>1.3843333333333332</v>
      </c>
      <c r="J116" s="78">
        <f t="shared" ca="1" si="55"/>
        <v>1.4083333333333332</v>
      </c>
      <c r="K116" s="78">
        <f t="shared" ca="1" si="55"/>
        <v>1.4083333333333332</v>
      </c>
      <c r="L116" s="78">
        <f t="shared" ca="1" si="55"/>
        <v>1.4083333333333332</v>
      </c>
    </row>
    <row r="117" spans="1:12" x14ac:dyDescent="0.35">
      <c r="A117" t="str">
        <f>IF(A9="","","    "&amp;A9&amp;" - Release from Mead")</f>
        <v xml:space="preserve">    Mohave &amp; Havasu Evap &amp; ET - Release from Mead</v>
      </c>
      <c r="C117" s="78">
        <f t="shared" ca="1" si="55"/>
        <v>0.6</v>
      </c>
      <c r="D117" s="78">
        <f t="shared" ca="1" si="55"/>
        <v>0.6</v>
      </c>
      <c r="E117" s="78">
        <f t="shared" ca="1" si="55"/>
        <v>0.6</v>
      </c>
      <c r="F117" s="78">
        <f t="shared" ca="1" si="55"/>
        <v>0.6</v>
      </c>
      <c r="G117" s="78">
        <f t="shared" ca="1" si="55"/>
        <v>0.6</v>
      </c>
      <c r="H117" s="78">
        <f t="shared" ca="1" si="55"/>
        <v>0.6</v>
      </c>
      <c r="I117" s="78">
        <f t="shared" ca="1" si="55"/>
        <v>0.6</v>
      </c>
      <c r="J117" s="78">
        <f t="shared" ca="1" si="55"/>
        <v>0.6</v>
      </c>
      <c r="K117" s="78">
        <f t="shared" ca="1" si="55"/>
        <v>0.6</v>
      </c>
      <c r="L117" s="78">
        <f t="shared" ca="1" si="55"/>
        <v>0.6</v>
      </c>
    </row>
    <row r="118" spans="1:12" x14ac:dyDescent="0.35">
      <c r="A118" t="str">
        <f>IF(A10="","","    "&amp;A10&amp;" - Release from Mead")</f>
        <v xml:space="preserve">    Shared, Reserve - Release from Mead</v>
      </c>
      <c r="C118" s="78">
        <f t="shared" ca="1" si="55"/>
        <v>0</v>
      </c>
      <c r="D118" s="78">
        <f t="shared" ca="1" si="55"/>
        <v>0</v>
      </c>
      <c r="E118" s="78">
        <f t="shared" ca="1" si="55"/>
        <v>0</v>
      </c>
      <c r="F118" s="78">
        <f t="shared" ca="1" si="55"/>
        <v>0</v>
      </c>
      <c r="G118" s="78">
        <f t="shared" ca="1" si="55"/>
        <v>0</v>
      </c>
      <c r="H118" s="78">
        <f t="shared" ca="1" si="55"/>
        <v>0</v>
      </c>
      <c r="I118" s="78">
        <f t="shared" ca="1" si="55"/>
        <v>0</v>
      </c>
      <c r="J118" s="78">
        <f t="shared" ca="1" si="55"/>
        <v>0</v>
      </c>
      <c r="K118" s="78">
        <f t="shared" ca="1" si="55"/>
        <v>0</v>
      </c>
      <c r="L118" s="78">
        <f t="shared" ca="1" si="55"/>
        <v>0</v>
      </c>
    </row>
    <row r="119" spans="1:12" x14ac:dyDescent="0.35">
      <c r="A119" t="str">
        <f>IF(A11="","","    "&amp;A11&amp;" - Release from Mead")</f>
        <v/>
      </c>
      <c r="C119" s="78" t="str">
        <f t="shared" ca="1" si="55"/>
        <v/>
      </c>
      <c r="D119" s="78" t="str">
        <f t="shared" ca="1" si="55"/>
        <v/>
      </c>
      <c r="E119" s="78" t="str">
        <f t="shared" ca="1" si="55"/>
        <v/>
      </c>
      <c r="F119" s="78" t="str">
        <f t="shared" ca="1" si="55"/>
        <v/>
      </c>
      <c r="G119" s="78" t="str">
        <f t="shared" ca="1" si="55"/>
        <v/>
      </c>
      <c r="H119" s="78" t="str">
        <f t="shared" ca="1" si="55"/>
        <v/>
      </c>
      <c r="I119" s="78" t="str">
        <f t="shared" ca="1" si="55"/>
        <v/>
      </c>
      <c r="J119" s="78" t="str">
        <f t="shared" ca="1" si="55"/>
        <v/>
      </c>
      <c r="K119" s="78" t="str">
        <f t="shared" ca="1" si="55"/>
        <v/>
      </c>
      <c r="L119" s="78" t="str">
        <f t="shared" ca="1" si="55"/>
        <v/>
      </c>
    </row>
    <row r="120" spans="1:12" x14ac:dyDescent="0.35">
      <c r="A120" s="1" t="s">
        <v>139</v>
      </c>
      <c r="B120" s="1"/>
      <c r="D120" s="2"/>
      <c r="E120" s="2"/>
      <c r="F120" s="2"/>
      <c r="G120" s="2"/>
      <c r="H120" s="2"/>
      <c r="I120" s="2"/>
      <c r="J120" s="2"/>
      <c r="K120" s="2"/>
      <c r="L120" s="2"/>
    </row>
    <row r="121" spans="1:12" x14ac:dyDescent="0.35">
      <c r="A121" t="str">
        <f t="shared" ref="A121:A126" si="56">IF(A6="","","    "&amp;A6)</f>
        <v xml:space="preserve">    Upper Basin</v>
      </c>
      <c r="C121" s="78">
        <f t="shared" ref="C121:L126" ca="1" si="57">IF(OR(C$27="",$A121=""),"",OFFSET(C$62,8*(ROW(B121)-ROW(B$121)),0))</f>
        <v>4.5233582945981317</v>
      </c>
      <c r="D121" s="78">
        <f t="shared" ca="1" si="57"/>
        <v>3.987647051522166</v>
      </c>
      <c r="E121" s="78">
        <f t="shared" ca="1" si="57"/>
        <v>3.483325910947773</v>
      </c>
      <c r="F121" s="78">
        <f t="shared" ca="1" si="57"/>
        <v>2.9964533819189265</v>
      </c>
      <c r="G121" s="78">
        <f t="shared" ca="1" si="57"/>
        <v>2.5262983372609531</v>
      </c>
      <c r="H121" s="78">
        <f t="shared" ca="1" si="57"/>
        <v>2.0723559672341807</v>
      </c>
      <c r="I121" s="78">
        <f t="shared" ca="1" si="57"/>
        <v>3.1462888923762851</v>
      </c>
      <c r="J121" s="78">
        <f t="shared" ca="1" si="57"/>
        <v>4.1664151356452086</v>
      </c>
      <c r="K121" s="78">
        <f t="shared" ca="1" si="57"/>
        <v>5.1470726802877307</v>
      </c>
      <c r="L121" s="78">
        <f t="shared" ca="1" si="57"/>
        <v>6.091038739935013</v>
      </c>
    </row>
    <row r="122" spans="1:12" x14ac:dyDescent="0.35">
      <c r="A122" t="str">
        <f t="shared" si="56"/>
        <v xml:space="preserve">    Lower Basin</v>
      </c>
      <c r="C122" s="78">
        <f t="shared" ca="1" si="57"/>
        <v>3.4916684655908359</v>
      </c>
      <c r="D122" s="78">
        <f t="shared" ca="1" si="57"/>
        <v>2.7481515343349781</v>
      </c>
      <c r="E122" s="78">
        <f t="shared" ca="1" si="57"/>
        <v>2.4201979239190976</v>
      </c>
      <c r="F122" s="78">
        <f t="shared" ca="1" si="57"/>
        <v>2.101631253244193</v>
      </c>
      <c r="G122" s="78">
        <f t="shared" ca="1" si="57"/>
        <v>1.7919028361785614</v>
      </c>
      <c r="H122" s="78">
        <f t="shared" ca="1" si="57"/>
        <v>1.4906525952698928</v>
      </c>
      <c r="I122" s="78">
        <f t="shared" ca="1" si="57"/>
        <v>1.8176652403314169</v>
      </c>
      <c r="J122" s="78">
        <f t="shared" ca="1" si="57"/>
        <v>2.0214741755526227</v>
      </c>
      <c r="K122" s="78">
        <f t="shared" ca="1" si="57"/>
        <v>2.2260553979065509</v>
      </c>
      <c r="L122" s="78">
        <f t="shared" ca="1" si="57"/>
        <v>2.4303361178821401</v>
      </c>
    </row>
    <row r="123" spans="1:12" x14ac:dyDescent="0.35">
      <c r="A123" t="str">
        <f t="shared" si="56"/>
        <v xml:space="preserve">    Mexico</v>
      </c>
      <c r="C123" s="78">
        <f t="shared" ca="1" si="57"/>
        <v>0.16557297647772518</v>
      </c>
      <c r="D123" s="78">
        <f t="shared" ca="1" si="57"/>
        <v>0.15735694647678922</v>
      </c>
      <c r="E123" s="78">
        <f t="shared" ca="1" si="57"/>
        <v>0.14931228563432986</v>
      </c>
      <c r="F123" s="78">
        <f t="shared" ca="1" si="57"/>
        <v>0.14154478800417558</v>
      </c>
      <c r="G123" s="78">
        <f t="shared" ca="1" si="57"/>
        <v>0.13404274739387745</v>
      </c>
      <c r="H123" s="78">
        <f t="shared" ca="1" si="57"/>
        <v>0.1267980923965879</v>
      </c>
      <c r="I123" s="78">
        <f t="shared" ca="1" si="57"/>
        <v>0.11980544376079982</v>
      </c>
      <c r="J123" s="78">
        <f t="shared" ca="1" si="57"/>
        <v>0.11343180193791169</v>
      </c>
      <c r="K123" s="78">
        <f t="shared" ca="1" si="57"/>
        <v>0.10756577910815412</v>
      </c>
      <c r="L123" s="78">
        <f t="shared" ca="1" si="57"/>
        <v>0.10214095115254884</v>
      </c>
    </row>
    <row r="124" spans="1:12" x14ac:dyDescent="0.35">
      <c r="A124" t="str">
        <f t="shared" si="56"/>
        <v xml:space="preserve">    Mohave &amp; Havasu Evap &amp; ET</v>
      </c>
      <c r="C124" s="78">
        <f t="shared" ca="1" si="57"/>
        <v>0</v>
      </c>
      <c r="D124" s="78">
        <f t="shared" ca="1" si="57"/>
        <v>0</v>
      </c>
      <c r="E124" s="78">
        <f t="shared" ca="1" si="57"/>
        <v>0</v>
      </c>
      <c r="F124" s="78">
        <f t="shared" ca="1" si="57"/>
        <v>0</v>
      </c>
      <c r="G124" s="78">
        <f t="shared" ca="1" si="57"/>
        <v>0</v>
      </c>
      <c r="H124" s="78">
        <f t="shared" ca="1" si="57"/>
        <v>0</v>
      </c>
      <c r="I124" s="78">
        <f t="shared" ca="1" si="57"/>
        <v>0</v>
      </c>
      <c r="J124" s="78">
        <f t="shared" ca="1" si="57"/>
        <v>0</v>
      </c>
      <c r="K124" s="78">
        <f t="shared" ca="1" si="57"/>
        <v>0</v>
      </c>
      <c r="L124" s="78">
        <f t="shared" ca="1" si="57"/>
        <v>0</v>
      </c>
    </row>
    <row r="125" spans="1:12" x14ac:dyDescent="0.35">
      <c r="A125" t="str">
        <f t="shared" si="56"/>
        <v xml:space="preserve">    Shared, Reserve</v>
      </c>
      <c r="C125" s="78">
        <f t="shared" ca="1" si="57"/>
        <v>11.59116925</v>
      </c>
      <c r="D125" s="78">
        <f t="shared" ca="1" si="57"/>
        <v>11.59116925</v>
      </c>
      <c r="E125" s="78">
        <f t="shared" ca="1" si="57"/>
        <v>11.59116925</v>
      </c>
      <c r="F125" s="78">
        <f t="shared" ca="1" si="57"/>
        <v>11.59116925</v>
      </c>
      <c r="G125" s="78">
        <f t="shared" ca="1" si="57"/>
        <v>11.59116925</v>
      </c>
      <c r="H125" s="78">
        <f t="shared" ca="1" si="57"/>
        <v>11.59116925</v>
      </c>
      <c r="I125" s="78">
        <f t="shared" ca="1" si="57"/>
        <v>11.59116925</v>
      </c>
      <c r="J125" s="78">
        <f t="shared" ca="1" si="57"/>
        <v>11.59116925</v>
      </c>
      <c r="K125" s="78">
        <f t="shared" ca="1" si="57"/>
        <v>11.59116925</v>
      </c>
      <c r="L125" s="78">
        <f t="shared" ca="1" si="57"/>
        <v>11.59116925</v>
      </c>
    </row>
    <row r="126" spans="1:12" x14ac:dyDescent="0.35">
      <c r="A126" t="str">
        <f t="shared" si="56"/>
        <v/>
      </c>
      <c r="C126" s="78" t="str">
        <f t="shared" ca="1" si="57"/>
        <v/>
      </c>
      <c r="D126" s="78" t="str">
        <f t="shared" ca="1" si="57"/>
        <v/>
      </c>
      <c r="E126" s="78" t="str">
        <f t="shared" ca="1" si="57"/>
        <v/>
      </c>
      <c r="F126" s="78" t="str">
        <f t="shared" ca="1" si="57"/>
        <v/>
      </c>
      <c r="G126" s="78" t="str">
        <f t="shared" ca="1" si="57"/>
        <v/>
      </c>
      <c r="H126" s="78" t="str">
        <f t="shared" ca="1" si="57"/>
        <v/>
      </c>
      <c r="I126" s="78" t="str">
        <f t="shared" ca="1" si="57"/>
        <v/>
      </c>
      <c r="J126" s="78" t="str">
        <f t="shared" ca="1" si="57"/>
        <v/>
      </c>
      <c r="K126" s="78" t="str">
        <f t="shared" ca="1" si="57"/>
        <v/>
      </c>
      <c r="L126" s="78" t="str">
        <f t="shared" ca="1" si="57"/>
        <v/>
      </c>
    </row>
    <row r="127" spans="1:12" x14ac:dyDescent="0.35">
      <c r="A127" s="1" t="s">
        <v>123</v>
      </c>
      <c r="B127" s="1"/>
      <c r="C127" s="14">
        <f ca="1">IF(C$27&lt;&gt;"",SUM(C121:C126),"")</f>
        <v>19.771768986666693</v>
      </c>
      <c r="D127" s="14">
        <f t="shared" ref="D127:L127" ca="1" si="58">IF(D$27&lt;&gt;"",SUM(D121:D126),"")</f>
        <v>18.484324782333935</v>
      </c>
      <c r="E127" s="14">
        <f t="shared" ca="1" si="58"/>
        <v>17.644005370501201</v>
      </c>
      <c r="F127" s="14">
        <f t="shared" ca="1" si="58"/>
        <v>16.830798673167294</v>
      </c>
      <c r="G127" s="14">
        <f t="shared" ca="1" si="58"/>
        <v>16.043413170833393</v>
      </c>
      <c r="H127" s="14">
        <f t="shared" ca="1" si="58"/>
        <v>15.280975904900661</v>
      </c>
      <c r="I127" s="14">
        <f t="shared" ca="1" si="58"/>
        <v>16.674928826468502</v>
      </c>
      <c r="J127" s="14">
        <f t="shared" ca="1" si="58"/>
        <v>17.892490363135742</v>
      </c>
      <c r="K127" s="14">
        <f t="shared" ca="1" si="58"/>
        <v>19.071863107302434</v>
      </c>
      <c r="L127" s="14">
        <f t="shared" ca="1" si="58"/>
        <v>20.214685058969703</v>
      </c>
    </row>
    <row r="128" spans="1:12" x14ac:dyDescent="0.35">
      <c r="A128" s="1" t="s">
        <v>206</v>
      </c>
      <c r="B128" s="1"/>
      <c r="C128" s="87">
        <v>0.5</v>
      </c>
      <c r="D128" s="87">
        <v>0.5</v>
      </c>
      <c r="E128" s="87">
        <v>0.5</v>
      </c>
      <c r="F128" s="87">
        <v>0.5</v>
      </c>
      <c r="G128" s="87">
        <v>0.5</v>
      </c>
      <c r="H128" s="87">
        <v>0.5</v>
      </c>
      <c r="I128" s="87">
        <v>0.5</v>
      </c>
      <c r="J128" s="87">
        <v>0.5</v>
      </c>
      <c r="K128" s="87">
        <v>0.5</v>
      </c>
      <c r="L128" s="87">
        <v>0.5</v>
      </c>
    </row>
    <row r="129" spans="1:14" x14ac:dyDescent="0.35">
      <c r="A129" s="1" t="s">
        <v>202</v>
      </c>
      <c r="B129" s="1"/>
      <c r="C129" s="14">
        <f ca="1">IF(C27="","",C$128*C$127)</f>
        <v>9.8858844933333465</v>
      </c>
      <c r="D129" s="14">
        <f t="shared" ref="D129:L129" ca="1" si="59">IF(D27="","",D$128*D$127)</f>
        <v>9.2421623911669677</v>
      </c>
      <c r="E129" s="14">
        <f t="shared" ca="1" si="59"/>
        <v>8.8220026852506006</v>
      </c>
      <c r="F129" s="14">
        <f t="shared" ca="1" si="59"/>
        <v>8.415399336583647</v>
      </c>
      <c r="G129" s="14">
        <f t="shared" ca="1" si="59"/>
        <v>8.0217065854166965</v>
      </c>
      <c r="H129" s="14">
        <f t="shared" ca="1" si="59"/>
        <v>7.6404879524503304</v>
      </c>
      <c r="I129" s="14">
        <f t="shared" ca="1" si="59"/>
        <v>8.337464413234251</v>
      </c>
      <c r="J129" s="14">
        <f t="shared" ca="1" si="59"/>
        <v>8.9462451815678712</v>
      </c>
      <c r="K129" s="14">
        <f t="shared" ca="1" si="59"/>
        <v>9.535931553651217</v>
      </c>
      <c r="L129" s="14">
        <f t="shared" ca="1" si="59"/>
        <v>10.107342529484852</v>
      </c>
    </row>
    <row r="130" spans="1:14" x14ac:dyDescent="0.35">
      <c r="A130" s="1" t="s">
        <v>203</v>
      </c>
      <c r="B130" s="1"/>
      <c r="C130" s="14">
        <f ca="1">IF(C28="","",(1-C$128)*C$127)</f>
        <v>9.8858844933333465</v>
      </c>
      <c r="D130" s="14">
        <f t="shared" ref="D130:L130" ca="1" si="60">IF(D28="","",(1-D$128)*D$127)</f>
        <v>9.2421623911669677</v>
      </c>
      <c r="E130" s="14">
        <f t="shared" ca="1" si="60"/>
        <v>8.8220026852506006</v>
      </c>
      <c r="F130" s="14">
        <f t="shared" ca="1" si="60"/>
        <v>8.415399336583647</v>
      </c>
      <c r="G130" s="14">
        <f t="shared" ca="1" si="60"/>
        <v>8.0217065854166965</v>
      </c>
      <c r="H130" s="14">
        <f t="shared" ca="1" si="60"/>
        <v>7.6404879524503304</v>
      </c>
      <c r="I130" s="14">
        <f t="shared" ca="1" si="60"/>
        <v>8.337464413234251</v>
      </c>
      <c r="J130" s="14">
        <f t="shared" ca="1" si="60"/>
        <v>8.9462451815678712</v>
      </c>
      <c r="K130" s="14">
        <f t="shared" ca="1" si="60"/>
        <v>9.535931553651217</v>
      </c>
      <c r="L130" s="14">
        <f t="shared" ca="1" si="60"/>
        <v>10.107342529484852</v>
      </c>
    </row>
    <row r="131" spans="1:14" x14ac:dyDescent="0.35">
      <c r="A131" s="32" t="s">
        <v>305</v>
      </c>
      <c r="B131" s="1"/>
      <c r="C131" s="141">
        <f ca="1">IF(C$27&lt;&gt;"",VLOOKUP(C129*1000000,'Powell-Elevation-Area'!$B$5:$H$689,7),"")</f>
        <v>3579</v>
      </c>
      <c r="D131" s="141">
        <f ca="1">IF(D$27&lt;&gt;"",VLOOKUP(D129*1000000,'Powell-Elevation-Area'!$B$5:$H$689,7),"")</f>
        <v>3571.5</v>
      </c>
      <c r="E131" s="141">
        <f ca="1">IF(E$27&lt;&gt;"",VLOOKUP(E129*1000000,'Powell-Elevation-Area'!$B$5:$H$689,7),"")</f>
        <v>3566</v>
      </c>
      <c r="F131" s="141">
        <f ca="1">IF(F$27&lt;&gt;"",VLOOKUP(F129*1000000,'Powell-Elevation-Area'!$B$5:$H$689,7),"")</f>
        <v>3561</v>
      </c>
      <c r="G131" s="141">
        <f ca="1">IF(G$27&lt;&gt;"",VLOOKUP(G129*1000000,'Powell-Elevation-Area'!$B$5:$H$689,7),"")</f>
        <v>3555.5</v>
      </c>
      <c r="H131" s="141">
        <f ca="1">IF(H$27&lt;&gt;"",VLOOKUP(H129*1000000,'Powell-Elevation-Area'!$B$5:$H$689,7),"")</f>
        <v>3550.5</v>
      </c>
      <c r="I131" s="141">
        <f ca="1">IF(I$27&lt;&gt;"",VLOOKUP(I129*1000000,'Powell-Elevation-Area'!$B$5:$H$689,7),"")</f>
        <v>3560</v>
      </c>
      <c r="J131" s="141">
        <f ca="1">IF(J$27&lt;&gt;"",VLOOKUP(J129*1000000,'Powell-Elevation-Area'!$B$5:$H$689,7),"")</f>
        <v>3567.5</v>
      </c>
      <c r="K131" s="141">
        <f ca="1">IF(K$27&lt;&gt;"",VLOOKUP(K129*1000000,'Powell-Elevation-Area'!$B$5:$H$689,7),"")</f>
        <v>3575</v>
      </c>
      <c r="L131" s="141">
        <f ca="1">IF(L$27&lt;&gt;"",VLOOKUP(L129*1000000,'Powell-Elevation-Area'!$B$5:$H$689,7),"")</f>
        <v>3581.5</v>
      </c>
    </row>
    <row r="132" spans="1:14" x14ac:dyDescent="0.35">
      <c r="A132" s="32" t="s">
        <v>306</v>
      </c>
      <c r="B132" s="1"/>
      <c r="C132" s="141">
        <f ca="1">IF(C$27&lt;&gt;"",VLOOKUP(C130*1000000,'Mead-Elevation-Area'!$B$5:$H$689,7),"")</f>
        <v>1078</v>
      </c>
      <c r="D132" s="141">
        <f ca="1">IF(D$27&lt;&gt;"",VLOOKUP(D130*1000000,'Mead-Elevation-Area'!$B$5:$H$689,7),"")</f>
        <v>1070.5</v>
      </c>
      <c r="E132" s="141">
        <f ca="1">IF(E$27&lt;&gt;"",VLOOKUP(E130*1000000,'Mead-Elevation-Area'!$B$5:$H$689,7),"")</f>
        <v>1065</v>
      </c>
      <c r="F132" s="141">
        <f ca="1">IF(F$27&lt;&gt;"",VLOOKUP(F130*1000000,'Mead-Elevation-Area'!$B$5:$H$689,7),"")</f>
        <v>1059.5</v>
      </c>
      <c r="G132" s="141">
        <f ca="1">IF(G$27&lt;&gt;"",VLOOKUP(G130*1000000,'Mead-Elevation-Area'!$B$5:$H$689,7),"")</f>
        <v>1054.5</v>
      </c>
      <c r="H132" s="141">
        <f ca="1">IF(H$27&lt;&gt;"",VLOOKUP(H130*1000000,'Mead-Elevation-Area'!$B$5:$H$689,7),"")</f>
        <v>1049</v>
      </c>
      <c r="I132" s="141">
        <f ca="1">IF(I$27&lt;&gt;"",VLOOKUP(I130*1000000,'Mead-Elevation-Area'!$B$5:$H$689,7),"")</f>
        <v>1058.5</v>
      </c>
      <c r="J132" s="141">
        <f ca="1">IF(J$27&lt;&gt;"",VLOOKUP(J130*1000000,'Mead-Elevation-Area'!$B$5:$H$689,7),"")</f>
        <v>1066.5</v>
      </c>
      <c r="K132" s="141">
        <f ca="1">IF(K$27&lt;&gt;"",VLOOKUP(K130*1000000,'Mead-Elevation-Area'!$B$5:$H$689,7),"")</f>
        <v>1074</v>
      </c>
      <c r="L132" s="141">
        <f ca="1">IF(L$27&lt;&gt;"",VLOOKUP(L130*1000000,'Mead-Elevation-Area'!$B$5:$H$689,7),"")</f>
        <v>1081</v>
      </c>
    </row>
    <row r="133" spans="1:14" x14ac:dyDescent="0.35">
      <c r="A133" s="1" t="s">
        <v>319</v>
      </c>
      <c r="B133" s="1"/>
      <c r="C133"/>
    </row>
    <row r="134" spans="1:14" x14ac:dyDescent="0.35">
      <c r="A134" s="32" t="s">
        <v>320</v>
      </c>
      <c r="B134" s="1"/>
      <c r="C134" s="14">
        <f ca="1">IF(C$27&lt;&gt;"",-C129+C37+C27-C61-VLOOKUP(C37*1000000,'Powell-Elevation-Area'!$B$5:$D$689,3)*$B$21/1000000,"")</f>
        <v>8.7912186266660797</v>
      </c>
      <c r="D134" s="14">
        <f ca="1">IF(D$27&lt;&gt;"",-D129+D37+D27-D61-VLOOKUP(D37*1000000,'Powell-Elevation-Area'!$B$5:$D$689,3)*$B$21/1000000,"")</f>
        <v>8.3556252311669503</v>
      </c>
      <c r="E134" s="14">
        <f ca="1">IF(E$27&lt;&gt;"",-E129+E37+E27-E61-VLOOKUP(E37*1000000,'Powell-Elevation-Area'!$B$5:$D$689,3)*$B$21/1000000,"")</f>
        <v>8.1528756274163676</v>
      </c>
      <c r="F134" s="14">
        <f ca="1">IF(F$27&lt;&gt;"",-F129+F37+F27-F61-VLOOKUP(F37*1000000,'Powell-Elevation-Area'!$B$5:$D$689,3)*$B$21/1000000,"")</f>
        <v>8.1545819846663807</v>
      </c>
      <c r="G134" s="14">
        <f ca="1">IF(G$27&lt;&gt;"",-G129+G37+G27-G61-VLOOKUP(G37*1000000,'Powell-Elevation-Area'!$B$5:$D$689,3)*$B$21/1000000,"")</f>
        <v>8.1555465821663784</v>
      </c>
      <c r="H134" s="14">
        <f ca="1">IF(H$27&lt;&gt;"",-H129+H37+H27-H61-VLOOKUP(H37*1000000,'Powell-Elevation-Area'!$B$5:$D$689,3)*$B$21/1000000,"")</f>
        <v>8.1571607003663651</v>
      </c>
      <c r="I134" s="14">
        <f ca="1">IF(I$27&lt;&gt;"",-I129+I37+I27-I61-VLOOKUP(I37*1000000,'Powell-Elevation-Area'!$B$5:$D$689,3)*$B$21/1000000,"")</f>
        <v>9.0915357941166537</v>
      </c>
      <c r="J134" s="14">
        <f ca="1">IF(J$27&lt;&gt;"",-J129+J37+J27-J61-VLOOKUP(J37*1000000,'Powell-Elevation-Area'!$B$5:$D$689,3)*$B$21/1000000,"")</f>
        <v>9.1558481016669528</v>
      </c>
      <c r="K134" s="14">
        <f ca="1">IF(K$27&lt;&gt;"",-K129+K37+K27-K61-VLOOKUP(K37*1000000,'Powell-Elevation-Area'!$B$5:$D$689,3)*$B$21/1000000,"")</f>
        <v>9.1541297054160804</v>
      </c>
      <c r="L134" s="14">
        <f ca="1">IF(L$27&lt;&gt;"",-L129+L37+L27-L61-VLOOKUP(L37*1000000,'Powell-Elevation-Area'!$B$5:$D$689,3)*$B$21/1000000,"")</f>
        <v>9.1515923091663662</v>
      </c>
      <c r="N134" t="s">
        <v>204</v>
      </c>
    </row>
    <row r="135" spans="1:14" x14ac:dyDescent="0.35">
      <c r="A135" s="32" t="s">
        <v>321</v>
      </c>
      <c r="B135" s="1"/>
      <c r="C135" s="141" t="str">
        <f ca="1">IF(C$27&lt;&gt;"",VLOOKUP(C131,PowellReleaseTemperature!$A$5:$B$11,2),"")</f>
        <v>&lt; 18</v>
      </c>
      <c r="D135" s="141" t="str">
        <f ca="1">IF(D$27&lt;&gt;"",VLOOKUP(D131,PowellReleaseTemperature!$A$5:$B$11,2),"")</f>
        <v>&lt; 18</v>
      </c>
      <c r="E135" s="141" t="str">
        <f ca="1">IF(E$27&lt;&gt;"",VLOOKUP(E131,PowellReleaseTemperature!$A$5:$B$11,2),"")</f>
        <v>&lt; 18</v>
      </c>
      <c r="F135" s="141" t="str">
        <f ca="1">IF(F$27&lt;&gt;"",VLOOKUP(F131,PowellReleaseTemperature!$A$5:$B$11,2),"")</f>
        <v>&lt; 18</v>
      </c>
      <c r="G135" s="141" t="str">
        <f ca="1">IF(G$27&lt;&gt;"",VLOOKUP(G131,PowellReleaseTemperature!$A$5:$B$11,2),"")</f>
        <v>&lt; 18</v>
      </c>
      <c r="H135" s="141" t="str">
        <f ca="1">IF(H$27&lt;&gt;"",VLOOKUP(H131,PowellReleaseTemperature!$A$5:$B$11,2),"")</f>
        <v>&lt; 18</v>
      </c>
      <c r="I135" s="141" t="str">
        <f ca="1">IF(I$27&lt;&gt;"",VLOOKUP(I131,PowellReleaseTemperature!$A$5:$B$11,2),"")</f>
        <v>&lt; 18</v>
      </c>
      <c r="J135" s="141" t="str">
        <f ca="1">IF(J$27&lt;&gt;"",VLOOKUP(J131,PowellReleaseTemperature!$A$5:$B$11,2),"")</f>
        <v>&lt; 18</v>
      </c>
      <c r="K135" s="141" t="str">
        <f ca="1">IF(K$27&lt;&gt;"",VLOOKUP(K131,PowellReleaseTemperature!$A$5:$B$11,2),"")</f>
        <v>&lt; 18</v>
      </c>
      <c r="L135" s="141" t="str">
        <f ca="1">IF(L$27&lt;&gt;"",VLOOKUP(L131,PowellReleaseTemperature!$A$5:$B$11,2),"")</f>
        <v>&lt; 18</v>
      </c>
      <c r="N135" t="s">
        <v>326</v>
      </c>
    </row>
    <row r="136" spans="1:14" ht="15.5" customHeight="1" x14ac:dyDescent="0.35">
      <c r="C136" s="29"/>
    </row>
    <row r="137" spans="1:14" x14ac:dyDescent="0.35">
      <c r="A137" s="1" t="s">
        <v>125</v>
      </c>
      <c r="C137" s="12">
        <f>IF(C$27&lt;&gt;"",0.2,"")</f>
        <v>0.2</v>
      </c>
      <c r="D137" s="12">
        <f t="shared" ref="D137:L137" si="61">IF(D$27&lt;&gt;"",0.2,"")</f>
        <v>0.2</v>
      </c>
      <c r="E137" s="12">
        <f t="shared" si="61"/>
        <v>0.2</v>
      </c>
      <c r="F137" s="12">
        <f t="shared" si="61"/>
        <v>0.2</v>
      </c>
      <c r="G137" s="12">
        <f t="shared" si="61"/>
        <v>0.2</v>
      </c>
      <c r="H137" s="12">
        <f t="shared" si="61"/>
        <v>0.2</v>
      </c>
      <c r="I137" s="12">
        <f t="shared" si="61"/>
        <v>0.2</v>
      </c>
      <c r="J137" s="12">
        <f t="shared" si="61"/>
        <v>0.2</v>
      </c>
      <c r="K137" s="12">
        <f t="shared" si="61"/>
        <v>0.2</v>
      </c>
      <c r="L137" s="12">
        <f t="shared" si="61"/>
        <v>0.2</v>
      </c>
    </row>
    <row r="138" spans="1:14" x14ac:dyDescent="0.35">
      <c r="A138" t="s">
        <v>126</v>
      </c>
      <c r="C138" s="14">
        <f t="shared" ref="C138:L138" ca="1" si="62">IF(C$27&lt;&gt;"",C115+C137,"")</f>
        <v>7.4590000000000005</v>
      </c>
      <c r="D138" s="14">
        <f t="shared" ca="1" si="62"/>
        <v>7.4590000000000005</v>
      </c>
      <c r="E138" s="14">
        <f t="shared" ca="1" si="62"/>
        <v>7.0870000000000006</v>
      </c>
      <c r="F138" s="14">
        <f t="shared" ca="1" si="62"/>
        <v>7.0870000000000006</v>
      </c>
      <c r="G138" s="14">
        <f t="shared" ca="1" si="62"/>
        <v>7.0870000000000006</v>
      </c>
      <c r="H138" s="14">
        <f t="shared" ca="1" si="62"/>
        <v>7.0870000000000006</v>
      </c>
      <c r="I138" s="14">
        <f t="shared" ca="1" si="62"/>
        <v>6.9790000000000001</v>
      </c>
      <c r="J138" s="14">
        <f t="shared" ca="1" si="62"/>
        <v>7.0870000000000006</v>
      </c>
      <c r="K138" s="14">
        <f t="shared" ca="1" si="62"/>
        <v>7.0870000000000006</v>
      </c>
      <c r="L138" s="14">
        <f t="shared" ca="1" si="62"/>
        <v>7.0870000000000006</v>
      </c>
    </row>
    <row r="140" spans="1:14" x14ac:dyDescent="0.35">
      <c r="D140"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94" priority="33" operator="greaterThan">
      <formula>$C$60</formula>
    </cfRule>
  </conditionalFormatting>
  <conditionalFormatting sqref="C69:L69">
    <cfRule type="cellIs" dxfId="93" priority="31" operator="greaterThan">
      <formula>$C$68</formula>
    </cfRule>
  </conditionalFormatting>
  <conditionalFormatting sqref="C77:L77">
    <cfRule type="cellIs" dxfId="92" priority="30" operator="greaterThan">
      <formula>$C$76</formula>
    </cfRule>
  </conditionalFormatting>
  <conditionalFormatting sqref="C85">
    <cfRule type="cellIs" dxfId="91" priority="29" operator="greaterThan">
      <formula>$C$84</formula>
    </cfRule>
  </conditionalFormatting>
  <conditionalFormatting sqref="D85">
    <cfRule type="cellIs" dxfId="90" priority="28" operator="greaterThan">
      <formula>$D$84</formula>
    </cfRule>
  </conditionalFormatting>
  <conditionalFormatting sqref="E85">
    <cfRule type="cellIs" dxfId="89" priority="27" operator="greaterThan">
      <formula>$E$84</formula>
    </cfRule>
  </conditionalFormatting>
  <conditionalFormatting sqref="F85">
    <cfRule type="cellIs" dxfId="88" priority="26" operator="greaterThan">
      <formula>$F$84</formula>
    </cfRule>
  </conditionalFormatting>
  <conditionalFormatting sqref="G85:L85">
    <cfRule type="cellIs" dxfId="87" priority="25" operator="greaterThan">
      <formula>$G$84</formula>
    </cfRule>
  </conditionalFormatting>
  <conditionalFormatting sqref="C93">
    <cfRule type="cellIs" dxfId="86" priority="24" operator="greaterThan">
      <formula>$C$92</formula>
    </cfRule>
  </conditionalFormatting>
  <conditionalFormatting sqref="D93">
    <cfRule type="cellIs" dxfId="85" priority="23" operator="greaterThan">
      <formula>$D$92</formula>
    </cfRule>
  </conditionalFormatting>
  <conditionalFormatting sqref="E93">
    <cfRule type="cellIs" dxfId="84" priority="22" operator="greaterThan">
      <formula>$E$92</formula>
    </cfRule>
  </conditionalFormatting>
  <conditionalFormatting sqref="F93">
    <cfRule type="cellIs" dxfId="83" priority="21" operator="greaterThan">
      <formula>$F$92</formula>
    </cfRule>
  </conditionalFormatting>
  <conditionalFormatting sqref="G93">
    <cfRule type="cellIs" dxfId="82" priority="20" operator="greaterThan">
      <formula>$G$92</formula>
    </cfRule>
  </conditionalFormatting>
  <conditionalFormatting sqref="H93">
    <cfRule type="cellIs" dxfId="81" priority="19" operator="greaterThan">
      <formula>$H$92</formula>
    </cfRule>
  </conditionalFormatting>
  <conditionalFormatting sqref="I93">
    <cfRule type="cellIs" dxfId="80" priority="18" operator="greaterThan">
      <formula>$I$92</formula>
    </cfRule>
  </conditionalFormatting>
  <conditionalFormatting sqref="J93">
    <cfRule type="cellIs" dxfId="79" priority="17" operator="greaterThan">
      <formula>$J$92</formula>
    </cfRule>
  </conditionalFormatting>
  <conditionalFormatting sqref="K93">
    <cfRule type="cellIs" dxfId="78" priority="16" operator="greaterThan">
      <formula>$K$92</formula>
    </cfRule>
  </conditionalFormatting>
  <conditionalFormatting sqref="L93">
    <cfRule type="cellIs" dxfId="77" priority="15" operator="greaterThan">
      <formula>$L$92</formula>
    </cfRule>
  </conditionalFormatting>
  <conditionalFormatting sqref="C101">
    <cfRule type="cellIs" dxfId="76" priority="14" operator="greaterThan">
      <formula>$C$100</formula>
    </cfRule>
  </conditionalFormatting>
  <conditionalFormatting sqref="D101">
    <cfRule type="cellIs" dxfId="75" priority="13" operator="greaterThan">
      <formula>$D$100</formula>
    </cfRule>
  </conditionalFormatting>
  <conditionalFormatting sqref="E101">
    <cfRule type="cellIs" dxfId="74" priority="12" operator="greaterThan">
      <formula>$E$100</formula>
    </cfRule>
  </conditionalFormatting>
  <conditionalFormatting sqref="F101">
    <cfRule type="cellIs" dxfId="73" priority="11" operator="greaterThan">
      <formula>$F$100</formula>
    </cfRule>
  </conditionalFormatting>
  <conditionalFormatting sqref="G101">
    <cfRule type="cellIs" dxfId="72" priority="10" operator="greaterThan">
      <formula>$G$100</formula>
    </cfRule>
  </conditionalFormatting>
  <conditionalFormatting sqref="H101">
    <cfRule type="cellIs" dxfId="71" priority="9" operator="greaterThan">
      <formula>$H$100</formula>
    </cfRule>
  </conditionalFormatting>
  <conditionalFormatting sqref="I101">
    <cfRule type="cellIs" dxfId="70" priority="8" operator="greaterThan">
      <formula>$I$100</formula>
    </cfRule>
  </conditionalFormatting>
  <conditionalFormatting sqref="J101">
    <cfRule type="cellIs" dxfId="69" priority="7" operator="greaterThan">
      <formula>$J$100</formula>
    </cfRule>
  </conditionalFormatting>
  <conditionalFormatting sqref="K101">
    <cfRule type="cellIs" dxfId="68" priority="6" operator="greaterThan">
      <formula>$K$100</formula>
    </cfRule>
  </conditionalFormatting>
  <conditionalFormatting sqref="L101">
    <cfRule type="cellIs" dxfId="67" priority="5"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F3FDB18B-23B0-4342-9290-BC994104115C}">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 xmlns:xm="http://schemas.microsoft.com/office/excel/2006/main">
          <x14:cfRule type="cellIs" priority="1" operator="equal" id="{D7CF1CC2-3B31-400A-B5AD-A489CAD4EA60}">
            <xm:f>PowellReleaseTemperature!$B$7</xm:f>
            <x14:dxf>
              <font>
                <color auto="1"/>
              </font>
              <fill>
                <patternFill>
                  <bgColor rgb="FFFF0000"/>
                </patternFill>
              </fill>
            </x14:dxf>
          </x14:cfRule>
          <x14:cfRule type="cellIs" priority="2" operator="equal" id="{8524DC6A-41AB-4FEA-8660-75526D11765F}">
            <xm:f>PowellReleaseTemperature!$B$8</xm:f>
            <x14:dxf>
              <font>
                <color rgb="FF9C0006"/>
              </font>
              <fill>
                <patternFill>
                  <bgColor rgb="FFFFC7CE"/>
                </patternFill>
              </fill>
            </x14:dxf>
          </x14:cfRule>
          <x14:cfRule type="cellIs" priority="3" operator="equal" id="{ED9EFE96-C45F-40AA-A3B5-539669D719FB}">
            <xm:f>PowellReleaseTemperature!$B$9</xm:f>
            <x14:dxf>
              <font>
                <color auto="1"/>
              </font>
              <fill>
                <patternFill>
                  <bgColor theme="4" tint="0.39994506668294322"/>
                </patternFill>
              </fill>
            </x14:dxf>
          </x14:cfRule>
          <x14:cfRule type="cellIs" priority="4" operator="equal" id="{2DE9CD6A-C964-4D7E-8D4B-898317911C5D}">
            <xm:f>PowellReleaseTemperature!$B$10</xm:f>
            <x14:dxf>
              <font>
                <color auto="1"/>
              </font>
              <fill>
                <patternFill>
                  <bgColor theme="8" tint="-0.499984740745262"/>
                </patternFill>
              </fill>
            </x14:dxf>
          </x14:cfRule>
          <xm:sqref>C135:L135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ReadMe-Directions</vt:lpstr>
      <vt:lpstr>Versions</vt:lpstr>
      <vt:lpstr>Master</vt:lpstr>
      <vt:lpstr>Master-Today</vt:lpstr>
      <vt:lpstr>8.5-Trade</vt:lpstr>
      <vt:lpstr>8.5-LawOfRiver</vt:lpstr>
      <vt:lpstr>8.5-Plots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2021-07-26T22:32:19Z</dcterms:modified>
</cp:coreProperties>
</file>