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MeadInflowSimulations\"/>
    </mc:Choice>
  </mc:AlternateContent>
  <xr:revisionPtr revIDLastSave="0" documentId="13_ncr:1_{EEEB2F49-BA1F-4FD9-B2CC-A7926BFAB544}" xr6:coauthVersionLast="36" xr6:coauthVersionMax="36" xr10:uidLastSave="{00000000-0000-0000-0000-000000000000}"/>
  <bookViews>
    <workbookView xWindow="0" yWindow="0" windowWidth="19200" windowHeight="8950" activeTab="1" xr2:uid="{B7E24150-B936-4491-85FE-E2B15A6311EA}"/>
  </bookViews>
  <sheets>
    <sheet name="ShareOfInflowByElevation" sheetId="2" r:id="rId1"/>
    <sheet name="ShareOfInflowByInflowVolume" sheetId="3" r:id="rId2"/>
    <sheet name="LowerBasinCut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3" l="1"/>
  <c r="K21" i="3" s="1"/>
  <c r="I22" i="3"/>
  <c r="I21" i="3"/>
  <c r="H18" i="3"/>
  <c r="H19" i="3"/>
  <c r="H20" i="3"/>
  <c r="H21" i="3"/>
  <c r="C21" i="3"/>
  <c r="C20" i="3"/>
  <c r="C19" i="3"/>
  <c r="C18" i="3"/>
  <c r="B21" i="3"/>
  <c r="B20" i="3"/>
  <c r="B19" i="3"/>
  <c r="B18" i="3"/>
  <c r="B14" i="3"/>
  <c r="C14" i="3" s="1"/>
  <c r="B13" i="3"/>
  <c r="D13" i="3" s="1"/>
  <c r="B12" i="3"/>
  <c r="E12" i="3" s="1"/>
  <c r="B11" i="3"/>
  <c r="F11" i="3" s="1"/>
  <c r="F21" i="3"/>
  <c r="C13" i="3"/>
  <c r="G13" i="3"/>
  <c r="H13" i="3"/>
  <c r="I13" i="3"/>
  <c r="J13" i="3"/>
  <c r="K13" i="3"/>
  <c r="L13" i="3"/>
  <c r="M13" i="3"/>
  <c r="L21" i="3" l="1"/>
  <c r="J20" i="3"/>
  <c r="J19" i="3" s="1"/>
  <c r="J18" i="3" s="1"/>
  <c r="I20" i="3"/>
  <c r="I19" i="3" s="1"/>
  <c r="I18" i="3" s="1"/>
  <c r="H22" i="3"/>
  <c r="F19" i="3"/>
  <c r="G21" i="3"/>
  <c r="G19" i="3"/>
  <c r="E14" i="3"/>
  <c r="J14" i="3"/>
  <c r="I14" i="3"/>
  <c r="M14" i="3"/>
  <c r="L14" i="3"/>
  <c r="D14" i="3"/>
  <c r="H14" i="3"/>
  <c r="G14" i="3"/>
  <c r="F14" i="3"/>
  <c r="K14" i="3"/>
  <c r="F13" i="3"/>
  <c r="E13" i="3"/>
  <c r="C12" i="3"/>
  <c r="D12" i="3"/>
  <c r="I12" i="3"/>
  <c r="G12" i="3"/>
  <c r="F12" i="3"/>
  <c r="L12" i="3"/>
  <c r="K12" i="3"/>
  <c r="J12" i="3"/>
  <c r="H12" i="3"/>
  <c r="M12" i="3"/>
  <c r="J11" i="3"/>
  <c r="H11" i="3"/>
  <c r="E11" i="3"/>
  <c r="D11" i="3"/>
  <c r="K11" i="3"/>
  <c r="I11" i="3"/>
  <c r="G11" i="3"/>
  <c r="M11" i="3"/>
  <c r="L11" i="3"/>
  <c r="C11" i="3"/>
  <c r="E18" i="3"/>
  <c r="E20" i="3"/>
  <c r="F18" i="3"/>
  <c r="F20" i="3"/>
  <c r="G18" i="3"/>
  <c r="D18" i="3"/>
  <c r="D20" i="3"/>
  <c r="G20" i="3"/>
  <c r="D19" i="3"/>
  <c r="D21" i="3"/>
  <c r="E19" i="3"/>
  <c r="E21" i="3"/>
  <c r="C27" i="2"/>
  <c r="M21" i="3" l="1"/>
  <c r="K20" i="3"/>
  <c r="K19" i="3" s="1"/>
  <c r="K18" i="3" s="1"/>
  <c r="D26" i="2"/>
  <c r="E26" i="2"/>
  <c r="G26" i="2" s="1"/>
  <c r="F26" i="2"/>
  <c r="C26" i="2"/>
  <c r="O9" i="2"/>
  <c r="N11" i="2"/>
  <c r="O11" i="2"/>
  <c r="K11" i="2"/>
  <c r="L11" i="2"/>
  <c r="M11" i="2"/>
  <c r="A25" i="2"/>
  <c r="B11" i="2"/>
  <c r="A11" i="2"/>
  <c r="A15" i="2"/>
  <c r="B15" i="2"/>
  <c r="J15" i="2" s="1"/>
  <c r="C15" i="2"/>
  <c r="D15" i="2"/>
  <c r="E15" i="2"/>
  <c r="F15" i="2"/>
  <c r="A16" i="2"/>
  <c r="I16" i="2" s="1"/>
  <c r="B16" i="2"/>
  <c r="J16" i="2" s="1"/>
  <c r="C16" i="2"/>
  <c r="D16" i="2"/>
  <c r="E16" i="2"/>
  <c r="F16" i="2"/>
  <c r="A17" i="2"/>
  <c r="I17" i="2" s="1"/>
  <c r="B17" i="2"/>
  <c r="J17" i="2" s="1"/>
  <c r="C17" i="2"/>
  <c r="D17" i="2"/>
  <c r="E17" i="2"/>
  <c r="F17" i="2"/>
  <c r="A18" i="2"/>
  <c r="I18" i="2" s="1"/>
  <c r="B18" i="2"/>
  <c r="J18" i="2" s="1"/>
  <c r="C18" i="2"/>
  <c r="D18" i="2"/>
  <c r="E18" i="2"/>
  <c r="F18" i="2"/>
  <c r="A19" i="2"/>
  <c r="I19" i="2" s="1"/>
  <c r="B19" i="2"/>
  <c r="J19" i="2" s="1"/>
  <c r="C19" i="2"/>
  <c r="D19" i="2"/>
  <c r="E19" i="2"/>
  <c r="F19" i="2"/>
  <c r="C13" i="2"/>
  <c r="D13" i="2"/>
  <c r="E13" i="2"/>
  <c r="F13" i="2"/>
  <c r="C14" i="2"/>
  <c r="D14" i="2"/>
  <c r="E14" i="2"/>
  <c r="F14" i="2"/>
  <c r="A13" i="2"/>
  <c r="I13" i="2" s="1"/>
  <c r="A14" i="2"/>
  <c r="I14" i="2" s="1"/>
  <c r="D12" i="2"/>
  <c r="E12" i="2"/>
  <c r="C12" i="2"/>
  <c r="F12" i="2"/>
  <c r="A12" i="2"/>
  <c r="I12" i="2" s="1"/>
  <c r="B12" i="2"/>
  <c r="J12" i="2" s="1"/>
  <c r="B13" i="2"/>
  <c r="J13" i="2" s="1"/>
  <c r="B14" i="2"/>
  <c r="J14" i="2" s="1"/>
  <c r="O25" i="1"/>
  <c r="L25" i="1"/>
  <c r="P25" i="1" s="1"/>
  <c r="K25" i="1"/>
  <c r="J25" i="1"/>
  <c r="I25" i="1"/>
  <c r="O24" i="1"/>
  <c r="K24" i="1"/>
  <c r="J24" i="1"/>
  <c r="L24" i="1" s="1"/>
  <c r="P24" i="1" s="1"/>
  <c r="I24" i="1"/>
  <c r="O23" i="1"/>
  <c r="K23" i="1"/>
  <c r="J23" i="1"/>
  <c r="I23" i="1"/>
  <c r="L23" i="1" s="1"/>
  <c r="P23" i="1" s="1"/>
  <c r="O22" i="1"/>
  <c r="K22" i="1"/>
  <c r="J22" i="1"/>
  <c r="I22" i="1"/>
  <c r="L22" i="1" s="1"/>
  <c r="P22" i="1" s="1"/>
  <c r="O21" i="1"/>
  <c r="L21" i="1"/>
  <c r="P21" i="1" s="1"/>
  <c r="K21" i="1"/>
  <c r="J21" i="1"/>
  <c r="I21" i="1"/>
  <c r="O20" i="1"/>
  <c r="K20" i="1"/>
  <c r="J20" i="1"/>
  <c r="L20" i="1" s="1"/>
  <c r="P20" i="1" s="1"/>
  <c r="I20" i="1"/>
  <c r="O19" i="1"/>
  <c r="K19" i="1"/>
  <c r="J19" i="1"/>
  <c r="I19" i="1"/>
  <c r="L19" i="1" s="1"/>
  <c r="P19" i="1" s="1"/>
  <c r="O18" i="1"/>
  <c r="K18" i="1"/>
  <c r="J18" i="1"/>
  <c r="I18" i="1"/>
  <c r="L18" i="1" s="1"/>
  <c r="P18" i="1" s="1"/>
  <c r="O13" i="1"/>
  <c r="L13" i="1"/>
  <c r="P13" i="1" s="1"/>
  <c r="K13" i="1"/>
  <c r="J13" i="1"/>
  <c r="I13" i="1"/>
  <c r="C13" i="1"/>
  <c r="O12" i="1"/>
  <c r="K12" i="1"/>
  <c r="L12" i="1" s="1"/>
  <c r="P12" i="1" s="1"/>
  <c r="J12" i="1"/>
  <c r="I12" i="1"/>
  <c r="C12" i="1"/>
  <c r="O11" i="1"/>
  <c r="K11" i="1"/>
  <c r="J11" i="1"/>
  <c r="L11" i="1" s="1"/>
  <c r="P11" i="1" s="1"/>
  <c r="I11" i="1"/>
  <c r="C11" i="1"/>
  <c r="O10" i="1"/>
  <c r="K10" i="1"/>
  <c r="J10" i="1"/>
  <c r="I10" i="1"/>
  <c r="L10" i="1" s="1"/>
  <c r="P10" i="1" s="1"/>
  <c r="C10" i="1"/>
  <c r="O9" i="1"/>
  <c r="K9" i="1"/>
  <c r="J9" i="1"/>
  <c r="I9" i="1"/>
  <c r="L9" i="1" s="1"/>
  <c r="P9" i="1" s="1"/>
  <c r="C9" i="1"/>
  <c r="O8" i="1"/>
  <c r="K8" i="1"/>
  <c r="J8" i="1"/>
  <c r="I8" i="1"/>
  <c r="L8" i="1" s="1"/>
  <c r="P8" i="1" s="1"/>
  <c r="C8" i="1"/>
  <c r="O7" i="1"/>
  <c r="K7" i="1"/>
  <c r="J7" i="1"/>
  <c r="I7" i="1"/>
  <c r="L7" i="1" s="1"/>
  <c r="P7" i="1" s="1"/>
  <c r="C7" i="1"/>
  <c r="O6" i="1"/>
  <c r="K6" i="1"/>
  <c r="J6" i="1"/>
  <c r="I6" i="1"/>
  <c r="L6" i="1" s="1"/>
  <c r="P6" i="1" s="1"/>
  <c r="C6" i="1"/>
  <c r="O5" i="1"/>
  <c r="L5" i="1"/>
  <c r="P5" i="1" s="1"/>
  <c r="K5" i="1"/>
  <c r="J5" i="1"/>
  <c r="I5" i="1"/>
  <c r="N21" i="3" l="1"/>
  <c r="L20" i="3"/>
  <c r="L19" i="3" s="1"/>
  <c r="L18" i="3" s="1"/>
  <c r="N13" i="2"/>
  <c r="N17" i="2"/>
  <c r="M13" i="2"/>
  <c r="M18" i="2"/>
  <c r="C28" i="2"/>
  <c r="K12" i="2"/>
  <c r="K14" i="2"/>
  <c r="K19" i="2"/>
  <c r="M16" i="2"/>
  <c r="K15" i="2"/>
  <c r="D27" i="2"/>
  <c r="D28" i="2" s="1"/>
  <c r="L13" i="2"/>
  <c r="N18" i="2"/>
  <c r="L17" i="2"/>
  <c r="K17" i="2"/>
  <c r="N19" i="2"/>
  <c r="L18" i="2"/>
  <c r="N15" i="2"/>
  <c r="M12" i="2"/>
  <c r="K13" i="2"/>
  <c r="M17" i="2"/>
  <c r="N14" i="2"/>
  <c r="K18" i="2"/>
  <c r="M15" i="2"/>
  <c r="L12" i="2"/>
  <c r="N12" i="2"/>
  <c r="L14" i="2"/>
  <c r="L19" i="2"/>
  <c r="N16" i="2"/>
  <c r="L15" i="2"/>
  <c r="M14" i="2"/>
  <c r="L16" i="2"/>
  <c r="K16" i="2"/>
  <c r="F27" i="2"/>
  <c r="F28" i="2" s="1"/>
  <c r="M19" i="2"/>
  <c r="E27" i="2"/>
  <c r="E28" i="2" s="1"/>
  <c r="I15" i="2"/>
  <c r="G12" i="2"/>
  <c r="O12" i="2" s="1"/>
  <c r="G15" i="2"/>
  <c r="O15" i="2" s="1"/>
  <c r="G16" i="2"/>
  <c r="O16" i="2" s="1"/>
  <c r="G17" i="2"/>
  <c r="O17" i="2" s="1"/>
  <c r="G13" i="2"/>
  <c r="O13" i="2" s="1"/>
  <c r="G18" i="2"/>
  <c r="O18" i="2" s="1"/>
  <c r="G14" i="2"/>
  <c r="O14" i="2" s="1"/>
  <c r="G19" i="2"/>
  <c r="O19" i="2" s="1"/>
  <c r="M20" i="3" l="1"/>
  <c r="M19" i="3" s="1"/>
  <c r="M18" i="3" s="1"/>
  <c r="G27" i="2"/>
  <c r="G28" i="2" s="1"/>
  <c r="F29" i="2" s="1"/>
  <c r="N20" i="3" l="1"/>
  <c r="N19" i="3" s="1"/>
  <c r="N18" i="3" s="1"/>
  <c r="G29" i="2"/>
  <c r="D29" i="2"/>
  <c r="C29" i="2"/>
  <c r="E29" i="2"/>
</calcChain>
</file>

<file path=xl/sharedStrings.xml><?xml version="1.0" encoding="utf-8"?>
<sst xmlns="http://schemas.openxmlformats.org/spreadsheetml/2006/main" count="66" uniqueCount="45">
  <si>
    <t>Mandatory Cutbacks according to 2007 Interim Guidelines, 2019 Drought Contingency Plan, and Minutes 319 and 323</t>
  </si>
  <si>
    <t>2007 Interim Guidelines</t>
  </si>
  <si>
    <t>2019 Drought Contingency Plan</t>
  </si>
  <si>
    <t>Combined</t>
  </si>
  <si>
    <t>Mexico</t>
  </si>
  <si>
    <t>Mead Elev (ft)</t>
  </si>
  <si>
    <t>Mead Vol (maf)</t>
  </si>
  <si>
    <t>Mead Vol offset (maf)</t>
  </si>
  <si>
    <t>AZ (taf/year)</t>
  </si>
  <si>
    <t>NV (taf/year)</t>
  </si>
  <si>
    <t>CA (taf/year)</t>
  </si>
  <si>
    <t>Lower Basin Cutback (maf/year)</t>
  </si>
  <si>
    <t>MX Cutback Minute 319 (taf/year)</t>
  </si>
  <si>
    <t>MX Cutback Minute 323 (taf/year)</t>
  </si>
  <si>
    <t>MX Cutback Total (maf/year)</t>
  </si>
  <si>
    <t>Total Cutback (maf/year)</t>
  </si>
  <si>
    <t>Data from Wheeler et al (2021), Table 2.1</t>
  </si>
  <si>
    <t>Ignores reservoir evaporation and Havasu/Parker evaporation and evapotranspiration.</t>
  </si>
  <si>
    <t>Arizona</t>
  </si>
  <si>
    <t>Nevada</t>
  </si>
  <si>
    <t>California</t>
  </si>
  <si>
    <t>Total</t>
  </si>
  <si>
    <t>Customary Target</t>
  </si>
  <si>
    <t>Mandatory Conservation</t>
  </si>
  <si>
    <t>Delivery</t>
  </si>
  <si>
    <t>Share</t>
  </si>
  <si>
    <t>Share of Inflow = (Customary Target - Mandatory Conservation)/(sum(Customary Target) - sum(Mandatory Conservation)</t>
  </si>
  <si>
    <t>Customary Delivery Target (maf/year)</t>
  </si>
  <si>
    <t>feet</t>
  </si>
  <si>
    <t>Calculate share for one reservoir elevation value (maf/year)</t>
  </si>
  <si>
    <t>Mead Elevation (feet)</t>
  </si>
  <si>
    <t>Mead Volume (maf)</t>
  </si>
  <si>
    <t>Lower Basin Shares</t>
  </si>
  <si>
    <r>
      <t xml:space="preserve">Mandatory Conservation Target (maf/year) </t>
    </r>
    <r>
      <rPr>
        <sz val="11"/>
        <color theme="1"/>
        <rFont val="Calibri"/>
        <family val="2"/>
        <scheme val="minor"/>
      </rPr>
      <t>(values pulled from LowerBasinCuts worksheet)</t>
    </r>
  </si>
  <si>
    <r>
      <t xml:space="preserve">Calculate from customary delivery and mandatory conservation target for each party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at each reservoir elevation </t>
    </r>
    <r>
      <rPr>
        <i/>
        <sz val="11"/>
        <color theme="1"/>
        <rFont val="Calibri"/>
        <family val="2"/>
        <scheme val="minor"/>
      </rPr>
      <t>e.</t>
    </r>
  </si>
  <si>
    <t>See Appendix A in Rosenberg (2021) for full explanation.</t>
  </si>
  <si>
    <t>David E. Rosenberg (2021). "Add reservoir inflow as new criteria to give Lake Mead managers more independence and flexibility to conserve water." Utah State University. Logan, Utah. https://github.com/dzeke/ColoradoRiverCoding/blob/main/BlogDrafts/2-AddReservoirInflowAsNewCriteriaToGiveLakeMeadManagersMoreFlexibilityAndIndependenceToConserveWater.docx?raw=true</t>
  </si>
  <si>
    <t>Requested Citation:</t>
  </si>
  <si>
    <t>Calculate each Lower Basin Party's and Mexico's share of Lake Mead inflow by Reservoir Elevation</t>
  </si>
  <si>
    <t>Share of Inflow by Inflow Volume</t>
  </si>
  <si>
    <t>A. Principle of Equality</t>
  </si>
  <si>
    <t>Annual Inflow (maf)</t>
  </si>
  <si>
    <t>Party</t>
  </si>
  <si>
    <t>Lifeline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</si>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</sst>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164" fontId="0" fillId="0" borderId="2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1" applyNumberFormat="1" applyFont="1" applyBorder="1"/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2" fillId="3" borderId="2" xfId="0" applyFont="1" applyFill="1" applyBorder="1" applyAlignment="1">
      <alignment wrapText="1"/>
    </xf>
    <xf numFmtId="167" fontId="0" fillId="0" borderId="2" xfId="0" applyNumberFormat="1" applyBorder="1" applyAlignment="1">
      <alignment horizontal="center"/>
    </xf>
    <xf numFmtId="0" fontId="3" fillId="0" borderId="0" xfId="3"/>
    <xf numFmtId="0" fontId="2" fillId="2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0"/>
          <c:tx>
            <c:strRef>
              <c:f>ShareOfInflowByInflowVolume!$A$14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numRef>
              <c:f>ShareOfInflowByInflowVolume!$C$10:$M$10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ShareOfInflowByInflowVolume!$C$14:$M$14</c:f>
              <c:numCache>
                <c:formatCode>0.0</c:formatCode>
                <c:ptCount val="11"/>
                <c:pt idx="0">
                  <c:v>0</c:v>
                </c:pt>
                <c:pt idx="1">
                  <c:v>0.16065573770491803</c:v>
                </c:pt>
                <c:pt idx="2">
                  <c:v>0.32131147540983607</c:v>
                </c:pt>
                <c:pt idx="3">
                  <c:v>0.4819672131147541</c:v>
                </c:pt>
                <c:pt idx="4">
                  <c:v>0.64262295081967213</c:v>
                </c:pt>
                <c:pt idx="5">
                  <c:v>0.80327868852459017</c:v>
                </c:pt>
                <c:pt idx="6">
                  <c:v>0.9639344262295082</c:v>
                </c:pt>
                <c:pt idx="7">
                  <c:v>1.1245901639344262</c:v>
                </c:pt>
                <c:pt idx="8">
                  <c:v>1.2852459016393443</c:v>
                </c:pt>
                <c:pt idx="9">
                  <c:v>1.4459016393442623</c:v>
                </c:pt>
                <c:pt idx="10">
                  <c:v>1.6065573770491803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F-4874-9203-43D64D988F45}"/>
            </c:ext>
          </c:extLst>
        </c:ser>
        <c:ser>
          <c:idx val="2"/>
          <c:order val="1"/>
          <c:tx>
            <c:strRef>
              <c:f>ShareOfInflowByInflowVolume!$A$13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ShareOfInflowByInflowVolume!$C$10:$M$10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ShareOfInflowByInflowVolume!$C$13:$M$13</c:f>
              <c:numCache>
                <c:formatCode>0.0</c:formatCode>
                <c:ptCount val="11"/>
                <c:pt idx="0">
                  <c:v>0</c:v>
                </c:pt>
                <c:pt idx="1">
                  <c:v>0.53114754098360661</c:v>
                </c:pt>
                <c:pt idx="2">
                  <c:v>1.0622950819672132</c:v>
                </c:pt>
                <c:pt idx="3">
                  <c:v>1.5934426229508198</c:v>
                </c:pt>
                <c:pt idx="4">
                  <c:v>2.1245901639344265</c:v>
                </c:pt>
                <c:pt idx="5">
                  <c:v>2.6557377049180331</c:v>
                </c:pt>
                <c:pt idx="6">
                  <c:v>3.1868852459016397</c:v>
                </c:pt>
                <c:pt idx="7">
                  <c:v>3.7180327868852463</c:v>
                </c:pt>
                <c:pt idx="8">
                  <c:v>4.2491803278688529</c:v>
                </c:pt>
                <c:pt idx="9">
                  <c:v>4.78032786885246</c:v>
                </c:pt>
                <c:pt idx="10">
                  <c:v>5.3114754098360661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F-4874-9203-43D64D988F45}"/>
            </c:ext>
          </c:extLst>
        </c:ser>
        <c:ser>
          <c:idx val="1"/>
          <c:order val="2"/>
          <c:tx>
            <c:strRef>
              <c:f>ShareOfInflowByInflowVolume!$A$12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ShareOfInflowByInflowVolume!$C$10:$M$10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ShareOfInflowByInflowVolume!$C$12:$M$12</c:f>
              <c:numCache>
                <c:formatCode>0.0</c:formatCode>
                <c:ptCount val="11"/>
                <c:pt idx="0">
                  <c:v>0</c:v>
                </c:pt>
                <c:pt idx="1">
                  <c:v>3.5409836065573776E-2</c:v>
                </c:pt>
                <c:pt idx="2">
                  <c:v>7.0819672131147551E-2</c:v>
                </c:pt>
                <c:pt idx="3">
                  <c:v>0.10622950819672133</c:v>
                </c:pt>
                <c:pt idx="4">
                  <c:v>0.1416393442622951</c:v>
                </c:pt>
                <c:pt idx="5">
                  <c:v>0.17704918032786887</c:v>
                </c:pt>
                <c:pt idx="6">
                  <c:v>0.21245901639344267</c:v>
                </c:pt>
                <c:pt idx="7">
                  <c:v>0.24786885245901644</c:v>
                </c:pt>
                <c:pt idx="8">
                  <c:v>0.28327868852459021</c:v>
                </c:pt>
                <c:pt idx="9">
                  <c:v>0.318688524590164</c:v>
                </c:pt>
                <c:pt idx="10">
                  <c:v>0.35409836065573774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F-4874-9203-43D64D988F45}"/>
            </c:ext>
          </c:extLst>
        </c:ser>
        <c:ser>
          <c:idx val="0"/>
          <c:order val="3"/>
          <c:tx>
            <c:strRef>
              <c:f>ShareOfInflowByInflowVolume!$A$11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ShareOfInflowByInflowVolume!$C$10:$M$10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ShareOfInflowByInflowVolume!$C$11:$M$11</c:f>
              <c:numCache>
                <c:formatCode>0.0</c:formatCode>
                <c:ptCount val="11"/>
                <c:pt idx="0">
                  <c:v>0</c:v>
                </c:pt>
                <c:pt idx="1">
                  <c:v>0.27278688524590167</c:v>
                </c:pt>
                <c:pt idx="2">
                  <c:v>0.54557377049180333</c:v>
                </c:pt>
                <c:pt idx="3">
                  <c:v>0.818360655737705</c:v>
                </c:pt>
                <c:pt idx="4">
                  <c:v>1.0911475409836067</c:v>
                </c:pt>
                <c:pt idx="5">
                  <c:v>1.3639344262295083</c:v>
                </c:pt>
                <c:pt idx="6">
                  <c:v>1.63672131147541</c:v>
                </c:pt>
                <c:pt idx="7">
                  <c:v>1.9095081967213117</c:v>
                </c:pt>
                <c:pt idx="8">
                  <c:v>2.1822950819672133</c:v>
                </c:pt>
                <c:pt idx="9">
                  <c:v>2.4550819672131148</c:v>
                </c:pt>
                <c:pt idx="10">
                  <c:v>2.7278688524590167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F-4874-9203-43D64D98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104096"/>
        <c:axId val="821636576"/>
      </c:areaChart>
      <c:catAx>
        <c:axId val="17111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Lake Mead Inflow</a:t>
                </a:r>
              </a:p>
              <a:p>
                <a:pPr>
                  <a:defRPr b="1"/>
                </a:pPr>
                <a:r>
                  <a:rPr lang="en-US" b="1"/>
                  <a:t>(maf per year)</a:t>
                </a:r>
              </a:p>
            </c:rich>
          </c:tx>
          <c:layout>
            <c:manualLayout>
              <c:xMode val="edge"/>
              <c:yMode val="edge"/>
              <c:x val="0.44199467764721345"/>
              <c:y val="0.74897055209139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36576"/>
        <c:crosses val="autoZero"/>
        <c:auto val="1"/>
        <c:lblAlgn val="ctr"/>
        <c:lblOffset val="100"/>
        <c:noMultiLvlLbl val="0"/>
      </c:catAx>
      <c:valAx>
        <c:axId val="82163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Share of Inflow</a:t>
                </a:r>
              </a:p>
              <a:p>
                <a:pPr>
                  <a:defRPr b="1"/>
                </a:pPr>
                <a:r>
                  <a:rPr lang="en-US" b="1"/>
                  <a:t>(maf</a:t>
                </a:r>
                <a:r>
                  <a:rPr lang="en-US" b="1" baseline="0"/>
                  <a:t> per year)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4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958850</xdr:colOff>
      <xdr:row>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71E9E-F67D-464F-B396-EF7EEB6E2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300"/>
          <a:ext cx="52514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408517</xdr:colOff>
      <xdr:row>0</xdr:row>
      <xdr:rowOff>78846</xdr:rowOff>
    </xdr:from>
    <xdr:to>
      <xdr:col>13</xdr:col>
      <xdr:colOff>105833</xdr:colOff>
      <xdr:row>15</xdr:row>
      <xdr:rowOff>126471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CC0C-1607-4995-9C32-FF4A7946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zeke/ColoradoRiverCoding/blob/main/BlogDrafts/2-AddReservoirInflowAsNewCriteriaToGiveLakeMeadManagersMoreFlexibilityAndIndependenceToConserveWater.docx?raw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131-29BE-4E82-B456-BDEC50237677}">
  <dimension ref="A1:O33"/>
  <sheetViews>
    <sheetView topLeftCell="A2" zoomScale="160" zoomScaleNormal="160" workbookViewId="0">
      <selection activeCell="K11" sqref="K11:N11"/>
    </sheetView>
  </sheetViews>
  <sheetFormatPr defaultRowHeight="14.5" x14ac:dyDescent="0.35"/>
  <cols>
    <col min="1" max="1" width="9.08984375" bestFit="1" customWidth="1"/>
    <col min="2" max="7" width="8.7265625" style="2"/>
    <col min="8" max="8" width="15.26953125" customWidth="1"/>
    <col min="10" max="10" width="8.6328125" customWidth="1"/>
    <col min="11" max="11" width="8" customWidth="1"/>
    <col min="12" max="12" width="7.1796875" customWidth="1"/>
    <col min="13" max="13" width="9.81640625" customWidth="1"/>
    <col min="14" max="14" width="7.36328125" customWidth="1"/>
    <col min="15" max="15" width="6" customWidth="1"/>
  </cols>
  <sheetData>
    <row r="1" spans="1:15" s="1" customFormat="1" x14ac:dyDescent="0.35">
      <c r="A1" s="1" t="s">
        <v>38</v>
      </c>
      <c r="B1" s="21"/>
      <c r="C1" s="21"/>
      <c r="D1" s="21"/>
      <c r="E1" s="21"/>
      <c r="F1" s="21"/>
      <c r="G1" s="21"/>
    </row>
    <row r="2" spans="1:15" x14ac:dyDescent="0.35">
      <c r="A2" t="s">
        <v>34</v>
      </c>
    </row>
    <row r="3" spans="1:15" x14ac:dyDescent="0.35">
      <c r="A3" t="s">
        <v>17</v>
      </c>
    </row>
    <row r="4" spans="1:15" ht="15.5" customHeight="1" x14ac:dyDescent="0.35">
      <c r="A4" t="s">
        <v>35</v>
      </c>
    </row>
    <row r="5" spans="1:15" ht="15.5" customHeight="1" x14ac:dyDescent="0.35"/>
    <row r="6" spans="1:15" ht="15.5" customHeight="1" x14ac:dyDescent="0.35"/>
    <row r="7" spans="1:15" ht="15.5" customHeight="1" x14ac:dyDescent="0.35"/>
    <row r="8" spans="1:15" ht="15.5" customHeight="1" x14ac:dyDescent="0.35"/>
    <row r="9" spans="1:15" ht="15.5" customHeight="1" x14ac:dyDescent="0.35">
      <c r="I9" s="1" t="s">
        <v>27</v>
      </c>
      <c r="J9" s="1"/>
      <c r="K9" s="21">
        <v>2.8</v>
      </c>
      <c r="L9" s="21">
        <v>0.3</v>
      </c>
      <c r="M9" s="21">
        <v>4.4000000000000004</v>
      </c>
      <c r="N9" s="21">
        <v>1.5</v>
      </c>
      <c r="O9" s="21">
        <f>SUM(K9:N9)</f>
        <v>9</v>
      </c>
    </row>
    <row r="10" spans="1:15" ht="15.5" customHeight="1" x14ac:dyDescent="0.35">
      <c r="A10" s="1" t="s">
        <v>33</v>
      </c>
      <c r="I10" s="1" t="s">
        <v>32</v>
      </c>
    </row>
    <row r="11" spans="1:15" s="22" customFormat="1" ht="43.5" x14ac:dyDescent="0.35">
      <c r="A11" s="26" t="str">
        <f>LowerBasinCuts!$A$4</f>
        <v>Mead Elev (ft)</v>
      </c>
      <c r="B11" s="3" t="str">
        <f>LowerBasinCuts!$B$4</f>
        <v>Mead Vol (maf)</v>
      </c>
      <c r="C11" s="3" t="s">
        <v>18</v>
      </c>
      <c r="D11" s="3" t="s">
        <v>19</v>
      </c>
      <c r="E11" s="3" t="s">
        <v>20</v>
      </c>
      <c r="F11" s="3" t="s">
        <v>4</v>
      </c>
      <c r="G11" s="3" t="s">
        <v>21</v>
      </c>
      <c r="I11" s="23" t="s">
        <v>30</v>
      </c>
      <c r="J11" s="23" t="s">
        <v>31</v>
      </c>
      <c r="K11" s="23" t="str">
        <f t="shared" ref="K11:M11" si="0">C11</f>
        <v>Arizona</v>
      </c>
      <c r="L11" s="23" t="str">
        <f t="shared" si="0"/>
        <v>Nevada</v>
      </c>
      <c r="M11" s="23" t="str">
        <f t="shared" si="0"/>
        <v>California</v>
      </c>
      <c r="N11" s="23" t="str">
        <f>F11</f>
        <v>Mexico</v>
      </c>
      <c r="O11" s="23" t="str">
        <f t="shared" ref="O11" si="1">G11</f>
        <v>Total</v>
      </c>
    </row>
    <row r="12" spans="1:15" x14ac:dyDescent="0.35">
      <c r="A12" s="14">
        <f>LowerBasinCuts!A5</f>
        <v>1025</v>
      </c>
      <c r="B12" s="11">
        <f>LowerBasinCuts!B5</f>
        <v>5.981122</v>
      </c>
      <c r="C12" s="27">
        <f>LowerBasinCuts!I5/1000</f>
        <v>0.72</v>
      </c>
      <c r="D12" s="27">
        <f>LowerBasinCuts!J5/1000</f>
        <v>0.03</v>
      </c>
      <c r="E12" s="27">
        <f>LowerBasinCuts!K5/1000</f>
        <v>0.35</v>
      </c>
      <c r="F12" s="12">
        <f>LowerBasinCuts!O5</f>
        <v>0.27500000000000002</v>
      </c>
      <c r="G12" s="27">
        <f>SUM(C12:F12)</f>
        <v>1.375</v>
      </c>
      <c r="I12" s="24">
        <f>A12</f>
        <v>1025</v>
      </c>
      <c r="J12" s="11">
        <f>B12</f>
        <v>5.981122</v>
      </c>
      <c r="K12" s="25">
        <f t="shared" ref="K12:O19" si="2">(K$9-C12)/($O$9-SUM($C12:$F12))</f>
        <v>0.27278688524590167</v>
      </c>
      <c r="L12" s="25">
        <f t="shared" si="2"/>
        <v>3.5409836065573776E-2</v>
      </c>
      <c r="M12" s="25">
        <f t="shared" si="2"/>
        <v>0.53114754098360661</v>
      </c>
      <c r="N12" s="25">
        <f t="shared" si="2"/>
        <v>0.16065573770491803</v>
      </c>
      <c r="O12" s="25">
        <f t="shared" si="2"/>
        <v>1</v>
      </c>
    </row>
    <row r="13" spans="1:15" x14ac:dyDescent="0.35">
      <c r="A13" s="14">
        <f>LowerBasinCuts!A6</f>
        <v>1030</v>
      </c>
      <c r="B13" s="11">
        <f>LowerBasinCuts!B6</f>
        <v>6.305377</v>
      </c>
      <c r="C13" s="27">
        <f>LowerBasinCuts!I6/1000</f>
        <v>0.64</v>
      </c>
      <c r="D13" s="27">
        <f>LowerBasinCuts!J6/1000</f>
        <v>2.7E-2</v>
      </c>
      <c r="E13" s="27">
        <f>LowerBasinCuts!K6/1000</f>
        <v>0.35</v>
      </c>
      <c r="F13" s="12">
        <f>LowerBasinCuts!O6</f>
        <v>0.17100000000000001</v>
      </c>
      <c r="G13" s="27">
        <f t="shared" ref="G13:G14" si="3">SUM(C13:F13)</f>
        <v>1.1879999999999999</v>
      </c>
      <c r="I13" s="24">
        <f t="shared" ref="I13:I19" si="4">A13</f>
        <v>1030</v>
      </c>
      <c r="J13" s="11">
        <f t="shared" ref="J13:J19" si="5">B13</f>
        <v>6.305377</v>
      </c>
      <c r="K13" s="25">
        <f t="shared" si="2"/>
        <v>0.27649769585253453</v>
      </c>
      <c r="L13" s="25">
        <f t="shared" si="2"/>
        <v>3.4946236559139782E-2</v>
      </c>
      <c r="M13" s="25">
        <f t="shared" si="2"/>
        <v>0.51843317972350234</v>
      </c>
      <c r="N13" s="25">
        <f t="shared" si="2"/>
        <v>0.17012288786482332</v>
      </c>
      <c r="O13" s="25">
        <f t="shared" si="2"/>
        <v>1</v>
      </c>
    </row>
    <row r="14" spans="1:15" x14ac:dyDescent="0.35">
      <c r="A14" s="14">
        <f>LowerBasinCuts!A7</f>
        <v>1035</v>
      </c>
      <c r="B14" s="11">
        <f>LowerBasinCuts!B7</f>
        <v>6.6375080000000004</v>
      </c>
      <c r="C14" s="27">
        <f>LowerBasinCuts!I7/1000</f>
        <v>0.64</v>
      </c>
      <c r="D14" s="27">
        <f>LowerBasinCuts!J7/1000</f>
        <v>2.7E-2</v>
      </c>
      <c r="E14" s="27">
        <f>LowerBasinCuts!K7/1000</f>
        <v>0.3</v>
      </c>
      <c r="F14" s="12">
        <f>LowerBasinCuts!O7</f>
        <v>0.16200000000000001</v>
      </c>
      <c r="G14" s="27">
        <f t="shared" si="3"/>
        <v>1.129</v>
      </c>
      <c r="I14" s="24">
        <f t="shared" si="4"/>
        <v>1035</v>
      </c>
      <c r="J14" s="11">
        <f t="shared" si="5"/>
        <v>6.6375080000000004</v>
      </c>
      <c r="K14" s="25">
        <f t="shared" si="2"/>
        <v>0.27442510481514415</v>
      </c>
      <c r="L14" s="25">
        <f t="shared" si="2"/>
        <v>3.4684284080802943E-2</v>
      </c>
      <c r="M14" s="25">
        <f t="shared" si="2"/>
        <v>0.52089950451022748</v>
      </c>
      <c r="N14" s="25">
        <f t="shared" si="2"/>
        <v>0.16999110659382544</v>
      </c>
      <c r="O14" s="25">
        <f t="shared" si="2"/>
        <v>1</v>
      </c>
    </row>
    <row r="15" spans="1:15" x14ac:dyDescent="0.35">
      <c r="A15" s="14">
        <f>LowerBasinCuts!A8</f>
        <v>1040</v>
      </c>
      <c r="B15" s="11">
        <f>LowerBasinCuts!B8</f>
        <v>6.977665</v>
      </c>
      <c r="C15" s="27">
        <f>LowerBasinCuts!I8/1000</f>
        <v>0.64</v>
      </c>
      <c r="D15" s="27">
        <f>LowerBasinCuts!J8/1000</f>
        <v>2.7E-2</v>
      </c>
      <c r="E15" s="27">
        <f>LowerBasinCuts!K8/1000</f>
        <v>0.25</v>
      </c>
      <c r="F15" s="12">
        <f>LowerBasinCuts!O8</f>
        <v>0.154</v>
      </c>
      <c r="G15" s="27">
        <f t="shared" ref="G15:G19" si="6">SUM(C15:F15)</f>
        <v>1.071</v>
      </c>
      <c r="I15" s="24">
        <f t="shared" si="4"/>
        <v>1040</v>
      </c>
      <c r="J15" s="11">
        <f t="shared" si="5"/>
        <v>6.977665</v>
      </c>
      <c r="K15" s="25">
        <f t="shared" si="2"/>
        <v>0.27241770715096475</v>
      </c>
      <c r="L15" s="25">
        <f t="shared" si="2"/>
        <v>3.4430571320469158E-2</v>
      </c>
      <c r="M15" s="25">
        <f t="shared" si="2"/>
        <v>0.52339513179467778</v>
      </c>
      <c r="N15" s="25">
        <f t="shared" si="2"/>
        <v>0.16975658973388827</v>
      </c>
      <c r="O15" s="25">
        <f t="shared" si="2"/>
        <v>1</v>
      </c>
    </row>
    <row r="16" spans="1:15" x14ac:dyDescent="0.35">
      <c r="A16" s="14">
        <f>LowerBasinCuts!A9</f>
        <v>1045</v>
      </c>
      <c r="B16" s="11">
        <f>LowerBasinCuts!B9</f>
        <v>7.3260519999999998</v>
      </c>
      <c r="C16" s="27">
        <f>LowerBasinCuts!I9/1000</f>
        <v>0.64</v>
      </c>
      <c r="D16" s="27">
        <f>LowerBasinCuts!J9/1000</f>
        <v>2.7E-2</v>
      </c>
      <c r="E16" s="27">
        <f>LowerBasinCuts!K9/1000</f>
        <v>0.2</v>
      </c>
      <c r="F16" s="12">
        <f>LowerBasinCuts!O9</f>
        <v>0.14599999999999999</v>
      </c>
      <c r="G16" s="27">
        <f t="shared" si="6"/>
        <v>1.0129999999999999</v>
      </c>
      <c r="I16" s="24">
        <f t="shared" si="4"/>
        <v>1045</v>
      </c>
      <c r="J16" s="11">
        <f t="shared" si="5"/>
        <v>7.3260519999999998</v>
      </c>
      <c r="K16" s="25">
        <f t="shared" si="2"/>
        <v>0.27043946412920994</v>
      </c>
      <c r="L16" s="25">
        <f t="shared" si="2"/>
        <v>3.4180543382997364E-2</v>
      </c>
      <c r="M16" s="25">
        <f t="shared" si="2"/>
        <v>0.52585451358457491</v>
      </c>
      <c r="N16" s="25">
        <f t="shared" si="2"/>
        <v>0.16952547890321773</v>
      </c>
      <c r="O16" s="25">
        <f t="shared" si="2"/>
        <v>1</v>
      </c>
    </row>
    <row r="17" spans="1:15" x14ac:dyDescent="0.35">
      <c r="A17" s="14">
        <f>LowerBasinCuts!A10</f>
        <v>1050</v>
      </c>
      <c r="B17" s="11">
        <f>LowerBasinCuts!B10</f>
        <v>7.6828779999999997</v>
      </c>
      <c r="C17" s="27">
        <f>LowerBasinCuts!I10/1000</f>
        <v>0.59199999999999997</v>
      </c>
      <c r="D17" s="27">
        <f>LowerBasinCuts!J10/1000</f>
        <v>2.5000000000000001E-2</v>
      </c>
      <c r="E17" s="27">
        <f>LowerBasinCuts!K10/1000</f>
        <v>0</v>
      </c>
      <c r="F17" s="12">
        <f>LowerBasinCuts!O10</f>
        <v>0.104</v>
      </c>
      <c r="G17" s="27">
        <f t="shared" si="6"/>
        <v>0.72099999999999997</v>
      </c>
      <c r="I17" s="24">
        <f t="shared" si="4"/>
        <v>1050</v>
      </c>
      <c r="J17" s="11">
        <f t="shared" si="5"/>
        <v>7.6828779999999997</v>
      </c>
      <c r="K17" s="25">
        <f t="shared" si="2"/>
        <v>0.26669887667592701</v>
      </c>
      <c r="L17" s="25">
        <f t="shared" si="2"/>
        <v>3.3216572049764463E-2</v>
      </c>
      <c r="M17" s="25">
        <f t="shared" si="2"/>
        <v>0.53146515279623152</v>
      </c>
      <c r="N17" s="25">
        <f t="shared" si="2"/>
        <v>0.16861939847807705</v>
      </c>
      <c r="O17" s="25">
        <f t="shared" si="2"/>
        <v>1</v>
      </c>
    </row>
    <row r="18" spans="1:15" x14ac:dyDescent="0.35">
      <c r="A18" s="14">
        <f>LowerBasinCuts!A11</f>
        <v>1075</v>
      </c>
      <c r="B18" s="11">
        <f>LowerBasinCuts!B11</f>
        <v>9.6009879999900001</v>
      </c>
      <c r="C18" s="27">
        <f>LowerBasinCuts!I11/1000</f>
        <v>0.51200000000000001</v>
      </c>
      <c r="D18" s="27">
        <f>LowerBasinCuts!J11/1000</f>
        <v>2.1000000000000001E-2</v>
      </c>
      <c r="E18" s="27">
        <f>LowerBasinCuts!K11/1000</f>
        <v>0</v>
      </c>
      <c r="F18" s="12">
        <f>LowerBasinCuts!O11</f>
        <v>0.08</v>
      </c>
      <c r="G18" s="27">
        <f t="shared" si="6"/>
        <v>0.61299999999999999</v>
      </c>
      <c r="I18" s="24">
        <f t="shared" si="4"/>
        <v>1075</v>
      </c>
      <c r="J18" s="11">
        <f t="shared" si="5"/>
        <v>9.6009879999900001</v>
      </c>
      <c r="K18" s="25">
        <f t="shared" si="2"/>
        <v>0.27280314772862763</v>
      </c>
      <c r="L18" s="25">
        <f t="shared" si="2"/>
        <v>3.3265768451174432E-2</v>
      </c>
      <c r="M18" s="25">
        <f t="shared" si="2"/>
        <v>0.52462143793966853</v>
      </c>
      <c r="N18" s="25">
        <f t="shared" si="2"/>
        <v>0.16930964588052938</v>
      </c>
      <c r="O18" s="25">
        <f t="shared" si="2"/>
        <v>1</v>
      </c>
    </row>
    <row r="19" spans="1:15" x14ac:dyDescent="0.35">
      <c r="A19" s="14">
        <f>LowerBasinCuts!A12</f>
        <v>1090</v>
      </c>
      <c r="B19" s="11">
        <f>LowerBasinCuts!B12</f>
        <v>10.857008</v>
      </c>
      <c r="C19" s="27">
        <f>LowerBasinCuts!I12/1000</f>
        <v>0.192</v>
      </c>
      <c r="D19" s="27">
        <f>LowerBasinCuts!J12/1000</f>
        <v>8.0000000000000002E-3</v>
      </c>
      <c r="E19" s="27">
        <f>LowerBasinCuts!K12/1000</f>
        <v>0</v>
      </c>
      <c r="F19" s="12">
        <f>LowerBasinCuts!O12</f>
        <v>4.1000000000000002E-2</v>
      </c>
      <c r="G19" s="27">
        <f t="shared" si="6"/>
        <v>0.24100000000000002</v>
      </c>
      <c r="I19" s="24">
        <f t="shared" si="4"/>
        <v>1090</v>
      </c>
      <c r="J19" s="11">
        <f t="shared" si="5"/>
        <v>10.857008</v>
      </c>
      <c r="K19" s="25">
        <f t="shared" si="2"/>
        <v>0.29775088480420137</v>
      </c>
      <c r="L19" s="25">
        <f t="shared" si="2"/>
        <v>3.3337138942801686E-2</v>
      </c>
      <c r="M19" s="25">
        <f t="shared" si="2"/>
        <v>0.50234044982303916</v>
      </c>
      <c r="N19" s="25">
        <f t="shared" si="2"/>
        <v>0.16657152642995776</v>
      </c>
      <c r="O19" s="25">
        <f t="shared" si="2"/>
        <v>1</v>
      </c>
    </row>
    <row r="20" spans="1:15" x14ac:dyDescent="0.35">
      <c r="I20" t="s">
        <v>26</v>
      </c>
    </row>
    <row r="22" spans="1:15" x14ac:dyDescent="0.35">
      <c r="A22" t="s">
        <v>29</v>
      </c>
    </row>
    <row r="23" spans="1:15" x14ac:dyDescent="0.35">
      <c r="A23">
        <v>1030</v>
      </c>
      <c r="B23" s="2" t="s">
        <v>28</v>
      </c>
    </row>
    <row r="25" spans="1:15" ht="13.5" customHeight="1" x14ac:dyDescent="0.35">
      <c r="A25" t="str">
        <f>LowerBasinCuts!$A$4</f>
        <v>Mead Elev (ft)</v>
      </c>
      <c r="C25" s="2" t="s">
        <v>18</v>
      </c>
      <c r="D25" s="2" t="s">
        <v>19</v>
      </c>
      <c r="E25" s="2" t="s">
        <v>20</v>
      </c>
      <c r="F25" s="2" t="s">
        <v>4</v>
      </c>
      <c r="G25" s="2" t="s">
        <v>21</v>
      </c>
    </row>
    <row r="26" spans="1:15" x14ac:dyDescent="0.35">
      <c r="A26" t="s">
        <v>22</v>
      </c>
      <c r="C26" s="2">
        <f>K9</f>
        <v>2.8</v>
      </c>
      <c r="D26" s="2">
        <f>L9</f>
        <v>0.3</v>
      </c>
      <c r="E26" s="2">
        <f>M9</f>
        <v>4.4000000000000004</v>
      </c>
      <c r="F26" s="2">
        <f>N9</f>
        <v>1.5</v>
      </c>
      <c r="G26" s="2">
        <f>SUM(C26:F26)</f>
        <v>9</v>
      </c>
    </row>
    <row r="27" spans="1:15" x14ac:dyDescent="0.35">
      <c r="A27" t="s">
        <v>23</v>
      </c>
      <c r="B27" s="7"/>
      <c r="C27" s="7">
        <f>VLOOKUP($A$23,$A$12:$G$19,COLUMN(C25)-COLUMN($A$25)+1)</f>
        <v>0.64</v>
      </c>
      <c r="D27" s="7">
        <f>VLOOKUP($A$23,$A$12:$G$19,COLUMN(D25)-COLUMN($A$25)+1)</f>
        <v>2.7E-2</v>
      </c>
      <c r="E27" s="7">
        <f>VLOOKUP($A$23,$A$12:$G$19,COLUMN(E25)-COLUMN($A$25)+1)</f>
        <v>0.35</v>
      </c>
      <c r="F27" s="7">
        <f>VLOOKUP($A$23,$A$12:$G$19,COLUMN(F25)-COLUMN($A$25)+1)</f>
        <v>0.17100000000000001</v>
      </c>
      <c r="G27" s="7">
        <f>VLOOKUP($A$23,$A$12:$G$19,COLUMN(G25)-COLUMN($A$25)+1)</f>
        <v>1.1879999999999999</v>
      </c>
    </row>
    <row r="28" spans="1:15" x14ac:dyDescent="0.35">
      <c r="A28" t="s">
        <v>24</v>
      </c>
      <c r="C28" s="7">
        <f>C26-C27</f>
        <v>2.1599999999999997</v>
      </c>
      <c r="D28" s="7">
        <f t="shared" ref="D28:G28" si="7">D26-D27</f>
        <v>0.27299999999999996</v>
      </c>
      <c r="E28" s="7">
        <f t="shared" si="7"/>
        <v>4.0500000000000007</v>
      </c>
      <c r="F28" s="7">
        <f t="shared" si="7"/>
        <v>1.329</v>
      </c>
      <c r="G28" s="7">
        <f t="shared" si="7"/>
        <v>7.8120000000000003</v>
      </c>
    </row>
    <row r="29" spans="1:15" x14ac:dyDescent="0.35">
      <c r="A29" t="s">
        <v>25</v>
      </c>
      <c r="C29" s="20">
        <f>C28/$G$28</f>
        <v>0.27649769585253453</v>
      </c>
      <c r="D29" s="20">
        <f t="shared" ref="D29:G29" si="8">D28/$G$28</f>
        <v>3.4946236559139782E-2</v>
      </c>
      <c r="E29" s="20">
        <f t="shared" si="8"/>
        <v>0.51843317972350234</v>
      </c>
      <c r="F29" s="20">
        <f t="shared" si="8"/>
        <v>0.17012288786482332</v>
      </c>
      <c r="G29" s="20">
        <f t="shared" si="8"/>
        <v>1</v>
      </c>
    </row>
    <row r="32" spans="1:15" x14ac:dyDescent="0.35">
      <c r="A32" s="1" t="s">
        <v>37</v>
      </c>
    </row>
    <row r="33" spans="1:1" x14ac:dyDescent="0.35">
      <c r="A33" s="28" t="s">
        <v>36</v>
      </c>
    </row>
  </sheetData>
  <hyperlinks>
    <hyperlink ref="A33" r:id="rId1" display="https://github.com/dzeke/ColoradoRiverCoding/blob/main/BlogDrafts/2-AddReservoirInflowAsNewCriteriaToGiveLakeMeadManagersMoreFlexibilityAndIndependenceToConserveWater.docx?raw=true" xr:uid="{795C741A-A3B9-498D-8D3E-EDC2155A00D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DCDC-D4B4-460D-B53A-F996DA439874}">
  <dimension ref="A1:N22"/>
  <sheetViews>
    <sheetView tabSelected="1" topLeftCell="A3" zoomScale="180" zoomScaleNormal="180" workbookViewId="0">
      <selection activeCell="I18" sqref="I18:N21"/>
    </sheetView>
  </sheetViews>
  <sheetFormatPr defaultRowHeight="14.5" x14ac:dyDescent="0.35"/>
  <sheetData>
    <row r="1" spans="1:13" x14ac:dyDescent="0.35">
      <c r="A1" t="s">
        <v>39</v>
      </c>
    </row>
    <row r="7" spans="1:13" x14ac:dyDescent="0.35">
      <c r="A7" t="s">
        <v>40</v>
      </c>
    </row>
    <row r="9" spans="1:13" x14ac:dyDescent="0.35">
      <c r="C9" s="31" t="s">
        <v>41</v>
      </c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x14ac:dyDescent="0.35">
      <c r="A10" t="s">
        <v>42</v>
      </c>
      <c r="B10" s="2" t="s">
        <v>25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J10" s="2">
        <v>7</v>
      </c>
      <c r="K10" s="2">
        <v>8</v>
      </c>
      <c r="L10" s="2">
        <v>9</v>
      </c>
      <c r="M10" s="2">
        <v>10</v>
      </c>
    </row>
    <row r="11" spans="1:13" x14ac:dyDescent="0.35">
      <c r="A11" t="s">
        <v>18</v>
      </c>
      <c r="B11" s="30">
        <f>ShareOfInflowByElevation!$K$12</f>
        <v>0.27278688524590167</v>
      </c>
      <c r="C11" s="7">
        <f>$B11*C$10</f>
        <v>0</v>
      </c>
      <c r="D11" s="7">
        <f t="shared" ref="D11:M14" si="0">$B11*D$10</f>
        <v>0.27278688524590167</v>
      </c>
      <c r="E11" s="7">
        <f t="shared" si="0"/>
        <v>0.54557377049180333</v>
      </c>
      <c r="F11" s="7">
        <f t="shared" si="0"/>
        <v>0.818360655737705</v>
      </c>
      <c r="G11" s="7">
        <f t="shared" si="0"/>
        <v>1.0911475409836067</v>
      </c>
      <c r="H11" s="7">
        <f t="shared" si="0"/>
        <v>1.3639344262295083</v>
      </c>
      <c r="I11" s="7">
        <f t="shared" si="0"/>
        <v>1.63672131147541</v>
      </c>
      <c r="J11" s="7">
        <f t="shared" si="0"/>
        <v>1.9095081967213117</v>
      </c>
      <c r="K11" s="7">
        <f t="shared" si="0"/>
        <v>2.1822950819672133</v>
      </c>
      <c r="L11" s="7">
        <f t="shared" si="0"/>
        <v>2.4550819672131148</v>
      </c>
      <c r="M11" s="7">
        <f t="shared" si="0"/>
        <v>2.7278688524590167</v>
      </c>
    </row>
    <row r="12" spans="1:13" x14ac:dyDescent="0.35">
      <c r="A12" t="s">
        <v>19</v>
      </c>
      <c r="B12" s="30">
        <f>ShareOfInflowByElevation!$L$12</f>
        <v>3.5409836065573776E-2</v>
      </c>
      <c r="C12" s="7">
        <f t="shared" ref="C12:C14" si="1">$B12*C$10</f>
        <v>0</v>
      </c>
      <c r="D12" s="7">
        <f t="shared" si="0"/>
        <v>3.5409836065573776E-2</v>
      </c>
      <c r="E12" s="7">
        <f t="shared" si="0"/>
        <v>7.0819672131147551E-2</v>
      </c>
      <c r="F12" s="7">
        <f t="shared" si="0"/>
        <v>0.10622950819672133</v>
      </c>
      <c r="G12" s="7">
        <f t="shared" si="0"/>
        <v>0.1416393442622951</v>
      </c>
      <c r="H12" s="7">
        <f t="shared" si="0"/>
        <v>0.17704918032786887</v>
      </c>
      <c r="I12" s="7">
        <f t="shared" si="0"/>
        <v>0.21245901639344267</v>
      </c>
      <c r="J12" s="7">
        <f t="shared" si="0"/>
        <v>0.24786885245901644</v>
      </c>
      <c r="K12" s="7">
        <f t="shared" si="0"/>
        <v>0.28327868852459021</v>
      </c>
      <c r="L12" s="7">
        <f t="shared" si="0"/>
        <v>0.318688524590164</v>
      </c>
      <c r="M12" s="7">
        <f t="shared" si="0"/>
        <v>0.35409836065573774</v>
      </c>
    </row>
    <row r="13" spans="1:13" x14ac:dyDescent="0.35">
      <c r="A13" t="s">
        <v>20</v>
      </c>
      <c r="B13" s="30">
        <f>ShareOfInflowByElevation!$M$12</f>
        <v>0.53114754098360661</v>
      </c>
      <c r="C13" s="7">
        <f t="shared" si="1"/>
        <v>0</v>
      </c>
      <c r="D13" s="7">
        <f t="shared" si="0"/>
        <v>0.53114754098360661</v>
      </c>
      <c r="E13" s="7">
        <f t="shared" si="0"/>
        <v>1.0622950819672132</v>
      </c>
      <c r="F13" s="7">
        <f t="shared" si="0"/>
        <v>1.5934426229508198</v>
      </c>
      <c r="G13" s="7">
        <f t="shared" si="0"/>
        <v>2.1245901639344265</v>
      </c>
      <c r="H13" s="7">
        <f t="shared" si="0"/>
        <v>2.6557377049180331</v>
      </c>
      <c r="I13" s="7">
        <f t="shared" si="0"/>
        <v>3.1868852459016397</v>
      </c>
      <c r="J13" s="7">
        <f t="shared" si="0"/>
        <v>3.7180327868852463</v>
      </c>
      <c r="K13" s="7">
        <f t="shared" si="0"/>
        <v>4.2491803278688529</v>
      </c>
      <c r="L13" s="7">
        <f t="shared" si="0"/>
        <v>4.78032786885246</v>
      </c>
      <c r="M13" s="7">
        <f t="shared" si="0"/>
        <v>5.3114754098360661</v>
      </c>
    </row>
    <row r="14" spans="1:13" x14ac:dyDescent="0.35">
      <c r="A14" t="s">
        <v>4</v>
      </c>
      <c r="B14" s="30">
        <f>ShareOfInflowByElevation!$N$12</f>
        <v>0.16065573770491803</v>
      </c>
      <c r="C14" s="7">
        <f t="shared" si="1"/>
        <v>0</v>
      </c>
      <c r="D14" s="7">
        <f t="shared" si="0"/>
        <v>0.16065573770491803</v>
      </c>
      <c r="E14" s="7">
        <f t="shared" si="0"/>
        <v>0.32131147540983607</v>
      </c>
      <c r="F14" s="7">
        <f t="shared" si="0"/>
        <v>0.4819672131147541</v>
      </c>
      <c r="G14" s="7">
        <f t="shared" si="0"/>
        <v>0.64262295081967213</v>
      </c>
      <c r="H14" s="7">
        <f t="shared" si="0"/>
        <v>0.80327868852459017</v>
      </c>
      <c r="I14" s="7">
        <f t="shared" si="0"/>
        <v>0.9639344262295082</v>
      </c>
      <c r="J14" s="7">
        <f t="shared" si="0"/>
        <v>1.1245901639344262</v>
      </c>
      <c r="K14" s="7">
        <f t="shared" si="0"/>
        <v>1.2852459016393443</v>
      </c>
      <c r="L14" s="7">
        <f t="shared" si="0"/>
        <v>1.4459016393442623</v>
      </c>
      <c r="M14" s="7">
        <f t="shared" si="0"/>
        <v>1.6065573770491803</v>
      </c>
    </row>
    <row r="17" spans="1:14" x14ac:dyDescent="0.35">
      <c r="A17" t="s">
        <v>42</v>
      </c>
      <c r="B17" s="2" t="s">
        <v>43</v>
      </c>
      <c r="C17" s="2" t="s">
        <v>44</v>
      </c>
      <c r="D17" s="2">
        <v>0</v>
      </c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  <c r="M17" s="2">
        <v>9</v>
      </c>
      <c r="N17" s="2">
        <v>10</v>
      </c>
    </row>
    <row r="18" spans="1:14" x14ac:dyDescent="0.35">
      <c r="A18" t="s">
        <v>18</v>
      </c>
      <c r="B18" s="30">
        <f>ShareOfInflowByElevation!$K$12</f>
        <v>0.27278688524590167</v>
      </c>
      <c r="C18" s="2">
        <f>ShareOfInflowByElevation!K9-ShareOfInflowByElevation!C12</f>
        <v>2.08</v>
      </c>
      <c r="D18" s="7">
        <f>$B18*C$10</f>
        <v>0</v>
      </c>
      <c r="E18" s="7">
        <f>$B18*D$10</f>
        <v>0.27278688524590167</v>
      </c>
      <c r="F18" s="7">
        <f>$B18*E$10</f>
        <v>0.54557377049180333</v>
      </c>
      <c r="G18" s="7">
        <f>$B18*F$10</f>
        <v>0.818360655737705</v>
      </c>
      <c r="H18" s="7">
        <f>IF(H19&lt;$C19,G18,G18+H$17-SUM(G16:G18,H19))</f>
        <v>0.818360655737705</v>
      </c>
      <c r="I18" s="7">
        <f>IF(I19&lt;$C19,H18,H18+I$17-SUM(H16:H18,I19))</f>
        <v>0.818360655737705</v>
      </c>
      <c r="J18" s="7">
        <f t="shared" ref="J18:N18" si="2">IF(J19&lt;$C19,I18,I18+J$17-SUM(I16:I18,J19))</f>
        <v>0.818360655737705</v>
      </c>
      <c r="K18" s="7">
        <f t="shared" si="2"/>
        <v>0.818360655737705</v>
      </c>
      <c r="L18" s="7">
        <f t="shared" si="2"/>
        <v>0.818360655737705</v>
      </c>
      <c r="M18" s="7">
        <f t="shared" si="2"/>
        <v>0.818360655737705</v>
      </c>
      <c r="N18" s="7">
        <f t="shared" si="2"/>
        <v>0.818360655737705</v>
      </c>
    </row>
    <row r="19" spans="1:14" x14ac:dyDescent="0.35">
      <c r="A19" t="s">
        <v>19</v>
      </c>
      <c r="B19" s="30">
        <f>ShareOfInflowByElevation!$L$12</f>
        <v>3.5409836065573776E-2</v>
      </c>
      <c r="C19" s="2">
        <f>ShareOfInflowByElevation!L9-ShareOfInflowByElevation!D12</f>
        <v>0.27</v>
      </c>
      <c r="D19" s="7">
        <f>$B19*C$10</f>
        <v>0</v>
      </c>
      <c r="E19" s="7">
        <f>$B19*D$10</f>
        <v>3.5409836065573776E-2</v>
      </c>
      <c r="F19" s="7">
        <f>$B19*E$10</f>
        <v>7.0819672131147551E-2</v>
      </c>
      <c r="G19" s="7">
        <f>$B19*F$10</f>
        <v>0.10622950819672133</v>
      </c>
      <c r="H19" s="7">
        <f>IF(H20&lt;$C20,G19,G19+H$17-SUM(G17:G19,H20))</f>
        <v>0.10622950819672133</v>
      </c>
      <c r="I19" s="7">
        <f>IF(I20&lt;$C20,H19,H19+I$17-SUM(H17:H19,I20))</f>
        <v>0.10622950819672133</v>
      </c>
      <c r="J19" s="7">
        <f t="shared" ref="J19:N19" si="3">IF(J20&lt;$C20,I19,I19+J$17-SUM(I17:I19,J20))</f>
        <v>0.10622950819672133</v>
      </c>
      <c r="K19" s="7">
        <f t="shared" si="3"/>
        <v>-4.6687704918032775</v>
      </c>
      <c r="L19" s="7">
        <f t="shared" si="3"/>
        <v>-10.443770491803276</v>
      </c>
      <c r="M19" s="7">
        <f t="shared" si="3"/>
        <v>-17.218770491803276</v>
      </c>
      <c r="N19" s="7">
        <f t="shared" si="3"/>
        <v>-24.993770491803275</v>
      </c>
    </row>
    <row r="20" spans="1:14" x14ac:dyDescent="0.35">
      <c r="A20" t="s">
        <v>20</v>
      </c>
      <c r="B20" s="30">
        <f>ShareOfInflowByElevation!$M$12</f>
        <v>0.53114754098360661</v>
      </c>
      <c r="C20" s="2">
        <f>ShareOfInflowByElevation!M9-ShareOfInflowByElevation!E12</f>
        <v>4.0500000000000007</v>
      </c>
      <c r="D20" s="7">
        <f>$B20*C$10</f>
        <v>0</v>
      </c>
      <c r="E20" s="7">
        <f>$B20*D$10</f>
        <v>0.53114754098360661</v>
      </c>
      <c r="F20" s="7">
        <f>$B20*E$10</f>
        <v>1.0622950819672132</v>
      </c>
      <c r="G20" s="7">
        <f>$B20*F$10</f>
        <v>1.5934426229508198</v>
      </c>
      <c r="H20" s="7">
        <f>IF(H21&lt;$C21,G20,G20+H$17-SUM(G18:G20,H21))</f>
        <v>1.8504098360655732</v>
      </c>
      <c r="I20" s="7">
        <f>IF(I21&lt;$C21,H20,H20+I$17-SUM(H18:H20,I21))</f>
        <v>2.8504098360655736</v>
      </c>
      <c r="J20" s="7">
        <f t="shared" ref="J20:N20" si="4">IF(J21&lt;$C21,I20,I20+J$17-SUM(I18:I20,J21))</f>
        <v>3.8504098360655732</v>
      </c>
      <c r="K20" s="7">
        <f t="shared" si="4"/>
        <v>4.8504098360655732</v>
      </c>
      <c r="L20" s="7">
        <f t="shared" si="4"/>
        <v>10.625409836065572</v>
      </c>
      <c r="M20" s="7">
        <f t="shared" si="4"/>
        <v>17.40040983606557</v>
      </c>
      <c r="N20" s="7">
        <f t="shared" si="4"/>
        <v>25.175409836065569</v>
      </c>
    </row>
    <row r="21" spans="1:14" x14ac:dyDescent="0.35">
      <c r="A21" t="s">
        <v>4</v>
      </c>
      <c r="B21" s="30">
        <f>ShareOfInflowByElevation!$N$12</f>
        <v>0.16065573770491803</v>
      </c>
      <c r="C21" s="2">
        <f>ShareOfInflowByElevation!N9-ShareOfInflowByElevation!F12</f>
        <v>1.2250000000000001</v>
      </c>
      <c r="D21" s="7">
        <f>$B21*C$10</f>
        <v>0</v>
      </c>
      <c r="E21" s="7">
        <f>$B21*D$10</f>
        <v>0.16065573770491803</v>
      </c>
      <c r="F21" s="7">
        <f>$B21*E$10</f>
        <v>0.32131147540983607</v>
      </c>
      <c r="G21" s="7">
        <f>$B21*F$10</f>
        <v>0.4819672131147541</v>
      </c>
      <c r="H21" s="7">
        <f>IF(G21&gt;=$C21,$C21,MIN(G21+H17-G17,$C21))</f>
        <v>1.2250000000000001</v>
      </c>
      <c r="I21" s="7">
        <f>IF(H21&gt;=$C21,$C21,MIN(H21+I17-H17,$C21))</f>
        <v>1.2250000000000001</v>
      </c>
      <c r="J21" s="7">
        <f t="shared" ref="J21:N21" si="5">IF(I21&gt;=$C21,$C21,MIN(I21+J17-I17,$C21))</f>
        <v>1.2250000000000001</v>
      </c>
      <c r="K21" s="7">
        <f t="shared" si="5"/>
        <v>1.2250000000000001</v>
      </c>
      <c r="L21" s="7">
        <f t="shared" si="5"/>
        <v>1.2250000000000001</v>
      </c>
      <c r="M21" s="7">
        <f t="shared" si="5"/>
        <v>1.2250000000000001</v>
      </c>
      <c r="N21" s="7">
        <f t="shared" si="5"/>
        <v>1.2250000000000001</v>
      </c>
    </row>
    <row r="22" spans="1:14" x14ac:dyDescent="0.35">
      <c r="H22" s="7">
        <f>SUM(H18:H21)</f>
        <v>3.9999999999999996</v>
      </c>
      <c r="I22" s="7">
        <f>SUM(I18:I21)</f>
        <v>5</v>
      </c>
    </row>
  </sheetData>
  <mergeCells count="1">
    <mergeCell ref="C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3DD7-389E-4635-B2D0-E8AC525AFF63}">
  <dimension ref="A1:P36"/>
  <sheetViews>
    <sheetView zoomScale="150" zoomScaleNormal="150" workbookViewId="0">
      <selection activeCell="I10" sqref="I10"/>
    </sheetView>
  </sheetViews>
  <sheetFormatPr defaultRowHeight="14.5" x14ac:dyDescent="0.35"/>
  <cols>
    <col min="1" max="1" width="7.54296875" customWidth="1"/>
    <col min="2" max="3" width="9.1796875" customWidth="1"/>
    <col min="4" max="4" width="8.54296875" style="2" customWidth="1"/>
    <col min="5" max="5" width="9" style="2" customWidth="1"/>
    <col min="6" max="6" width="8.7265625" style="2" customWidth="1"/>
    <col min="7" max="7" width="8.81640625" style="2" customWidth="1"/>
    <col min="8" max="8" width="8.7265625" style="2" customWidth="1"/>
    <col min="9" max="9" width="8.54296875" style="2" customWidth="1"/>
    <col min="10" max="10" width="8.81640625" style="2" customWidth="1"/>
    <col min="11" max="11" width="8.7265625" style="2" customWidth="1"/>
    <col min="12" max="12" width="11.1796875" customWidth="1"/>
    <col min="13" max="13" width="11.54296875" style="2" customWidth="1"/>
    <col min="14" max="14" width="11.1796875" style="2" customWidth="1"/>
    <col min="15" max="15" width="12.1796875" customWidth="1"/>
    <col min="16" max="16" width="8.81640625" customWidth="1"/>
  </cols>
  <sheetData>
    <row r="1" spans="1:16" x14ac:dyDescent="0.35">
      <c r="A1" s="1" t="s">
        <v>0</v>
      </c>
    </row>
    <row r="3" spans="1:16" s="1" customFormat="1" x14ac:dyDescent="0.35">
      <c r="D3" s="29" t="s">
        <v>1</v>
      </c>
      <c r="E3" s="29"/>
      <c r="F3" s="29" t="s">
        <v>2</v>
      </c>
      <c r="G3" s="29"/>
      <c r="H3" s="29"/>
      <c r="I3" s="29" t="s">
        <v>3</v>
      </c>
      <c r="J3" s="29"/>
      <c r="K3" s="29"/>
      <c r="M3" s="29" t="s">
        <v>4</v>
      </c>
      <c r="N3" s="29"/>
      <c r="O3" s="29"/>
    </row>
    <row r="4" spans="1:16" s="4" customFormat="1" ht="42.65" customHeight="1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8</v>
      </c>
      <c r="G4" s="3" t="s">
        <v>9</v>
      </c>
      <c r="H4" s="3" t="s">
        <v>10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</row>
    <row r="5" spans="1:16" x14ac:dyDescent="0.35">
      <c r="A5" s="5">
        <v>1025</v>
      </c>
      <c r="B5" s="6">
        <v>5.981122</v>
      </c>
      <c r="C5" s="7">
        <v>0</v>
      </c>
      <c r="D5" s="2">
        <v>480</v>
      </c>
      <c r="E5" s="2">
        <v>20</v>
      </c>
      <c r="F5" s="2">
        <v>240</v>
      </c>
      <c r="G5" s="2">
        <v>10</v>
      </c>
      <c r="H5" s="2">
        <v>350</v>
      </c>
      <c r="I5" s="8">
        <f t="shared" ref="I5:J13" si="0">SUM(D5,F5)</f>
        <v>720</v>
      </c>
      <c r="J5" s="2">
        <f t="shared" si="0"/>
        <v>30</v>
      </c>
      <c r="K5" s="2">
        <f t="shared" ref="K5:K13" si="1">H5</f>
        <v>350</v>
      </c>
      <c r="L5" s="9">
        <f t="shared" ref="L5:L13" si="2">SUM(I5:K5)/1000</f>
        <v>1.1000000000000001</v>
      </c>
      <c r="M5" s="2">
        <v>125</v>
      </c>
      <c r="N5" s="2">
        <v>150</v>
      </c>
      <c r="O5" s="2">
        <f t="shared" ref="O5:O13" si="3">SUM(M5:N5)/1000</f>
        <v>0.27500000000000002</v>
      </c>
      <c r="P5" s="10">
        <f t="shared" ref="P5:P13" si="4">SUM(L5,O5)</f>
        <v>1.375</v>
      </c>
    </row>
    <row r="6" spans="1:16" x14ac:dyDescent="0.35">
      <c r="A6" s="5">
        <v>1030</v>
      </c>
      <c r="B6" s="6">
        <v>6.305377</v>
      </c>
      <c r="C6" s="7">
        <f t="shared" ref="C6:C12" si="5">B5</f>
        <v>5.981122</v>
      </c>
      <c r="D6" s="2">
        <v>400</v>
      </c>
      <c r="E6" s="2">
        <v>17</v>
      </c>
      <c r="F6" s="2">
        <v>240</v>
      </c>
      <c r="G6" s="2">
        <v>10</v>
      </c>
      <c r="H6" s="2">
        <v>350</v>
      </c>
      <c r="I6" s="8">
        <f t="shared" si="0"/>
        <v>640</v>
      </c>
      <c r="J6" s="2">
        <f t="shared" si="0"/>
        <v>27</v>
      </c>
      <c r="K6" s="2">
        <f t="shared" si="1"/>
        <v>350</v>
      </c>
      <c r="L6" s="9">
        <f t="shared" si="2"/>
        <v>1.0169999999999999</v>
      </c>
      <c r="M6" s="2">
        <v>70</v>
      </c>
      <c r="N6" s="2">
        <v>101</v>
      </c>
      <c r="O6" s="2">
        <f t="shared" si="3"/>
        <v>0.17100000000000001</v>
      </c>
      <c r="P6" s="10">
        <f t="shared" si="4"/>
        <v>1.1879999999999999</v>
      </c>
    </row>
    <row r="7" spans="1:16" x14ac:dyDescent="0.35">
      <c r="A7" s="5">
        <v>1035</v>
      </c>
      <c r="B7" s="6">
        <v>6.6375080000000004</v>
      </c>
      <c r="C7" s="7">
        <f t="shared" si="5"/>
        <v>6.305377</v>
      </c>
      <c r="D7" s="2">
        <v>400</v>
      </c>
      <c r="E7" s="2">
        <v>17</v>
      </c>
      <c r="F7" s="2">
        <v>240</v>
      </c>
      <c r="G7" s="2">
        <v>10</v>
      </c>
      <c r="H7" s="2">
        <v>300</v>
      </c>
      <c r="I7" s="8">
        <f t="shared" si="0"/>
        <v>640</v>
      </c>
      <c r="J7" s="2">
        <f t="shared" si="0"/>
        <v>27</v>
      </c>
      <c r="K7" s="2">
        <f t="shared" si="1"/>
        <v>300</v>
      </c>
      <c r="L7" s="9">
        <f t="shared" si="2"/>
        <v>0.96699999999999997</v>
      </c>
      <c r="M7" s="2">
        <v>70</v>
      </c>
      <c r="N7" s="2">
        <v>92</v>
      </c>
      <c r="O7" s="2">
        <f t="shared" si="3"/>
        <v>0.16200000000000001</v>
      </c>
      <c r="P7" s="10">
        <f t="shared" si="4"/>
        <v>1.129</v>
      </c>
    </row>
    <row r="8" spans="1:16" x14ac:dyDescent="0.35">
      <c r="A8" s="5">
        <v>1040</v>
      </c>
      <c r="B8" s="6">
        <v>6.977665</v>
      </c>
      <c r="C8" s="7">
        <f t="shared" si="5"/>
        <v>6.6375080000000004</v>
      </c>
      <c r="D8" s="2">
        <v>400</v>
      </c>
      <c r="E8" s="2">
        <v>17</v>
      </c>
      <c r="F8" s="2">
        <v>240</v>
      </c>
      <c r="G8" s="2">
        <v>10</v>
      </c>
      <c r="H8" s="2">
        <v>250</v>
      </c>
      <c r="I8" s="8">
        <f t="shared" si="0"/>
        <v>640</v>
      </c>
      <c r="J8" s="2">
        <f t="shared" si="0"/>
        <v>27</v>
      </c>
      <c r="K8" s="2">
        <f t="shared" si="1"/>
        <v>250</v>
      </c>
      <c r="L8" s="9">
        <f t="shared" si="2"/>
        <v>0.91700000000000004</v>
      </c>
      <c r="M8" s="2">
        <v>70</v>
      </c>
      <c r="N8" s="2">
        <v>84</v>
      </c>
      <c r="O8" s="2">
        <f t="shared" si="3"/>
        <v>0.154</v>
      </c>
      <c r="P8" s="10">
        <f t="shared" si="4"/>
        <v>1.071</v>
      </c>
    </row>
    <row r="9" spans="1:16" x14ac:dyDescent="0.35">
      <c r="A9" s="5">
        <v>1045</v>
      </c>
      <c r="B9" s="6">
        <v>7.3260519999999998</v>
      </c>
      <c r="C9" s="7">
        <f t="shared" si="5"/>
        <v>6.977665</v>
      </c>
      <c r="D9" s="2">
        <v>400</v>
      </c>
      <c r="E9" s="2">
        <v>17</v>
      </c>
      <c r="F9" s="2">
        <v>240</v>
      </c>
      <c r="G9" s="2">
        <v>10</v>
      </c>
      <c r="H9" s="2">
        <v>200</v>
      </c>
      <c r="I9" s="8">
        <f t="shared" si="0"/>
        <v>640</v>
      </c>
      <c r="J9" s="2">
        <f t="shared" si="0"/>
        <v>27</v>
      </c>
      <c r="K9" s="2">
        <f t="shared" si="1"/>
        <v>200</v>
      </c>
      <c r="L9" s="9">
        <f t="shared" si="2"/>
        <v>0.86699999999999999</v>
      </c>
      <c r="M9" s="2">
        <v>70</v>
      </c>
      <c r="N9" s="2">
        <v>76</v>
      </c>
      <c r="O9" s="2">
        <f t="shared" si="3"/>
        <v>0.14599999999999999</v>
      </c>
      <c r="P9" s="10">
        <f t="shared" si="4"/>
        <v>1.0129999999999999</v>
      </c>
    </row>
    <row r="10" spans="1:16" x14ac:dyDescent="0.35">
      <c r="A10" s="5">
        <v>1050</v>
      </c>
      <c r="B10" s="6">
        <v>7.6828779999999997</v>
      </c>
      <c r="C10" s="7">
        <f t="shared" si="5"/>
        <v>7.3260519999999998</v>
      </c>
      <c r="D10" s="2">
        <v>400</v>
      </c>
      <c r="E10" s="2">
        <v>17</v>
      </c>
      <c r="F10" s="2">
        <v>192</v>
      </c>
      <c r="G10" s="2">
        <v>8</v>
      </c>
      <c r="H10" s="2">
        <v>0</v>
      </c>
      <c r="I10" s="8">
        <f t="shared" si="0"/>
        <v>592</v>
      </c>
      <c r="J10" s="2">
        <f t="shared" si="0"/>
        <v>25</v>
      </c>
      <c r="K10" s="2">
        <f t="shared" si="1"/>
        <v>0</v>
      </c>
      <c r="L10" s="9">
        <f t="shared" si="2"/>
        <v>0.61699999999999999</v>
      </c>
      <c r="M10" s="2">
        <v>70</v>
      </c>
      <c r="N10" s="2">
        <v>34</v>
      </c>
      <c r="O10" s="2">
        <f t="shared" si="3"/>
        <v>0.104</v>
      </c>
      <c r="P10" s="10">
        <f t="shared" si="4"/>
        <v>0.72099999999999997</v>
      </c>
    </row>
    <row r="11" spans="1:16" x14ac:dyDescent="0.35">
      <c r="A11" s="5">
        <v>1075</v>
      </c>
      <c r="B11" s="6">
        <v>9.6009879999900001</v>
      </c>
      <c r="C11" s="7">
        <f t="shared" si="5"/>
        <v>7.6828779999999997</v>
      </c>
      <c r="D11" s="2">
        <v>320</v>
      </c>
      <c r="E11" s="2">
        <v>13</v>
      </c>
      <c r="F11" s="2">
        <v>192</v>
      </c>
      <c r="G11" s="2">
        <v>8</v>
      </c>
      <c r="H11" s="2">
        <v>0</v>
      </c>
      <c r="I11" s="8">
        <f t="shared" si="0"/>
        <v>512</v>
      </c>
      <c r="J11" s="2">
        <f t="shared" si="0"/>
        <v>21</v>
      </c>
      <c r="K11" s="2">
        <f t="shared" si="1"/>
        <v>0</v>
      </c>
      <c r="L11" s="9">
        <f t="shared" si="2"/>
        <v>0.53300000000000003</v>
      </c>
      <c r="M11" s="2">
        <v>50</v>
      </c>
      <c r="N11" s="2">
        <v>30</v>
      </c>
      <c r="O11" s="10">
        <f t="shared" si="3"/>
        <v>0.08</v>
      </c>
      <c r="P11" s="10">
        <f t="shared" si="4"/>
        <v>0.61299999999999999</v>
      </c>
    </row>
    <row r="12" spans="1:16" x14ac:dyDescent="0.35">
      <c r="A12" s="5">
        <v>1090</v>
      </c>
      <c r="B12" s="6">
        <v>10.857008</v>
      </c>
      <c r="C12" s="7">
        <f t="shared" si="5"/>
        <v>9.6009879999900001</v>
      </c>
      <c r="D12" s="2">
        <v>0</v>
      </c>
      <c r="E12" s="2">
        <v>0</v>
      </c>
      <c r="F12" s="2">
        <v>192</v>
      </c>
      <c r="G12" s="2">
        <v>8</v>
      </c>
      <c r="H12" s="2">
        <v>0</v>
      </c>
      <c r="I12" s="8">
        <f t="shared" si="0"/>
        <v>192</v>
      </c>
      <c r="J12" s="2">
        <f t="shared" si="0"/>
        <v>8</v>
      </c>
      <c r="K12" s="2">
        <f t="shared" si="1"/>
        <v>0</v>
      </c>
      <c r="L12" s="9">
        <f t="shared" si="2"/>
        <v>0.2</v>
      </c>
      <c r="M12" s="2">
        <v>0</v>
      </c>
      <c r="N12" s="2">
        <v>41</v>
      </c>
      <c r="O12" s="2">
        <f t="shared" si="3"/>
        <v>4.1000000000000002E-2</v>
      </c>
      <c r="P12" s="10">
        <f t="shared" si="4"/>
        <v>0.24100000000000002</v>
      </c>
    </row>
    <row r="13" spans="1:16" x14ac:dyDescent="0.35">
      <c r="A13" s="5">
        <v>1090.0999999999999</v>
      </c>
      <c r="B13" s="6">
        <v>10.9</v>
      </c>
      <c r="C13" s="7">
        <f>B12</f>
        <v>10.857008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f t="shared" si="0"/>
        <v>0</v>
      </c>
      <c r="J13" s="6">
        <f t="shared" si="0"/>
        <v>0</v>
      </c>
      <c r="K13" s="6">
        <f t="shared" si="1"/>
        <v>0</v>
      </c>
      <c r="L13" s="11">
        <f t="shared" si="2"/>
        <v>0</v>
      </c>
      <c r="M13" s="12">
        <v>0</v>
      </c>
      <c r="N13" s="13">
        <v>0</v>
      </c>
      <c r="O13" s="2">
        <f t="shared" si="3"/>
        <v>0</v>
      </c>
      <c r="P13" s="14">
        <f t="shared" si="4"/>
        <v>0</v>
      </c>
    </row>
    <row r="14" spans="1:16" x14ac:dyDescent="0.35">
      <c r="B14" s="15"/>
    </row>
    <row r="15" spans="1:16" x14ac:dyDescent="0.35">
      <c r="B15" s="16"/>
      <c r="C15" s="17"/>
    </row>
    <row r="16" spans="1:16" x14ac:dyDescent="0.35">
      <c r="A16" t="s">
        <v>16</v>
      </c>
    </row>
    <row r="17" spans="1:16" x14ac:dyDescent="0.35">
      <c r="A17" s="18">
        <v>1091</v>
      </c>
    </row>
    <row r="18" spans="1:16" x14ac:dyDescent="0.35">
      <c r="A18" s="5">
        <v>1090</v>
      </c>
      <c r="D18" s="2">
        <v>0</v>
      </c>
      <c r="E18" s="2">
        <v>0</v>
      </c>
      <c r="F18" s="2">
        <v>192</v>
      </c>
      <c r="G18" s="2">
        <v>8</v>
      </c>
      <c r="H18" s="2">
        <v>0</v>
      </c>
      <c r="I18" s="8">
        <f>SUM(D18,F18)</f>
        <v>192</v>
      </c>
      <c r="J18" s="2">
        <f>SUM(E18,G18)</f>
        <v>8</v>
      </c>
      <c r="K18" s="2">
        <f>H18</f>
        <v>0</v>
      </c>
      <c r="L18" s="9">
        <f>SUM(I18:K18)/1000</f>
        <v>0.2</v>
      </c>
      <c r="M18" s="2">
        <v>0</v>
      </c>
      <c r="N18" s="2">
        <v>41</v>
      </c>
      <c r="O18" s="2">
        <f>SUM(M18:N18)/1000</f>
        <v>4.1000000000000002E-2</v>
      </c>
      <c r="P18" s="10">
        <f>SUM(L18,O18)</f>
        <v>0.24100000000000002</v>
      </c>
    </row>
    <row r="19" spans="1:16" x14ac:dyDescent="0.35">
      <c r="A19" s="5">
        <v>1075</v>
      </c>
      <c r="D19" s="2">
        <v>320</v>
      </c>
      <c r="E19" s="2">
        <v>13</v>
      </c>
      <c r="F19" s="2">
        <v>192</v>
      </c>
      <c r="G19" s="2">
        <v>8</v>
      </c>
      <c r="H19" s="2">
        <v>0</v>
      </c>
      <c r="I19" s="8">
        <f t="shared" ref="I19:J25" si="6">SUM(D19,F19)</f>
        <v>512</v>
      </c>
      <c r="J19" s="2">
        <f t="shared" si="6"/>
        <v>21</v>
      </c>
      <c r="K19" s="2">
        <f t="shared" ref="K19:K25" si="7">H19</f>
        <v>0</v>
      </c>
      <c r="L19" s="9">
        <f t="shared" ref="L19:L25" si="8">SUM(I19:K19)/1000</f>
        <v>0.53300000000000003</v>
      </c>
      <c r="M19" s="2">
        <v>50</v>
      </c>
      <c r="N19" s="2">
        <v>30</v>
      </c>
      <c r="O19" s="2">
        <f t="shared" ref="O19:O25" si="9">SUM(M19:N19)/1000</f>
        <v>0.08</v>
      </c>
      <c r="P19" s="10">
        <f t="shared" ref="P19:P25" si="10">SUM(L19,O19)</f>
        <v>0.61299999999999999</v>
      </c>
    </row>
    <row r="20" spans="1:16" x14ac:dyDescent="0.35">
      <c r="A20" s="5">
        <v>1050</v>
      </c>
      <c r="D20" s="2">
        <v>400</v>
      </c>
      <c r="E20" s="2">
        <v>17</v>
      </c>
      <c r="F20" s="2">
        <v>192</v>
      </c>
      <c r="G20" s="2">
        <v>8</v>
      </c>
      <c r="H20" s="2">
        <v>0</v>
      </c>
      <c r="I20" s="8">
        <f t="shared" si="6"/>
        <v>592</v>
      </c>
      <c r="J20" s="2">
        <f t="shared" si="6"/>
        <v>25</v>
      </c>
      <c r="K20" s="2">
        <f t="shared" si="7"/>
        <v>0</v>
      </c>
      <c r="L20" s="9">
        <f t="shared" si="8"/>
        <v>0.61699999999999999</v>
      </c>
      <c r="M20" s="2">
        <v>70</v>
      </c>
      <c r="N20" s="2">
        <v>34</v>
      </c>
      <c r="O20" s="2">
        <f t="shared" si="9"/>
        <v>0.104</v>
      </c>
      <c r="P20" s="10">
        <f t="shared" si="10"/>
        <v>0.72099999999999997</v>
      </c>
    </row>
    <row r="21" spans="1:16" x14ac:dyDescent="0.35">
      <c r="A21" s="5">
        <v>1045</v>
      </c>
      <c r="D21" s="2">
        <v>400</v>
      </c>
      <c r="E21" s="2">
        <v>17</v>
      </c>
      <c r="F21" s="2">
        <v>240</v>
      </c>
      <c r="G21" s="2">
        <v>10</v>
      </c>
      <c r="H21" s="2">
        <v>200</v>
      </c>
      <c r="I21" s="8">
        <f t="shared" si="6"/>
        <v>640</v>
      </c>
      <c r="J21" s="2">
        <f t="shared" si="6"/>
        <v>27</v>
      </c>
      <c r="K21" s="2">
        <f t="shared" si="7"/>
        <v>200</v>
      </c>
      <c r="L21" s="9">
        <f t="shared" si="8"/>
        <v>0.86699999999999999</v>
      </c>
      <c r="M21" s="2">
        <v>70</v>
      </c>
      <c r="N21" s="2">
        <v>76</v>
      </c>
      <c r="O21" s="2">
        <f t="shared" si="9"/>
        <v>0.14599999999999999</v>
      </c>
      <c r="P21" s="10">
        <f t="shared" si="10"/>
        <v>1.0129999999999999</v>
      </c>
    </row>
    <row r="22" spans="1:16" x14ac:dyDescent="0.35">
      <c r="A22" s="5">
        <v>1040</v>
      </c>
      <c r="D22" s="2">
        <v>400</v>
      </c>
      <c r="E22" s="2">
        <v>17</v>
      </c>
      <c r="F22" s="2">
        <v>240</v>
      </c>
      <c r="G22" s="2">
        <v>10</v>
      </c>
      <c r="H22" s="2">
        <v>250</v>
      </c>
      <c r="I22" s="8">
        <f t="shared" si="6"/>
        <v>640</v>
      </c>
      <c r="J22" s="2">
        <f t="shared" si="6"/>
        <v>27</v>
      </c>
      <c r="K22" s="2">
        <f t="shared" si="7"/>
        <v>250</v>
      </c>
      <c r="L22" s="9">
        <f t="shared" si="8"/>
        <v>0.91700000000000004</v>
      </c>
      <c r="M22" s="2">
        <v>70</v>
      </c>
      <c r="N22" s="2">
        <v>84</v>
      </c>
      <c r="O22" s="2">
        <f t="shared" si="9"/>
        <v>0.154</v>
      </c>
      <c r="P22" s="10">
        <f t="shared" si="10"/>
        <v>1.071</v>
      </c>
    </row>
    <row r="23" spans="1:16" x14ac:dyDescent="0.35">
      <c r="A23" s="5">
        <v>1035</v>
      </c>
      <c r="D23" s="2">
        <v>400</v>
      </c>
      <c r="E23" s="2">
        <v>17</v>
      </c>
      <c r="F23" s="2">
        <v>240</v>
      </c>
      <c r="G23" s="2">
        <v>10</v>
      </c>
      <c r="H23" s="2">
        <v>300</v>
      </c>
      <c r="I23" s="8">
        <f t="shared" si="6"/>
        <v>640</v>
      </c>
      <c r="J23" s="2">
        <f t="shared" si="6"/>
        <v>27</v>
      </c>
      <c r="K23" s="2">
        <f t="shared" si="7"/>
        <v>300</v>
      </c>
      <c r="L23" s="9">
        <f t="shared" si="8"/>
        <v>0.96699999999999997</v>
      </c>
      <c r="M23" s="2">
        <v>70</v>
      </c>
      <c r="N23" s="2">
        <v>92</v>
      </c>
      <c r="O23" s="2">
        <f t="shared" si="9"/>
        <v>0.16200000000000001</v>
      </c>
      <c r="P23" s="10">
        <f t="shared" si="10"/>
        <v>1.129</v>
      </c>
    </row>
    <row r="24" spans="1:16" x14ac:dyDescent="0.35">
      <c r="A24" s="5">
        <v>1030</v>
      </c>
      <c r="D24" s="2">
        <v>400</v>
      </c>
      <c r="E24" s="2">
        <v>17</v>
      </c>
      <c r="F24" s="2">
        <v>240</v>
      </c>
      <c r="G24" s="2">
        <v>10</v>
      </c>
      <c r="H24" s="2">
        <v>350</v>
      </c>
      <c r="I24" s="8">
        <f t="shared" si="6"/>
        <v>640</v>
      </c>
      <c r="J24" s="2">
        <f t="shared" si="6"/>
        <v>27</v>
      </c>
      <c r="K24" s="2">
        <f t="shared" si="7"/>
        <v>350</v>
      </c>
      <c r="L24" s="9">
        <f t="shared" si="8"/>
        <v>1.0169999999999999</v>
      </c>
      <c r="M24" s="2">
        <v>70</v>
      </c>
      <c r="N24" s="2">
        <v>101</v>
      </c>
      <c r="O24" s="2">
        <f t="shared" si="9"/>
        <v>0.17100000000000001</v>
      </c>
      <c r="P24" s="10">
        <f t="shared" si="10"/>
        <v>1.1879999999999999</v>
      </c>
    </row>
    <row r="25" spans="1:16" x14ac:dyDescent="0.35">
      <c r="A25" s="5">
        <v>1025</v>
      </c>
      <c r="D25" s="2">
        <v>480</v>
      </c>
      <c r="E25" s="2">
        <v>20</v>
      </c>
      <c r="F25" s="2">
        <v>240</v>
      </c>
      <c r="G25" s="2">
        <v>10</v>
      </c>
      <c r="H25" s="2">
        <v>350</v>
      </c>
      <c r="I25" s="8">
        <f t="shared" si="6"/>
        <v>720</v>
      </c>
      <c r="J25" s="2">
        <f t="shared" si="6"/>
        <v>30</v>
      </c>
      <c r="K25" s="2">
        <f t="shared" si="7"/>
        <v>350</v>
      </c>
      <c r="L25" s="9">
        <f t="shared" si="8"/>
        <v>1.1000000000000001</v>
      </c>
      <c r="M25" s="2">
        <v>125</v>
      </c>
      <c r="N25" s="2">
        <v>150</v>
      </c>
      <c r="O25" s="2">
        <f t="shared" si="9"/>
        <v>0.27500000000000002</v>
      </c>
      <c r="P25" s="10">
        <f t="shared" si="10"/>
        <v>1.375</v>
      </c>
    </row>
    <row r="26" spans="1:16" x14ac:dyDescent="0.35">
      <c r="A26" s="19">
        <v>955</v>
      </c>
    </row>
    <row r="29" spans="1:16" x14ac:dyDescent="0.35">
      <c r="A29" s="5"/>
      <c r="I29" s="8"/>
      <c r="L29" s="9"/>
      <c r="O29" s="2"/>
      <c r="P29" s="10"/>
    </row>
    <row r="30" spans="1:16" x14ac:dyDescent="0.35">
      <c r="A30" s="5"/>
      <c r="I30" s="8"/>
      <c r="L30" s="9"/>
      <c r="O30" s="2"/>
      <c r="P30" s="10"/>
    </row>
    <row r="31" spans="1:16" x14ac:dyDescent="0.35">
      <c r="A31" s="5"/>
      <c r="I31" s="8"/>
      <c r="L31" s="9"/>
      <c r="O31" s="2"/>
      <c r="P31" s="10"/>
    </row>
    <row r="32" spans="1:16" x14ac:dyDescent="0.35">
      <c r="A32" s="5"/>
      <c r="I32" s="8"/>
      <c r="L32" s="9"/>
      <c r="O32" s="2"/>
      <c r="P32" s="10"/>
    </row>
    <row r="33" spans="1:16" x14ac:dyDescent="0.35">
      <c r="A33" s="5"/>
      <c r="I33" s="8"/>
      <c r="L33" s="9"/>
      <c r="O33" s="2"/>
      <c r="P33" s="10"/>
    </row>
    <row r="34" spans="1:16" x14ac:dyDescent="0.35">
      <c r="A34" s="5"/>
      <c r="I34" s="8"/>
      <c r="L34" s="9"/>
      <c r="O34" s="2"/>
      <c r="P34" s="10"/>
    </row>
    <row r="35" spans="1:16" x14ac:dyDescent="0.35">
      <c r="A35" s="5"/>
      <c r="I35" s="8"/>
      <c r="L35" s="9"/>
      <c r="O35" s="2"/>
      <c r="P35" s="10"/>
    </row>
    <row r="36" spans="1:16" x14ac:dyDescent="0.35">
      <c r="A36" s="5"/>
      <c r="I36" s="8"/>
      <c r="L36" s="9"/>
      <c r="O36" s="2"/>
      <c r="P36" s="10"/>
    </row>
  </sheetData>
  <mergeCells count="4">
    <mergeCell ref="D3:E3"/>
    <mergeCell ref="F3:H3"/>
    <mergeCell ref="I3:K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ShareOfInflowByElevation</vt:lpstr>
      <vt:lpstr>ShareOfInflowByInflowVolume</vt:lpstr>
      <vt:lpstr>LowerBasinCuts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2021-09-02T21:49:13Z</dcterms:created>
  <dcterms:modified xsi:type="dcterms:W3CDTF">2022-04-06T19:29:55Z</dcterms:modified>
</cp:coreProperties>
</file>