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9"/>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6EA71EFB-0D12-41FB-BC20-3E48CAC36CB8}" xr6:coauthVersionLast="36" xr6:coauthVersionMax="36" xr10:uidLastSave="{00000000-0000-0000-0000-000000000000}"/>
  <bookViews>
    <workbookView xWindow="0" yWindow="0" windowWidth="19200" windowHeight="6650" activeTab="2" xr2:uid="{5373AB19-D84C-490D-97DC-C516D358024A}"/>
  </bookViews>
  <sheets>
    <sheet name="ReadMe-Directions" sheetId="6" r:id="rId1"/>
    <sheet name="Versions" sheetId="31" r:id="rId2"/>
    <sheet name="Master" sheetId="47" r:id="rId3"/>
    <sheet name="Master-LawOfRiver" sheetId="52" r:id="rId4"/>
    <sheet name="Master-Plots" sheetId="53" r:id="rId5"/>
    <sheet name="8.1-Trade" sheetId="33" r:id="rId6"/>
    <sheet name="8.1-LawOfRiver" sheetId="48" r:id="rId7"/>
    <sheet name="8.1-Plots" sheetId="19" r:id="rId8"/>
    <sheet name="MillenniumRecover-LawOfRiver" sheetId="49" r:id="rId9"/>
    <sheet name="MillenniumRecover-Trade" sheetId="50" r:id="rId10"/>
    <sheet name="Millennium-Plots" sheetId="28" r:id="rId11"/>
    <sheet name="MillenniumRecover-Delta" sheetId="51" r:id="rId12"/>
    <sheet name="MandatoryConservation" sheetId="41" r:id="rId13"/>
    <sheet name="HydrologicScenarios" sheetId="7" r:id="rId14"/>
    <sheet name="PowellReleaseTemperature" sheetId="43" r:id="rId15"/>
    <sheet name="Powell-Elevation-Area" sheetId="2" r:id="rId16"/>
    <sheet name="Mead-Elevation-Area" sheetId="10" r:id="rId17"/>
    <sheet name="11.0-LawOfRiverShort" sheetId="16" r:id="rId18"/>
    <sheet name="CellType" sheetId="54" r:id="rId1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5" i="47" l="1"/>
  <c r="B25" i="47"/>
  <c r="E50" i="47" l="1"/>
  <c r="F50" i="47"/>
  <c r="G50" i="47"/>
  <c r="H50" i="47"/>
  <c r="I50" i="47"/>
  <c r="J50" i="47"/>
  <c r="K50" i="47"/>
  <c r="L50" i="47"/>
  <c r="E51" i="47"/>
  <c r="F51" i="47"/>
  <c r="G51" i="47"/>
  <c r="H51" i="47"/>
  <c r="I51" i="47"/>
  <c r="J51" i="47"/>
  <c r="K51" i="47"/>
  <c r="L51" i="47"/>
  <c r="E52" i="47"/>
  <c r="F52" i="47"/>
  <c r="G52" i="47"/>
  <c r="H52" i="47"/>
  <c r="I52" i="47"/>
  <c r="J52" i="47"/>
  <c r="K52" i="47"/>
  <c r="L52" i="47"/>
  <c r="E53" i="47"/>
  <c r="F53" i="47"/>
  <c r="G53" i="47"/>
  <c r="H53" i="47"/>
  <c r="I53" i="47"/>
  <c r="J53" i="47"/>
  <c r="K53" i="47"/>
  <c r="L53" i="47"/>
  <c r="E54" i="47"/>
  <c r="F54" i="47"/>
  <c r="G54" i="47"/>
  <c r="H54" i="47"/>
  <c r="I54" i="47"/>
  <c r="J54" i="47"/>
  <c r="K54" i="47"/>
  <c r="L54" i="47"/>
  <c r="E56" i="47"/>
  <c r="F56" i="47"/>
  <c r="G56" i="47"/>
  <c r="H56" i="47"/>
  <c r="I56" i="47"/>
  <c r="J56" i="47"/>
  <c r="K56" i="47"/>
  <c r="L56" i="47"/>
  <c r="E57" i="47"/>
  <c r="F57" i="47"/>
  <c r="G57" i="47"/>
  <c r="H57" i="47"/>
  <c r="I57" i="47"/>
  <c r="J57" i="47"/>
  <c r="K57" i="47"/>
  <c r="L57" i="47"/>
  <c r="A57" i="47" l="1"/>
  <c r="B24" i="47" l="1"/>
  <c r="N59" i="47" l="1"/>
  <c r="N27" i="47"/>
  <c r="A55" i="47" l="1"/>
  <c r="B22" i="47"/>
  <c r="G55" i="47" l="1"/>
  <c r="F55" i="47"/>
  <c r="H55" i="47"/>
  <c r="I55" i="47"/>
  <c r="J55" i="47"/>
  <c r="K55" i="47"/>
  <c r="L55" i="47"/>
  <c r="E55" i="47"/>
  <c r="B22" i="52"/>
  <c r="C20" i="52"/>
  <c r="B20" i="52"/>
  <c r="B19" i="52"/>
  <c r="C19" i="52"/>
  <c r="C18" i="52"/>
  <c r="B18" i="52"/>
  <c r="F40" i="47" l="1"/>
  <c r="G40" i="47"/>
  <c r="H40" i="47"/>
  <c r="I40" i="47"/>
  <c r="J40" i="47"/>
  <c r="K40" i="47"/>
  <c r="L40" i="47"/>
  <c r="F41" i="47"/>
  <c r="G41" i="47"/>
  <c r="H41" i="47"/>
  <c r="I41" i="47"/>
  <c r="J41" i="47"/>
  <c r="K41" i="47"/>
  <c r="L41" i="47"/>
  <c r="C41" i="47"/>
  <c r="C40" i="47"/>
  <c r="G7" i="43" l="1"/>
  <c r="G8" i="43"/>
  <c r="G9" i="43"/>
  <c r="G10" i="43"/>
  <c r="G11" i="43"/>
  <c r="G6" i="43"/>
  <c r="G5" i="43"/>
  <c r="F25" i="52" l="1"/>
  <c r="B51" i="52"/>
  <c r="B54" i="47"/>
  <c r="D25" i="52"/>
  <c r="B10" i="52"/>
  <c r="D27" i="52" l="1"/>
  <c r="F27" i="52"/>
  <c r="H30" i="47"/>
  <c r="I30" i="47"/>
  <c r="J30" i="47"/>
  <c r="K30" i="47"/>
  <c r="L30" i="47"/>
  <c r="D30" i="47"/>
  <c r="E30" i="47"/>
  <c r="F30" i="47"/>
  <c r="G30" i="47"/>
  <c r="C30" i="47"/>
  <c r="H48" i="48" l="1"/>
  <c r="I48" i="48"/>
  <c r="J48" i="48"/>
  <c r="K48" i="48"/>
  <c r="L48" i="48"/>
  <c r="C48" i="48"/>
  <c r="H48" i="33"/>
  <c r="I48" i="33"/>
  <c r="J48" i="33"/>
  <c r="K48" i="33"/>
  <c r="L48" i="33"/>
  <c r="C48" i="33"/>
  <c r="D26" i="48"/>
  <c r="E26" i="48"/>
  <c r="F26" i="48"/>
  <c r="G26" i="48"/>
  <c r="C26" i="48"/>
  <c r="A9" i="52"/>
  <c r="A110" i="52" s="1"/>
  <c r="A45" i="52"/>
  <c r="B9" i="52"/>
  <c r="B8" i="52"/>
  <c r="B6" i="52"/>
  <c r="B7" i="52"/>
  <c r="B5" i="52"/>
  <c r="H25" i="52"/>
  <c r="I25" i="52"/>
  <c r="J25" i="52"/>
  <c r="K25" i="52"/>
  <c r="K38" i="52" s="1"/>
  <c r="L25" i="52"/>
  <c r="E25" i="52"/>
  <c r="G25" i="52"/>
  <c r="C25" i="52"/>
  <c r="A124" i="52"/>
  <c r="A123" i="52"/>
  <c r="A122" i="52"/>
  <c r="A121" i="52"/>
  <c r="A117" i="52"/>
  <c r="A116" i="52"/>
  <c r="A115" i="52"/>
  <c r="A114" i="52"/>
  <c r="A109" i="52"/>
  <c r="A108" i="52"/>
  <c r="A107" i="52"/>
  <c r="A106" i="52"/>
  <c r="M98" i="52"/>
  <c r="M97" i="52"/>
  <c r="M90" i="52"/>
  <c r="M89" i="52"/>
  <c r="M82" i="52"/>
  <c r="M81" i="52"/>
  <c r="A80" i="52"/>
  <c r="M74" i="52"/>
  <c r="M73" i="52"/>
  <c r="A72" i="52"/>
  <c r="M66" i="52"/>
  <c r="M65" i="52"/>
  <c r="A64" i="52"/>
  <c r="M58" i="52"/>
  <c r="M57" i="52"/>
  <c r="A56" i="52"/>
  <c r="A51" i="52"/>
  <c r="A50" i="52"/>
  <c r="B49" i="52"/>
  <c r="A49" i="52"/>
  <c r="A48" i="52"/>
  <c r="A43" i="52"/>
  <c r="A42" i="52"/>
  <c r="A41" i="52"/>
  <c r="A40" i="52"/>
  <c r="A33" i="52"/>
  <c r="A32" i="52"/>
  <c r="A31" i="52"/>
  <c r="A30" i="52"/>
  <c r="C21" i="52"/>
  <c r="B31" i="52" s="1"/>
  <c r="B21" i="52"/>
  <c r="A1" i="52"/>
  <c r="A52" i="52" l="1"/>
  <c r="A125" i="52"/>
  <c r="J125" i="52" s="1"/>
  <c r="I107" i="52"/>
  <c r="K26" i="52"/>
  <c r="K130" i="52" s="1"/>
  <c r="I28" i="52"/>
  <c r="I117" i="52"/>
  <c r="H51" i="52"/>
  <c r="H50" i="52"/>
  <c r="H47" i="52"/>
  <c r="H49" i="52"/>
  <c r="H27" i="52"/>
  <c r="H48" i="52"/>
  <c r="I48" i="52"/>
  <c r="I51" i="52"/>
  <c r="I50" i="52"/>
  <c r="I47" i="52"/>
  <c r="I27" i="52"/>
  <c r="I49" i="52"/>
  <c r="A57" i="52"/>
  <c r="A58" i="52" s="1"/>
  <c r="A118" i="52"/>
  <c r="E118" i="52" s="1"/>
  <c r="I132" i="52"/>
  <c r="I26" i="52"/>
  <c r="L134" i="52"/>
  <c r="L27" i="52"/>
  <c r="L51" i="52"/>
  <c r="L50" i="52"/>
  <c r="L48" i="52"/>
  <c r="L49" i="52"/>
  <c r="L47" i="52"/>
  <c r="A73" i="52"/>
  <c r="A74" i="52" s="1"/>
  <c r="J137" i="52"/>
  <c r="J48" i="52"/>
  <c r="J27" i="52"/>
  <c r="J49" i="52"/>
  <c r="J51" i="52"/>
  <c r="J50" i="52"/>
  <c r="J47" i="52"/>
  <c r="I37" i="52"/>
  <c r="I39" i="52"/>
  <c r="K48" i="52"/>
  <c r="K27" i="52"/>
  <c r="K51" i="52"/>
  <c r="K50" i="52"/>
  <c r="K47" i="52"/>
  <c r="K49" i="52"/>
  <c r="C27" i="52"/>
  <c r="G27" i="52"/>
  <c r="E27" i="52"/>
  <c r="G28" i="52"/>
  <c r="G107" i="52"/>
  <c r="J117" i="52"/>
  <c r="H129" i="52"/>
  <c r="N107" i="52"/>
  <c r="L29" i="52"/>
  <c r="L38" i="52"/>
  <c r="L107" i="52"/>
  <c r="L127" i="52"/>
  <c r="L46" i="52"/>
  <c r="L31" i="52"/>
  <c r="L122" i="52"/>
  <c r="F26" i="52"/>
  <c r="L39" i="52"/>
  <c r="L26" i="52"/>
  <c r="L37" i="52"/>
  <c r="B35" i="52"/>
  <c r="A96" i="52"/>
  <c r="A97" i="52" s="1"/>
  <c r="A98" i="52" s="1"/>
  <c r="A35" i="52"/>
  <c r="H35" i="52" s="1"/>
  <c r="F28" i="52"/>
  <c r="L33" i="52"/>
  <c r="F107" i="52"/>
  <c r="L28" i="52"/>
  <c r="K31" i="52"/>
  <c r="K109" i="52"/>
  <c r="K136" i="52"/>
  <c r="H38" i="52"/>
  <c r="J42" i="52"/>
  <c r="J112" i="52"/>
  <c r="K117" i="52"/>
  <c r="G26" i="52"/>
  <c r="H29" i="52"/>
  <c r="A44" i="52"/>
  <c r="F44" i="52" s="1"/>
  <c r="K132" i="52"/>
  <c r="K112" i="52"/>
  <c r="K29" i="52"/>
  <c r="K33" i="52"/>
  <c r="K46" i="52"/>
  <c r="K122" i="52"/>
  <c r="I135" i="52"/>
  <c r="K115" i="52"/>
  <c r="C37" i="52"/>
  <c r="I29" i="52"/>
  <c r="I32" i="52"/>
  <c r="J37" i="52"/>
  <c r="J39" i="52"/>
  <c r="J43" i="52"/>
  <c r="J129" i="52"/>
  <c r="J135" i="52"/>
  <c r="J29" i="52"/>
  <c r="J114" i="52"/>
  <c r="I124" i="52"/>
  <c r="L129" i="52"/>
  <c r="L135" i="52"/>
  <c r="I40" i="52"/>
  <c r="J131" i="52"/>
  <c r="J136" i="52"/>
  <c r="J26" i="52"/>
  <c r="I38" i="52"/>
  <c r="I46" i="52"/>
  <c r="I106" i="52"/>
  <c r="J108" i="52"/>
  <c r="I115" i="52"/>
  <c r="J121" i="52"/>
  <c r="A126" i="52"/>
  <c r="J126" i="52" s="1"/>
  <c r="J132" i="52"/>
  <c r="L136" i="52"/>
  <c r="I127" i="52"/>
  <c r="I137" i="52"/>
  <c r="J134" i="52"/>
  <c r="J38" i="52"/>
  <c r="J46" i="52"/>
  <c r="J28" i="52"/>
  <c r="J31" i="52"/>
  <c r="I42" i="52"/>
  <c r="J116" i="52"/>
  <c r="I122" i="52"/>
  <c r="J127" i="52"/>
  <c r="I134" i="52"/>
  <c r="D28" i="52"/>
  <c r="C31" i="52"/>
  <c r="D26" i="52"/>
  <c r="D106" i="52"/>
  <c r="C28" i="52"/>
  <c r="C38" i="52"/>
  <c r="C46" i="52" s="1"/>
  <c r="E26" i="52"/>
  <c r="E47" i="52" s="1"/>
  <c r="E107" i="52"/>
  <c r="E28" i="52"/>
  <c r="E109" i="52"/>
  <c r="C33" i="52"/>
  <c r="J45" i="52"/>
  <c r="L45" i="52"/>
  <c r="G110" i="52"/>
  <c r="E110" i="52"/>
  <c r="N110" i="52"/>
  <c r="A34" i="52"/>
  <c r="G34" i="52" s="1"/>
  <c r="A111" i="52"/>
  <c r="L111" i="52" s="1"/>
  <c r="A119" i="52"/>
  <c r="E119" i="52" s="1"/>
  <c r="A53" i="52"/>
  <c r="H53" i="52" s="1"/>
  <c r="A88" i="52"/>
  <c r="A89" i="52" s="1"/>
  <c r="A90" i="52" s="1"/>
  <c r="N90" i="52" s="1"/>
  <c r="H26" i="52"/>
  <c r="H32" i="52"/>
  <c r="H135" i="52"/>
  <c r="H33" i="52"/>
  <c r="H37" i="52"/>
  <c r="H28" i="52"/>
  <c r="H42" i="52"/>
  <c r="H116" i="52"/>
  <c r="H124" i="52"/>
  <c r="H131" i="52"/>
  <c r="H30" i="52"/>
  <c r="H39" i="52"/>
  <c r="H45" i="52"/>
  <c r="H46" i="52"/>
  <c r="H134" i="52"/>
  <c r="K28" i="52"/>
  <c r="K37" i="52"/>
  <c r="L106" i="52"/>
  <c r="H107" i="52"/>
  <c r="L112" i="52"/>
  <c r="H122" i="52"/>
  <c r="K124" i="52"/>
  <c r="K127" i="52"/>
  <c r="I131" i="52"/>
  <c r="L132" i="52"/>
  <c r="H137" i="52"/>
  <c r="K135" i="52"/>
  <c r="K131" i="52"/>
  <c r="K116" i="52"/>
  <c r="K39" i="52"/>
  <c r="K107" i="52"/>
  <c r="L114" i="52"/>
  <c r="L116" i="52"/>
  <c r="K123" i="52"/>
  <c r="I129" i="52"/>
  <c r="L131" i="52"/>
  <c r="H136" i="52"/>
  <c r="K137" i="52"/>
  <c r="I45" i="52"/>
  <c r="D107" i="52"/>
  <c r="H110" i="52"/>
  <c r="H112" i="52"/>
  <c r="L123" i="52"/>
  <c r="H132" i="52"/>
  <c r="K134" i="52"/>
  <c r="I136" i="52"/>
  <c r="L137" i="52"/>
  <c r="K43" i="52"/>
  <c r="K45" i="52"/>
  <c r="H108" i="52"/>
  <c r="I112" i="52"/>
  <c r="H115" i="52"/>
  <c r="H117" i="52"/>
  <c r="H127" i="52"/>
  <c r="K129" i="52"/>
  <c r="C29" i="52"/>
  <c r="C26" i="52"/>
  <c r="F110" i="52"/>
  <c r="K41" i="52"/>
  <c r="B30" i="52"/>
  <c r="C32" i="52"/>
  <c r="K32" i="52"/>
  <c r="L41" i="52"/>
  <c r="K30" i="52"/>
  <c r="L32" i="52"/>
  <c r="I33" i="52"/>
  <c r="L42" i="52"/>
  <c r="K42" i="52"/>
  <c r="J106" i="52"/>
  <c r="L109" i="52"/>
  <c r="D109" i="52"/>
  <c r="I109" i="52"/>
  <c r="H109" i="52"/>
  <c r="G109" i="52"/>
  <c r="N109" i="52"/>
  <c r="F109" i="52"/>
  <c r="J30" i="52"/>
  <c r="I43" i="52"/>
  <c r="H43" i="52"/>
  <c r="L43" i="52"/>
  <c r="L30" i="52"/>
  <c r="H31" i="52"/>
  <c r="J33" i="52"/>
  <c r="C109" i="52"/>
  <c r="K114" i="52"/>
  <c r="H114" i="52"/>
  <c r="I30" i="52"/>
  <c r="J32" i="52"/>
  <c r="I31" i="52"/>
  <c r="H40" i="52"/>
  <c r="J40" i="52"/>
  <c r="H41" i="52"/>
  <c r="J109" i="52"/>
  <c r="I114" i="52"/>
  <c r="K40" i="52"/>
  <c r="I41" i="52"/>
  <c r="I108" i="52"/>
  <c r="N108" i="52"/>
  <c r="F108" i="52"/>
  <c r="E108" i="52"/>
  <c r="L108" i="52"/>
  <c r="D108" i="52"/>
  <c r="K108" i="52"/>
  <c r="C108" i="52"/>
  <c r="L40" i="52"/>
  <c r="J41" i="52"/>
  <c r="K106" i="52"/>
  <c r="C106" i="52"/>
  <c r="H106" i="52"/>
  <c r="G106" i="52"/>
  <c r="N106" i="52"/>
  <c r="F106" i="52"/>
  <c r="E106" i="52"/>
  <c r="G108" i="52"/>
  <c r="I121" i="52"/>
  <c r="H121" i="52"/>
  <c r="L121" i="52"/>
  <c r="K121" i="52"/>
  <c r="I110" i="52"/>
  <c r="J115" i="52"/>
  <c r="L117" i="52"/>
  <c r="J124" i="52"/>
  <c r="G125" i="52"/>
  <c r="J110" i="52"/>
  <c r="J118" i="52"/>
  <c r="J107" i="52"/>
  <c r="C110" i="52"/>
  <c r="K110" i="52"/>
  <c r="L115" i="52"/>
  <c r="I116" i="52"/>
  <c r="J122" i="52"/>
  <c r="L124" i="52"/>
  <c r="C107" i="52"/>
  <c r="D110" i="52"/>
  <c r="L110" i="52"/>
  <c r="H123" i="52"/>
  <c r="I123" i="52"/>
  <c r="J123" i="52"/>
  <c r="K90" i="51"/>
  <c r="K89" i="51"/>
  <c r="H90" i="51"/>
  <c r="H89" i="51"/>
  <c r="M89" i="51" s="1"/>
  <c r="E90" i="51"/>
  <c r="E89" i="51"/>
  <c r="C48" i="51"/>
  <c r="C49" i="51"/>
  <c r="C50" i="51"/>
  <c r="C51" i="51"/>
  <c r="D52" i="51"/>
  <c r="E52" i="51"/>
  <c r="F52" i="51"/>
  <c r="G52" i="51"/>
  <c r="H52" i="51"/>
  <c r="I52" i="51"/>
  <c r="J52" i="51"/>
  <c r="K52" i="51"/>
  <c r="L52" i="51"/>
  <c r="C52" i="51"/>
  <c r="B52" i="51"/>
  <c r="C33" i="51"/>
  <c r="D34" i="51"/>
  <c r="E34" i="51"/>
  <c r="F34" i="51"/>
  <c r="G34" i="51"/>
  <c r="H34" i="51"/>
  <c r="I34" i="51"/>
  <c r="J34" i="51"/>
  <c r="K34" i="51"/>
  <c r="L34" i="51"/>
  <c r="C34" i="51"/>
  <c r="L139" i="51"/>
  <c r="K139" i="51"/>
  <c r="J139" i="51"/>
  <c r="I139" i="51"/>
  <c r="H139" i="51"/>
  <c r="G139" i="51"/>
  <c r="F139" i="51"/>
  <c r="E139" i="51"/>
  <c r="D139" i="51"/>
  <c r="C139" i="51"/>
  <c r="K126" i="51"/>
  <c r="I126" i="51"/>
  <c r="H126" i="51"/>
  <c r="C126" i="51"/>
  <c r="A126" i="51"/>
  <c r="J126" i="51" s="1"/>
  <c r="A125" i="51"/>
  <c r="A124" i="51"/>
  <c r="A123" i="51"/>
  <c r="A122" i="51"/>
  <c r="A121" i="51"/>
  <c r="L119" i="51"/>
  <c r="J119" i="51"/>
  <c r="D119" i="51"/>
  <c r="C119" i="51"/>
  <c r="A119" i="51"/>
  <c r="A118" i="51"/>
  <c r="J118" i="51" s="1"/>
  <c r="K117" i="51"/>
  <c r="I117" i="51"/>
  <c r="E117" i="51"/>
  <c r="A117" i="51"/>
  <c r="J117" i="51" s="1"/>
  <c r="A116" i="51"/>
  <c r="A115" i="51"/>
  <c r="A114" i="51"/>
  <c r="M111" i="51"/>
  <c r="K111" i="51"/>
  <c r="J111" i="51"/>
  <c r="I111" i="51"/>
  <c r="H111" i="51"/>
  <c r="E111" i="51"/>
  <c r="C111" i="51"/>
  <c r="A111" i="51"/>
  <c r="G110" i="51"/>
  <c r="A110" i="51"/>
  <c r="E110" i="51" s="1"/>
  <c r="D109" i="51"/>
  <c r="A109" i="51"/>
  <c r="L109" i="51" s="1"/>
  <c r="L108" i="51"/>
  <c r="J108" i="51"/>
  <c r="I108" i="51"/>
  <c r="H108" i="51"/>
  <c r="G108" i="51"/>
  <c r="D108" i="51"/>
  <c r="A108" i="51"/>
  <c r="G107" i="51"/>
  <c r="F107" i="51"/>
  <c r="E107" i="51"/>
  <c r="D107" i="51"/>
  <c r="A107" i="51"/>
  <c r="L106" i="51"/>
  <c r="K106" i="51"/>
  <c r="J106" i="51"/>
  <c r="I106" i="51"/>
  <c r="F106" i="51"/>
  <c r="C106" i="51"/>
  <c r="A106" i="51"/>
  <c r="M98" i="51"/>
  <c r="M97" i="51"/>
  <c r="A96" i="51"/>
  <c r="A97" i="51" s="1"/>
  <c r="A90" i="51"/>
  <c r="A91" i="51" s="1"/>
  <c r="A88" i="51"/>
  <c r="A89" i="51" s="1"/>
  <c r="N89" i="51" s="1"/>
  <c r="M82" i="51"/>
  <c r="A82" i="51"/>
  <c r="A83" i="51" s="1"/>
  <c r="M81" i="51"/>
  <c r="A81" i="51"/>
  <c r="A80" i="51"/>
  <c r="M74" i="51"/>
  <c r="M73" i="51"/>
  <c r="A73" i="51"/>
  <c r="A74" i="51" s="1"/>
  <c r="A72" i="51"/>
  <c r="A68" i="51"/>
  <c r="A67" i="51"/>
  <c r="L107" i="51"/>
  <c r="A65" i="51"/>
  <c r="A66" i="51" s="1"/>
  <c r="A64" i="51"/>
  <c r="N58" i="51"/>
  <c r="N66" i="51" s="1"/>
  <c r="N57" i="51"/>
  <c r="N65" i="51" s="1"/>
  <c r="M57" i="51"/>
  <c r="A56" i="51"/>
  <c r="A57" i="51" s="1"/>
  <c r="A58" i="51" s="1"/>
  <c r="A60" i="51" s="1"/>
  <c r="A53" i="51"/>
  <c r="A52" i="51"/>
  <c r="A51" i="51"/>
  <c r="A50" i="51"/>
  <c r="B49" i="51"/>
  <c r="A49" i="51"/>
  <c r="A48" i="51"/>
  <c r="I47" i="51"/>
  <c r="F47" i="51"/>
  <c r="K45" i="51"/>
  <c r="J45" i="51"/>
  <c r="H45" i="51"/>
  <c r="G45" i="51"/>
  <c r="F45" i="51"/>
  <c r="E45" i="51"/>
  <c r="C45" i="51"/>
  <c r="A45" i="51"/>
  <c r="A44" i="51"/>
  <c r="A43" i="51"/>
  <c r="A42" i="51"/>
  <c r="A41" i="51"/>
  <c r="A40" i="51"/>
  <c r="C38" i="51"/>
  <c r="C46" i="51" s="1"/>
  <c r="C37" i="51"/>
  <c r="C39" i="51" s="1"/>
  <c r="A35" i="51"/>
  <c r="I35" i="51" s="1"/>
  <c r="A34" i="51"/>
  <c r="A33" i="51"/>
  <c r="A32" i="51"/>
  <c r="A31" i="51"/>
  <c r="A30" i="51"/>
  <c r="C29" i="51"/>
  <c r="L28" i="51"/>
  <c r="K28" i="51"/>
  <c r="J28" i="51"/>
  <c r="I28" i="51"/>
  <c r="H28" i="51"/>
  <c r="G28" i="51"/>
  <c r="F28" i="51"/>
  <c r="E28" i="51"/>
  <c r="D28" i="51"/>
  <c r="C28" i="51"/>
  <c r="L27" i="51"/>
  <c r="K27" i="51"/>
  <c r="J27" i="51"/>
  <c r="I27" i="51"/>
  <c r="H27" i="51"/>
  <c r="G27" i="51"/>
  <c r="F27" i="51"/>
  <c r="E27" i="51"/>
  <c r="E47" i="51" s="1"/>
  <c r="D27" i="51"/>
  <c r="C27" i="51"/>
  <c r="C23" i="51"/>
  <c r="B31" i="51" s="1"/>
  <c r="B23" i="51"/>
  <c r="B30" i="51" s="1"/>
  <c r="A1" i="51"/>
  <c r="H49" i="33"/>
  <c r="I49" i="33"/>
  <c r="J49" i="33"/>
  <c r="K49" i="33"/>
  <c r="L49" i="33"/>
  <c r="H50" i="33"/>
  <c r="I50" i="33"/>
  <c r="J50" i="33"/>
  <c r="K50" i="33"/>
  <c r="L50" i="33"/>
  <c r="H51" i="33"/>
  <c r="I51" i="33"/>
  <c r="J51" i="33"/>
  <c r="K51" i="33"/>
  <c r="L51" i="33"/>
  <c r="H49" i="48"/>
  <c r="I49" i="48"/>
  <c r="J49" i="48"/>
  <c r="K49" i="48"/>
  <c r="L49" i="48"/>
  <c r="H50" i="48"/>
  <c r="I50" i="48"/>
  <c r="J50" i="48"/>
  <c r="K50" i="48"/>
  <c r="L50" i="48"/>
  <c r="H51" i="48"/>
  <c r="I51" i="48"/>
  <c r="J51" i="48"/>
  <c r="K51" i="48"/>
  <c r="L51" i="48"/>
  <c r="J65" i="50"/>
  <c r="K65" i="50"/>
  <c r="L65" i="50"/>
  <c r="J66" i="50"/>
  <c r="K66" i="50"/>
  <c r="L66" i="50"/>
  <c r="I66" i="50"/>
  <c r="I65" i="50"/>
  <c r="J58" i="50"/>
  <c r="K58" i="50"/>
  <c r="L58" i="50"/>
  <c r="I58" i="50"/>
  <c r="L139" i="50"/>
  <c r="K139" i="50"/>
  <c r="J139" i="50"/>
  <c r="I139" i="50"/>
  <c r="H139" i="50"/>
  <c r="G139" i="50"/>
  <c r="F139" i="50"/>
  <c r="E139" i="50"/>
  <c r="D139" i="50"/>
  <c r="C139" i="50"/>
  <c r="F126" i="50"/>
  <c r="E126" i="50"/>
  <c r="A126" i="50"/>
  <c r="J126" i="50" s="1"/>
  <c r="I125" i="50"/>
  <c r="H125" i="50"/>
  <c r="E125" i="50"/>
  <c r="A125" i="50"/>
  <c r="L125" i="50" s="1"/>
  <c r="A124" i="50"/>
  <c r="A123" i="50"/>
  <c r="A122" i="50"/>
  <c r="A121" i="50"/>
  <c r="L119" i="50"/>
  <c r="K119" i="50"/>
  <c r="I119" i="50"/>
  <c r="H119" i="50"/>
  <c r="G119" i="50"/>
  <c r="F119" i="50"/>
  <c r="E119" i="50"/>
  <c r="D119" i="50"/>
  <c r="C119" i="50"/>
  <c r="A119" i="50"/>
  <c r="J119" i="50" s="1"/>
  <c r="A118" i="50"/>
  <c r="C118" i="50" s="1"/>
  <c r="F117" i="50"/>
  <c r="E117" i="50"/>
  <c r="A117" i="50"/>
  <c r="J117" i="50" s="1"/>
  <c r="A116" i="50"/>
  <c r="A115" i="50"/>
  <c r="A114" i="50"/>
  <c r="N111" i="50"/>
  <c r="M111" i="50"/>
  <c r="F111" i="50"/>
  <c r="E111" i="50"/>
  <c r="A111" i="50"/>
  <c r="J111" i="50" s="1"/>
  <c r="K110" i="50"/>
  <c r="J110" i="50"/>
  <c r="C110" i="50"/>
  <c r="A110" i="50"/>
  <c r="L109" i="50"/>
  <c r="K109" i="50"/>
  <c r="I109" i="50"/>
  <c r="H109" i="50"/>
  <c r="G109" i="50"/>
  <c r="F109" i="50"/>
  <c r="D109" i="50"/>
  <c r="C109" i="50"/>
  <c r="A109" i="50"/>
  <c r="J109" i="50" s="1"/>
  <c r="L108" i="50"/>
  <c r="K108" i="50"/>
  <c r="I108" i="50"/>
  <c r="H108" i="50"/>
  <c r="F108" i="50"/>
  <c r="E108" i="50"/>
  <c r="D108" i="50"/>
  <c r="C108" i="50"/>
  <c r="A108" i="50"/>
  <c r="G108" i="50" s="1"/>
  <c r="N107" i="50"/>
  <c r="J107" i="50"/>
  <c r="I107" i="50"/>
  <c r="F107" i="50"/>
  <c r="A107" i="50"/>
  <c r="K106" i="50"/>
  <c r="H106" i="50"/>
  <c r="G106" i="50"/>
  <c r="F106" i="50"/>
  <c r="C106" i="50"/>
  <c r="A106" i="50"/>
  <c r="J106" i="50" s="1"/>
  <c r="N100" i="50"/>
  <c r="J100" i="50"/>
  <c r="A100" i="50"/>
  <c r="M98" i="50"/>
  <c r="A98" i="50"/>
  <c r="N98" i="50" s="1"/>
  <c r="N97" i="50"/>
  <c r="M97" i="50"/>
  <c r="A97" i="50"/>
  <c r="A96" i="50"/>
  <c r="M90" i="50"/>
  <c r="M89" i="50"/>
  <c r="A88" i="50"/>
  <c r="A89" i="50" s="1"/>
  <c r="M82" i="50"/>
  <c r="N109" i="50" s="1"/>
  <c r="A82" i="50"/>
  <c r="A84" i="50" s="1"/>
  <c r="M81" i="50"/>
  <c r="A80" i="50"/>
  <c r="A81" i="50" s="1"/>
  <c r="M74" i="50"/>
  <c r="N108" i="50" s="1"/>
  <c r="M73" i="50"/>
  <c r="A72" i="50"/>
  <c r="A73" i="50" s="1"/>
  <c r="A74" i="50" s="1"/>
  <c r="M66" i="50"/>
  <c r="M65" i="50"/>
  <c r="A64" i="50"/>
  <c r="A65" i="50" s="1"/>
  <c r="A66" i="50" s="1"/>
  <c r="M57" i="50"/>
  <c r="A56" i="50"/>
  <c r="A57" i="50" s="1"/>
  <c r="A58" i="50" s="1"/>
  <c r="A53" i="50"/>
  <c r="A52" i="50"/>
  <c r="A51" i="50"/>
  <c r="A50" i="50"/>
  <c r="B49" i="50"/>
  <c r="A49" i="50"/>
  <c r="A48" i="50"/>
  <c r="J47" i="50"/>
  <c r="L45" i="50"/>
  <c r="J45" i="50"/>
  <c r="H45" i="50"/>
  <c r="G45" i="50"/>
  <c r="F45" i="50"/>
  <c r="C45" i="50"/>
  <c r="A45" i="50"/>
  <c r="I45" i="50" s="1"/>
  <c r="J44" i="50"/>
  <c r="I44" i="50"/>
  <c r="H44" i="50"/>
  <c r="E44" i="50"/>
  <c r="A44" i="50"/>
  <c r="A43" i="50"/>
  <c r="A42" i="50"/>
  <c r="A41" i="50"/>
  <c r="A40" i="50"/>
  <c r="C38" i="50"/>
  <c r="C46" i="50" s="1"/>
  <c r="C37" i="50"/>
  <c r="C39" i="50" s="1"/>
  <c r="L35" i="50"/>
  <c r="I35" i="50"/>
  <c r="H35" i="50"/>
  <c r="G35" i="50"/>
  <c r="F35" i="50"/>
  <c r="E35" i="50"/>
  <c r="D35" i="50"/>
  <c r="A35" i="50"/>
  <c r="K35" i="50" s="1"/>
  <c r="L34" i="50"/>
  <c r="I34" i="50"/>
  <c r="H34" i="50"/>
  <c r="G34" i="50"/>
  <c r="D34" i="50"/>
  <c r="A34" i="50"/>
  <c r="F34" i="50" s="1"/>
  <c r="B33" i="50"/>
  <c r="C33" i="50" s="1"/>
  <c r="A33" i="50"/>
  <c r="C32" i="50"/>
  <c r="A32" i="50"/>
  <c r="B31" i="50"/>
  <c r="A31" i="50"/>
  <c r="B30" i="50"/>
  <c r="A30" i="50"/>
  <c r="C29" i="50"/>
  <c r="L28" i="50"/>
  <c r="K28" i="50"/>
  <c r="J28" i="50"/>
  <c r="I28" i="50"/>
  <c r="H28" i="50"/>
  <c r="G28" i="50"/>
  <c r="F28" i="50"/>
  <c r="E28" i="50"/>
  <c r="D28" i="50"/>
  <c r="D47" i="50" s="1"/>
  <c r="C28" i="50"/>
  <c r="L27" i="50"/>
  <c r="K27" i="50"/>
  <c r="J27" i="50"/>
  <c r="I27" i="50"/>
  <c r="H27" i="50"/>
  <c r="G27" i="50"/>
  <c r="F27" i="50"/>
  <c r="E27" i="50"/>
  <c r="D27" i="50"/>
  <c r="C27" i="50"/>
  <c r="C23" i="50"/>
  <c r="B23" i="50"/>
  <c r="A1" i="50"/>
  <c r="C77" i="49"/>
  <c r="C61" i="49"/>
  <c r="C69" i="49"/>
  <c r="H37" i="48"/>
  <c r="I37" i="48"/>
  <c r="J37" i="48"/>
  <c r="K37" i="48"/>
  <c r="L37" i="48"/>
  <c r="H38" i="48"/>
  <c r="I38" i="48"/>
  <c r="J38" i="48"/>
  <c r="K38" i="48"/>
  <c r="L38" i="48"/>
  <c r="H37" i="33"/>
  <c r="I37" i="33"/>
  <c r="J37" i="33"/>
  <c r="K37" i="33"/>
  <c r="L37" i="33"/>
  <c r="H38" i="33"/>
  <c r="I38" i="33"/>
  <c r="J38" i="33"/>
  <c r="K38" i="33"/>
  <c r="L38" i="33"/>
  <c r="L139" i="49"/>
  <c r="K139" i="49"/>
  <c r="J139" i="49"/>
  <c r="I139" i="49"/>
  <c r="H139" i="49"/>
  <c r="G139" i="49"/>
  <c r="F139" i="49"/>
  <c r="E139" i="49"/>
  <c r="D139" i="49"/>
  <c r="C139" i="49"/>
  <c r="K126" i="49"/>
  <c r="C126" i="49"/>
  <c r="A126" i="49"/>
  <c r="J126" i="49" s="1"/>
  <c r="F125" i="49"/>
  <c r="A125" i="49"/>
  <c r="E125" i="49" s="1"/>
  <c r="A124" i="49"/>
  <c r="A123" i="49"/>
  <c r="A122" i="49"/>
  <c r="A121" i="49"/>
  <c r="K119" i="49"/>
  <c r="H119" i="49"/>
  <c r="F119" i="49"/>
  <c r="E119" i="49"/>
  <c r="C119" i="49"/>
  <c r="A119" i="49"/>
  <c r="L119" i="49" s="1"/>
  <c r="K118" i="49"/>
  <c r="I118" i="49"/>
  <c r="H118" i="49"/>
  <c r="F118" i="49"/>
  <c r="C118" i="49"/>
  <c r="A118" i="49"/>
  <c r="G118" i="49" s="1"/>
  <c r="L117" i="49"/>
  <c r="K117" i="49"/>
  <c r="I117" i="49"/>
  <c r="F117" i="49"/>
  <c r="D117" i="49"/>
  <c r="C117" i="49"/>
  <c r="A117" i="49"/>
  <c r="J117" i="49" s="1"/>
  <c r="A116" i="49"/>
  <c r="A115" i="49"/>
  <c r="A114" i="49"/>
  <c r="N111" i="49"/>
  <c r="L111" i="49"/>
  <c r="K111" i="49"/>
  <c r="I111" i="49"/>
  <c r="F111" i="49"/>
  <c r="D111" i="49"/>
  <c r="C111" i="49"/>
  <c r="A111" i="49"/>
  <c r="J111" i="49" s="1"/>
  <c r="N110" i="49"/>
  <c r="L110" i="49"/>
  <c r="K110" i="49"/>
  <c r="I110" i="49"/>
  <c r="H110" i="49"/>
  <c r="G110" i="49"/>
  <c r="F110" i="49"/>
  <c r="D110" i="49"/>
  <c r="C110" i="49"/>
  <c r="A110" i="49"/>
  <c r="M110" i="49" s="1"/>
  <c r="L109" i="49"/>
  <c r="K109" i="49"/>
  <c r="I109" i="49"/>
  <c r="H109" i="49"/>
  <c r="F109" i="49"/>
  <c r="E109" i="49"/>
  <c r="D109" i="49"/>
  <c r="C109" i="49"/>
  <c r="A109" i="49"/>
  <c r="J109" i="49" s="1"/>
  <c r="A108" i="49"/>
  <c r="I108" i="49" s="1"/>
  <c r="H107" i="49"/>
  <c r="G107" i="49"/>
  <c r="E107" i="49"/>
  <c r="A107" i="49"/>
  <c r="N107" i="49" s="1"/>
  <c r="L106" i="49"/>
  <c r="D106" i="49"/>
  <c r="A106" i="49"/>
  <c r="K106" i="49" s="1"/>
  <c r="M98" i="49"/>
  <c r="M97" i="49"/>
  <c r="A96" i="49"/>
  <c r="A97" i="49" s="1"/>
  <c r="N90" i="49"/>
  <c r="M90" i="49"/>
  <c r="A90" i="49"/>
  <c r="A92" i="49" s="1"/>
  <c r="M89" i="49"/>
  <c r="A89" i="49"/>
  <c r="N89" i="49" s="1"/>
  <c r="A88" i="49"/>
  <c r="M82" i="49"/>
  <c r="N109" i="49" s="1"/>
  <c r="M81" i="49"/>
  <c r="A80" i="49"/>
  <c r="A81" i="49" s="1"/>
  <c r="M74" i="49"/>
  <c r="M73" i="49"/>
  <c r="A72" i="49"/>
  <c r="A73" i="49" s="1"/>
  <c r="M66" i="49"/>
  <c r="M65" i="49"/>
  <c r="A64" i="49"/>
  <c r="A65" i="49" s="1"/>
  <c r="M58" i="49"/>
  <c r="M57" i="49"/>
  <c r="A56" i="49"/>
  <c r="A57" i="49" s="1"/>
  <c r="A53" i="49"/>
  <c r="A52" i="49"/>
  <c r="A51" i="49"/>
  <c r="A50" i="49"/>
  <c r="B49" i="49"/>
  <c r="A49" i="49"/>
  <c r="A48" i="49"/>
  <c r="L47" i="49"/>
  <c r="C47" i="49"/>
  <c r="L45" i="49"/>
  <c r="H45" i="49"/>
  <c r="F45" i="49"/>
  <c r="D45" i="49"/>
  <c r="A45" i="49"/>
  <c r="E45" i="49" s="1"/>
  <c r="K44" i="49"/>
  <c r="I44" i="49"/>
  <c r="G44" i="49"/>
  <c r="E44" i="49"/>
  <c r="C44" i="49"/>
  <c r="A44" i="49"/>
  <c r="H44" i="49" s="1"/>
  <c r="A43" i="49"/>
  <c r="A42" i="49"/>
  <c r="A41" i="49"/>
  <c r="A40" i="49"/>
  <c r="C38" i="49"/>
  <c r="C46" i="49" s="1"/>
  <c r="C37" i="49"/>
  <c r="C39" i="49" s="1"/>
  <c r="L35" i="49"/>
  <c r="H35" i="49"/>
  <c r="F35" i="49"/>
  <c r="D35" i="49"/>
  <c r="A35" i="49"/>
  <c r="E35" i="49" s="1"/>
  <c r="K34" i="49"/>
  <c r="I34" i="49"/>
  <c r="G34" i="49"/>
  <c r="E34" i="49"/>
  <c r="C34" i="49"/>
  <c r="A34" i="49"/>
  <c r="H34" i="49" s="1"/>
  <c r="A33" i="49"/>
  <c r="A32" i="49"/>
  <c r="C31" i="49"/>
  <c r="A31" i="49"/>
  <c r="A30" i="49"/>
  <c r="C29" i="49"/>
  <c r="L28" i="49"/>
  <c r="K28" i="49"/>
  <c r="J28" i="49"/>
  <c r="I28" i="49"/>
  <c r="I47" i="49" s="1"/>
  <c r="H28" i="49"/>
  <c r="H47" i="49" s="1"/>
  <c r="G28" i="49"/>
  <c r="F28" i="49"/>
  <c r="E28" i="49"/>
  <c r="D28" i="49"/>
  <c r="C28" i="49"/>
  <c r="L27" i="49"/>
  <c r="K27" i="49"/>
  <c r="J27" i="49"/>
  <c r="J47" i="49" s="1"/>
  <c r="I27" i="49"/>
  <c r="H27" i="49"/>
  <c r="G27" i="49"/>
  <c r="G47" i="49" s="1"/>
  <c r="F27" i="49"/>
  <c r="E27" i="49"/>
  <c r="D27" i="49"/>
  <c r="C27" i="49"/>
  <c r="C23" i="49"/>
  <c r="B31" i="49" s="1"/>
  <c r="B23" i="49"/>
  <c r="B33" i="49" s="1"/>
  <c r="A1" i="49"/>
  <c r="C69" i="48"/>
  <c r="L140" i="48"/>
  <c r="K140" i="48"/>
  <c r="J140" i="48"/>
  <c r="I140" i="48"/>
  <c r="H140" i="48"/>
  <c r="L139" i="48"/>
  <c r="K139" i="48"/>
  <c r="J139" i="48"/>
  <c r="I139" i="48"/>
  <c r="H139" i="48"/>
  <c r="G139" i="48"/>
  <c r="F139" i="48"/>
  <c r="E139" i="48"/>
  <c r="D139" i="48"/>
  <c r="C139" i="48"/>
  <c r="L137" i="48"/>
  <c r="K137" i="48"/>
  <c r="J137" i="48"/>
  <c r="I137" i="48"/>
  <c r="H137" i="48"/>
  <c r="L136" i="48"/>
  <c r="K136" i="48"/>
  <c r="J136" i="48"/>
  <c r="I136" i="48"/>
  <c r="H136" i="48"/>
  <c r="L135" i="48"/>
  <c r="K135" i="48"/>
  <c r="J135" i="48"/>
  <c r="I135" i="48"/>
  <c r="H135" i="48"/>
  <c r="L134" i="48"/>
  <c r="K134" i="48"/>
  <c r="J134" i="48"/>
  <c r="I134" i="48"/>
  <c r="H134" i="48"/>
  <c r="L132" i="48"/>
  <c r="K132" i="48"/>
  <c r="J132" i="48"/>
  <c r="I132" i="48"/>
  <c r="H132" i="48"/>
  <c r="L131" i="48"/>
  <c r="K131" i="48"/>
  <c r="J131" i="48"/>
  <c r="I131" i="48"/>
  <c r="H131" i="48"/>
  <c r="L129" i="48"/>
  <c r="K129" i="48"/>
  <c r="J129" i="48"/>
  <c r="I129" i="48"/>
  <c r="H129" i="48"/>
  <c r="L127" i="48"/>
  <c r="K127" i="48"/>
  <c r="J127" i="48"/>
  <c r="I127" i="48"/>
  <c r="H127" i="48"/>
  <c r="K126" i="48"/>
  <c r="C126" i="48"/>
  <c r="A126" i="48"/>
  <c r="J126" i="48" s="1"/>
  <c r="F125" i="48"/>
  <c r="A125" i="48"/>
  <c r="E125" i="48" s="1"/>
  <c r="I124" i="48"/>
  <c r="A124" i="48"/>
  <c r="H124" i="48" s="1"/>
  <c r="L123" i="48"/>
  <c r="A123" i="48"/>
  <c r="K123" i="48" s="1"/>
  <c r="H122" i="48"/>
  <c r="A122" i="48"/>
  <c r="A121" i="48"/>
  <c r="K119" i="48"/>
  <c r="H119" i="48"/>
  <c r="F119" i="48"/>
  <c r="E119" i="48"/>
  <c r="C119" i="48"/>
  <c r="A119" i="48"/>
  <c r="L119" i="48" s="1"/>
  <c r="K118" i="48"/>
  <c r="I118" i="48"/>
  <c r="H118" i="48"/>
  <c r="F118" i="48"/>
  <c r="E118" i="48"/>
  <c r="C118" i="48"/>
  <c r="A118" i="48"/>
  <c r="G118" i="48" s="1"/>
  <c r="L117" i="48"/>
  <c r="K117" i="48"/>
  <c r="I117" i="48"/>
  <c r="H117" i="48"/>
  <c r="F117" i="48"/>
  <c r="D117" i="48"/>
  <c r="C117" i="48"/>
  <c r="A117" i="48"/>
  <c r="J117" i="48" s="1"/>
  <c r="L116" i="48"/>
  <c r="K116" i="48"/>
  <c r="I116" i="48"/>
  <c r="A116" i="48"/>
  <c r="J116" i="48" s="1"/>
  <c r="I115" i="48"/>
  <c r="A115" i="48"/>
  <c r="H115" i="48" s="1"/>
  <c r="L114" i="48"/>
  <c r="A114" i="48"/>
  <c r="K114" i="48" s="1"/>
  <c r="L112" i="48"/>
  <c r="K112" i="48"/>
  <c r="J112" i="48"/>
  <c r="I112" i="48"/>
  <c r="H112" i="48"/>
  <c r="L111" i="48"/>
  <c r="K111" i="48"/>
  <c r="I111" i="48"/>
  <c r="D111" i="48"/>
  <c r="C111" i="48"/>
  <c r="A111" i="48"/>
  <c r="J111" i="48" s="1"/>
  <c r="N110" i="48"/>
  <c r="M110" i="48"/>
  <c r="L110" i="48"/>
  <c r="K110" i="48"/>
  <c r="I110" i="48"/>
  <c r="H110" i="48"/>
  <c r="G110" i="48"/>
  <c r="F110" i="48"/>
  <c r="E110" i="48"/>
  <c r="D110" i="48"/>
  <c r="C110" i="48"/>
  <c r="A110" i="48"/>
  <c r="J110" i="48" s="1"/>
  <c r="K109" i="48"/>
  <c r="F109" i="48"/>
  <c r="E109" i="48"/>
  <c r="C109" i="48"/>
  <c r="A109" i="48"/>
  <c r="L109" i="48" s="1"/>
  <c r="A108" i="48"/>
  <c r="J108" i="48" s="1"/>
  <c r="L107" i="48"/>
  <c r="H107" i="48"/>
  <c r="G107" i="48"/>
  <c r="E107" i="48"/>
  <c r="A107" i="48"/>
  <c r="L106" i="48"/>
  <c r="D106" i="48"/>
  <c r="A106" i="48"/>
  <c r="K106" i="48" s="1"/>
  <c r="M98" i="48"/>
  <c r="M97" i="48"/>
  <c r="A96" i="48"/>
  <c r="A97" i="48" s="1"/>
  <c r="M90" i="48"/>
  <c r="M89" i="48"/>
  <c r="A88" i="48"/>
  <c r="A89" i="48" s="1"/>
  <c r="J84" i="48"/>
  <c r="A84" i="48"/>
  <c r="M82" i="48"/>
  <c r="N109" i="48" s="1"/>
  <c r="A82" i="48"/>
  <c r="M81" i="48"/>
  <c r="A81" i="48"/>
  <c r="A80" i="48"/>
  <c r="F74" i="48"/>
  <c r="E74" i="48"/>
  <c r="M74" i="48" s="1"/>
  <c r="A74" i="48"/>
  <c r="M73" i="48"/>
  <c r="A73" i="48"/>
  <c r="A72" i="48"/>
  <c r="M65" i="48"/>
  <c r="D107" i="48"/>
  <c r="A64" i="48"/>
  <c r="A65" i="48" s="1"/>
  <c r="M58" i="48"/>
  <c r="M57" i="48"/>
  <c r="A56" i="48"/>
  <c r="A57" i="48" s="1"/>
  <c r="A53" i="48"/>
  <c r="A52" i="48"/>
  <c r="A51" i="48"/>
  <c r="A50" i="48"/>
  <c r="B49" i="48"/>
  <c r="A49" i="48"/>
  <c r="A48" i="48"/>
  <c r="L47" i="48"/>
  <c r="K47" i="48"/>
  <c r="J47" i="48"/>
  <c r="I47" i="48"/>
  <c r="H47" i="48"/>
  <c r="L46" i="48"/>
  <c r="K46" i="48"/>
  <c r="J46" i="48"/>
  <c r="I46" i="48"/>
  <c r="H46" i="48"/>
  <c r="A45" i="48"/>
  <c r="E44" i="48"/>
  <c r="A44" i="48"/>
  <c r="L44" i="48" s="1"/>
  <c r="H43" i="48"/>
  <c r="A43" i="48"/>
  <c r="K42" i="48"/>
  <c r="I42" i="48"/>
  <c r="H42" i="48"/>
  <c r="A42" i="48"/>
  <c r="J42" i="48" s="1"/>
  <c r="L41" i="48"/>
  <c r="K41" i="48"/>
  <c r="A41" i="48"/>
  <c r="I40" i="48"/>
  <c r="A40" i="48"/>
  <c r="H40" i="48" s="1"/>
  <c r="L39" i="48"/>
  <c r="K39" i="48"/>
  <c r="J39" i="48"/>
  <c r="I39" i="48"/>
  <c r="H39" i="48"/>
  <c r="C38" i="48"/>
  <c r="C46" i="48" s="1"/>
  <c r="C77" i="48" s="1"/>
  <c r="C116" i="48" s="1"/>
  <c r="C37" i="48"/>
  <c r="C39" i="48" s="1"/>
  <c r="C42" i="48" s="1"/>
  <c r="G35" i="48"/>
  <c r="A35" i="48"/>
  <c r="J35" i="48" s="1"/>
  <c r="A34" i="48"/>
  <c r="K34" i="48" s="1"/>
  <c r="K33" i="48"/>
  <c r="H33" i="48"/>
  <c r="A33" i="48"/>
  <c r="L33" i="48" s="1"/>
  <c r="K32" i="48"/>
  <c r="J32" i="48"/>
  <c r="I32" i="48"/>
  <c r="C32" i="48"/>
  <c r="A32" i="48"/>
  <c r="L31" i="48"/>
  <c r="I31" i="48"/>
  <c r="H31" i="48"/>
  <c r="B31" i="48"/>
  <c r="A31" i="48"/>
  <c r="L30" i="48"/>
  <c r="K30" i="48"/>
  <c r="I30" i="48"/>
  <c r="H30" i="48"/>
  <c r="A30" i="48"/>
  <c r="L29" i="48"/>
  <c r="K29" i="48"/>
  <c r="J29" i="48"/>
  <c r="I29" i="48"/>
  <c r="H29" i="48"/>
  <c r="C29" i="48"/>
  <c r="L28" i="48"/>
  <c r="K28" i="48"/>
  <c r="J28" i="48"/>
  <c r="I28" i="48"/>
  <c r="H28" i="48"/>
  <c r="G28" i="48"/>
  <c r="F28" i="48"/>
  <c r="E28" i="48"/>
  <c r="D28" i="48"/>
  <c r="C28" i="48"/>
  <c r="L27" i="48"/>
  <c r="L130" i="48" s="1"/>
  <c r="K27" i="48"/>
  <c r="K130" i="48" s="1"/>
  <c r="J27" i="48"/>
  <c r="I27" i="48"/>
  <c r="H27" i="48"/>
  <c r="G27" i="48"/>
  <c r="F27" i="48"/>
  <c r="E27" i="48"/>
  <c r="D27" i="48"/>
  <c r="C27" i="48"/>
  <c r="C23" i="48"/>
  <c r="B23" i="48"/>
  <c r="B33" i="48" s="1"/>
  <c r="C33" i="48" s="1"/>
  <c r="A1" i="48"/>
  <c r="L141" i="47"/>
  <c r="K141" i="47"/>
  <c r="J141" i="47"/>
  <c r="I141" i="47"/>
  <c r="H141" i="47"/>
  <c r="L140" i="47"/>
  <c r="K140" i="47"/>
  <c r="J140" i="47"/>
  <c r="I140" i="47"/>
  <c r="H140" i="47"/>
  <c r="L139" i="47"/>
  <c r="K139" i="47"/>
  <c r="J139" i="47"/>
  <c r="I139" i="47"/>
  <c r="H139" i="47"/>
  <c r="L138" i="47"/>
  <c r="K138" i="47"/>
  <c r="J138" i="47"/>
  <c r="I138" i="47"/>
  <c r="H138" i="47"/>
  <c r="L136" i="47"/>
  <c r="K136" i="47"/>
  <c r="J136" i="47"/>
  <c r="I136" i="47"/>
  <c r="H136" i="47"/>
  <c r="L135" i="47"/>
  <c r="K135" i="47"/>
  <c r="J135" i="47"/>
  <c r="I135" i="47"/>
  <c r="H135" i="47"/>
  <c r="L133" i="47"/>
  <c r="K133" i="47"/>
  <c r="J133" i="47"/>
  <c r="I133" i="47"/>
  <c r="H133" i="47"/>
  <c r="L131" i="47"/>
  <c r="K131" i="47"/>
  <c r="J131" i="47"/>
  <c r="I131" i="47"/>
  <c r="H131" i="47"/>
  <c r="A130" i="47"/>
  <c r="J130" i="47" s="1"/>
  <c r="A129" i="47"/>
  <c r="K129" i="47" s="1"/>
  <c r="A128" i="47"/>
  <c r="K128" i="47" s="1"/>
  <c r="A127" i="47"/>
  <c r="K127" i="47" s="1"/>
  <c r="A126" i="47"/>
  <c r="I126" i="47" s="1"/>
  <c r="A125" i="47"/>
  <c r="I125" i="47" s="1"/>
  <c r="K123" i="47"/>
  <c r="A123" i="47"/>
  <c r="J123" i="47" s="1"/>
  <c r="A122" i="47"/>
  <c r="G122" i="47" s="1"/>
  <c r="A121" i="47"/>
  <c r="J121" i="47" s="1"/>
  <c r="A120" i="47"/>
  <c r="K120" i="47" s="1"/>
  <c r="A119" i="47"/>
  <c r="F119" i="47" s="1"/>
  <c r="A118" i="47"/>
  <c r="K118" i="47" s="1"/>
  <c r="L116" i="47"/>
  <c r="K116" i="47"/>
  <c r="J116" i="47"/>
  <c r="I116" i="47"/>
  <c r="H116" i="47"/>
  <c r="A115" i="47"/>
  <c r="J115" i="47" s="1"/>
  <c r="A114" i="47"/>
  <c r="G114" i="47" s="1"/>
  <c r="A113" i="47"/>
  <c r="J113" i="47" s="1"/>
  <c r="A112" i="47"/>
  <c r="I112" i="47" s="1"/>
  <c r="A111" i="47"/>
  <c r="E111" i="47" s="1"/>
  <c r="A110" i="47"/>
  <c r="K110" i="47" s="1"/>
  <c r="M102" i="47"/>
  <c r="M101" i="47"/>
  <c r="A100" i="47"/>
  <c r="M94" i="47"/>
  <c r="M93" i="47"/>
  <c r="A92" i="47"/>
  <c r="A93" i="47" s="1"/>
  <c r="A94" i="47" s="1"/>
  <c r="A95" i="47" s="1"/>
  <c r="M86" i="47"/>
  <c r="M85" i="47"/>
  <c r="A84" i="47"/>
  <c r="M78" i="47"/>
  <c r="M77" i="47"/>
  <c r="A76" i="47"/>
  <c r="M70" i="47"/>
  <c r="M69" i="47"/>
  <c r="A68" i="47"/>
  <c r="M62" i="47"/>
  <c r="M61" i="47"/>
  <c r="A60" i="47"/>
  <c r="A61" i="47" s="1"/>
  <c r="A62" i="47" s="1"/>
  <c r="A63" i="47" s="1"/>
  <c r="A56" i="47"/>
  <c r="A54" i="47"/>
  <c r="A53" i="47"/>
  <c r="A52" i="47"/>
  <c r="A51" i="47"/>
  <c r="L49" i="47"/>
  <c r="K49" i="47"/>
  <c r="J49" i="47"/>
  <c r="I49" i="47"/>
  <c r="H49" i="47"/>
  <c r="A48" i="47"/>
  <c r="K48" i="47" s="1"/>
  <c r="A47" i="47"/>
  <c r="F47" i="47" s="1"/>
  <c r="A46" i="47"/>
  <c r="K46" i="47" s="1"/>
  <c r="A45" i="47"/>
  <c r="I45" i="47" s="1"/>
  <c r="A44" i="47"/>
  <c r="I44" i="47" s="1"/>
  <c r="A43" i="47"/>
  <c r="J43" i="47" s="1"/>
  <c r="L42" i="47"/>
  <c r="K42" i="47"/>
  <c r="J42" i="47"/>
  <c r="I42" i="47"/>
  <c r="H42" i="47"/>
  <c r="C49" i="47"/>
  <c r="A38" i="47"/>
  <c r="K38" i="47" s="1"/>
  <c r="A37" i="47"/>
  <c r="A36" i="47"/>
  <c r="I36" i="47" s="1"/>
  <c r="A35" i="47"/>
  <c r="H35" i="47" s="1"/>
  <c r="A34" i="47"/>
  <c r="J34" i="47" s="1"/>
  <c r="A33" i="47"/>
  <c r="L32" i="47"/>
  <c r="K32" i="47"/>
  <c r="J32" i="47"/>
  <c r="I32" i="47"/>
  <c r="H32" i="47"/>
  <c r="C32" i="47"/>
  <c r="L31" i="47"/>
  <c r="K31" i="47"/>
  <c r="J31" i="47"/>
  <c r="I31" i="47"/>
  <c r="H31" i="47"/>
  <c r="G31" i="47"/>
  <c r="F31" i="47"/>
  <c r="E31" i="47"/>
  <c r="D31" i="47"/>
  <c r="C31" i="47"/>
  <c r="L29" i="47"/>
  <c r="L134" i="47" s="1"/>
  <c r="K29" i="47"/>
  <c r="K134" i="47" s="1"/>
  <c r="J29" i="47"/>
  <c r="J134" i="47" s="1"/>
  <c r="I29" i="47"/>
  <c r="I134" i="47" s="1"/>
  <c r="H29" i="47"/>
  <c r="G29" i="47"/>
  <c r="F29" i="47"/>
  <c r="E29" i="47"/>
  <c r="D29" i="47"/>
  <c r="D50" i="47" s="1"/>
  <c r="C29" i="47"/>
  <c r="C50" i="47" s="1"/>
  <c r="C21" i="47"/>
  <c r="B34" i="47" s="1"/>
  <c r="B21" i="47"/>
  <c r="A1" i="47"/>
  <c r="F9" i="43"/>
  <c r="H137" i="33"/>
  <c r="I137" i="33"/>
  <c r="J137" i="33"/>
  <c r="K137" i="33"/>
  <c r="L137" i="33"/>
  <c r="H136" i="33"/>
  <c r="I136" i="33"/>
  <c r="J136" i="33"/>
  <c r="K136" i="33"/>
  <c r="L136" i="33"/>
  <c r="H135" i="33"/>
  <c r="I135" i="33"/>
  <c r="J135" i="33"/>
  <c r="K135" i="33"/>
  <c r="L135" i="33"/>
  <c r="E6" i="43"/>
  <c r="E7" i="43" s="1"/>
  <c r="E11" i="43"/>
  <c r="F125" i="52" l="1"/>
  <c r="K125" i="52"/>
  <c r="L125" i="52"/>
  <c r="I125" i="52"/>
  <c r="F37" i="47"/>
  <c r="B37" i="47"/>
  <c r="C37" i="47" s="1"/>
  <c r="P51" i="47"/>
  <c r="P52" i="47"/>
  <c r="M110" i="52"/>
  <c r="C47" i="52"/>
  <c r="D118" i="52"/>
  <c r="I118" i="52"/>
  <c r="L34" i="52"/>
  <c r="H125" i="52"/>
  <c r="E125" i="52"/>
  <c r="G118" i="52"/>
  <c r="K69" i="52"/>
  <c r="C118" i="52"/>
  <c r="F114" i="47"/>
  <c r="G111" i="47"/>
  <c r="H114" i="47"/>
  <c r="I111" i="47"/>
  <c r="I129" i="47"/>
  <c r="A65" i="52"/>
  <c r="A66" i="52" s="1"/>
  <c r="N57" i="52"/>
  <c r="A81" i="52"/>
  <c r="A82" i="52" s="1"/>
  <c r="B33" i="47"/>
  <c r="C33" i="47" s="1"/>
  <c r="B38" i="47"/>
  <c r="C38" i="47" s="1"/>
  <c r="L37" i="47"/>
  <c r="A77" i="47"/>
  <c r="A78" i="47" s="1"/>
  <c r="A79" i="47" s="1"/>
  <c r="H122" i="47"/>
  <c r="A101" i="47"/>
  <c r="A102" i="47" s="1"/>
  <c r="A103" i="47" s="1"/>
  <c r="C123" i="47"/>
  <c r="L127" i="47"/>
  <c r="A85" i="47"/>
  <c r="A86" i="47" s="1"/>
  <c r="D123" i="47"/>
  <c r="F123" i="47"/>
  <c r="A69" i="47"/>
  <c r="A70" i="47" s="1"/>
  <c r="A71" i="47" s="1"/>
  <c r="H123" i="47"/>
  <c r="H129" i="47"/>
  <c r="H118" i="52"/>
  <c r="C34" i="52"/>
  <c r="L118" i="52"/>
  <c r="K118" i="52"/>
  <c r="F118" i="52"/>
  <c r="L53" i="52"/>
  <c r="I130" i="52"/>
  <c r="I69" i="52"/>
  <c r="L130" i="52"/>
  <c r="L69" i="52"/>
  <c r="N65" i="52"/>
  <c r="N73" i="52" s="1"/>
  <c r="N81" i="52" s="1"/>
  <c r="B29" i="52"/>
  <c r="K53" i="52"/>
  <c r="J53" i="52"/>
  <c r="I53" i="52"/>
  <c r="H130" i="52"/>
  <c r="H69" i="52"/>
  <c r="J130" i="52"/>
  <c r="J69" i="52"/>
  <c r="C77" i="52"/>
  <c r="C116" i="52" s="1"/>
  <c r="G47" i="52"/>
  <c r="F47" i="52"/>
  <c r="D47" i="52"/>
  <c r="H44" i="52"/>
  <c r="K35" i="52"/>
  <c r="K44" i="52"/>
  <c r="I44" i="52"/>
  <c r="J44" i="52"/>
  <c r="L44" i="52"/>
  <c r="C30" i="52"/>
  <c r="G44" i="52"/>
  <c r="E44" i="52"/>
  <c r="C39" i="52"/>
  <c r="C41" i="52" s="1"/>
  <c r="L35" i="52"/>
  <c r="J35" i="52"/>
  <c r="I35" i="52"/>
  <c r="C35" i="52"/>
  <c r="K36" i="47"/>
  <c r="L36" i="47"/>
  <c r="I128" i="47"/>
  <c r="E123" i="47"/>
  <c r="H126" i="52"/>
  <c r="G123" i="47"/>
  <c r="G37" i="47"/>
  <c r="L46" i="47"/>
  <c r="E113" i="47"/>
  <c r="C119" i="47"/>
  <c r="D120" i="47"/>
  <c r="C121" i="47"/>
  <c r="L123" i="47"/>
  <c r="L128" i="47"/>
  <c r="K130" i="47"/>
  <c r="H37" i="47"/>
  <c r="G113" i="47"/>
  <c r="D119" i="47"/>
  <c r="E120" i="47"/>
  <c r="E121" i="47"/>
  <c r="N111" i="52"/>
  <c r="D111" i="52"/>
  <c r="D112" i="52" s="1"/>
  <c r="I37" i="47"/>
  <c r="I38" i="47"/>
  <c r="L47" i="47"/>
  <c r="H113" i="47"/>
  <c r="G119" i="47"/>
  <c r="F120" i="47"/>
  <c r="F121" i="47"/>
  <c r="I119" i="52"/>
  <c r="F111" i="52"/>
  <c r="H38" i="47"/>
  <c r="K37" i="47"/>
  <c r="L38" i="47"/>
  <c r="H119" i="47"/>
  <c r="G120" i="47"/>
  <c r="I121" i="47"/>
  <c r="E129" i="47"/>
  <c r="I119" i="47"/>
  <c r="H120" i="47"/>
  <c r="K121" i="47"/>
  <c r="D118" i="47"/>
  <c r="K119" i="47"/>
  <c r="I120" i="47"/>
  <c r="L118" i="47"/>
  <c r="L119" i="47"/>
  <c r="L120" i="47"/>
  <c r="F122" i="47"/>
  <c r="H128" i="47"/>
  <c r="I126" i="52"/>
  <c r="A92" i="52"/>
  <c r="K126" i="52"/>
  <c r="A91" i="52"/>
  <c r="L91" i="52" s="1"/>
  <c r="D119" i="52"/>
  <c r="L126" i="52"/>
  <c r="N89" i="52"/>
  <c r="N97" i="52" s="1"/>
  <c r="J34" i="52"/>
  <c r="I47" i="47"/>
  <c r="I48" i="47"/>
  <c r="J36" i="47"/>
  <c r="K47" i="47"/>
  <c r="L48" i="47"/>
  <c r="F113" i="47"/>
  <c r="F129" i="47"/>
  <c r="I130" i="47"/>
  <c r="K111" i="52"/>
  <c r="K34" i="47"/>
  <c r="K43" i="47"/>
  <c r="K113" i="47"/>
  <c r="E115" i="47"/>
  <c r="L129" i="47"/>
  <c r="C34" i="47"/>
  <c r="H43" i="47"/>
  <c r="C115" i="47"/>
  <c r="L43" i="47"/>
  <c r="L113" i="47"/>
  <c r="F115" i="47"/>
  <c r="G111" i="52"/>
  <c r="E111" i="52"/>
  <c r="E112" i="52" s="1"/>
  <c r="I34" i="52"/>
  <c r="G47" i="47"/>
  <c r="D110" i="47"/>
  <c r="C113" i="47"/>
  <c r="I115" i="47"/>
  <c r="H34" i="52"/>
  <c r="F34" i="52"/>
  <c r="H111" i="52"/>
  <c r="H47" i="47"/>
  <c r="H48" i="47"/>
  <c r="L110" i="47"/>
  <c r="D113" i="47"/>
  <c r="K115" i="47"/>
  <c r="F47" i="48"/>
  <c r="J111" i="52"/>
  <c r="I111" i="52"/>
  <c r="C111" i="52"/>
  <c r="C112" i="52" s="1"/>
  <c r="K119" i="52"/>
  <c r="G119" i="52"/>
  <c r="E34" i="52"/>
  <c r="K34" i="52"/>
  <c r="C119" i="52"/>
  <c r="H119" i="52"/>
  <c r="F119" i="52"/>
  <c r="J119" i="52"/>
  <c r="L119" i="52"/>
  <c r="M108" i="52"/>
  <c r="A83" i="52"/>
  <c r="A84" i="52"/>
  <c r="A99" i="52"/>
  <c r="A100" i="52"/>
  <c r="N98" i="52"/>
  <c r="A59" i="52"/>
  <c r="A60" i="52"/>
  <c r="N58" i="52"/>
  <c r="M109" i="52"/>
  <c r="M107" i="52"/>
  <c r="M106" i="52"/>
  <c r="F112" i="52"/>
  <c r="G112" i="52"/>
  <c r="A76" i="52"/>
  <c r="A75" i="52"/>
  <c r="C42" i="47"/>
  <c r="M90" i="51"/>
  <c r="N110" i="51" s="1"/>
  <c r="H110" i="51"/>
  <c r="K107" i="51"/>
  <c r="M65" i="51"/>
  <c r="F110" i="51"/>
  <c r="N90" i="51"/>
  <c r="J110" i="51"/>
  <c r="A92" i="51"/>
  <c r="C44" i="51"/>
  <c r="G118" i="51"/>
  <c r="A75" i="51"/>
  <c r="A76" i="51"/>
  <c r="N74" i="51"/>
  <c r="C30" i="51"/>
  <c r="A61" i="51"/>
  <c r="N60" i="51"/>
  <c r="A93" i="51"/>
  <c r="C35" i="51"/>
  <c r="K35" i="51"/>
  <c r="J47" i="51"/>
  <c r="A59" i="51"/>
  <c r="M83" i="51"/>
  <c r="A98" i="51"/>
  <c r="N97" i="51"/>
  <c r="E109" i="51"/>
  <c r="I119" i="51"/>
  <c r="H119" i="51"/>
  <c r="F119" i="51"/>
  <c r="B33" i="51"/>
  <c r="B29" i="51" s="1"/>
  <c r="D35" i="51"/>
  <c r="L35" i="51"/>
  <c r="C40" i="51"/>
  <c r="K47" i="51"/>
  <c r="N73" i="51"/>
  <c r="N81" i="51" s="1"/>
  <c r="N82" i="51"/>
  <c r="G109" i="51"/>
  <c r="J35" i="51"/>
  <c r="C43" i="51"/>
  <c r="E35" i="51"/>
  <c r="L47" i="51"/>
  <c r="M67" i="51"/>
  <c r="A84" i="51"/>
  <c r="I107" i="51"/>
  <c r="J109" i="51"/>
  <c r="L118" i="51"/>
  <c r="D118" i="51"/>
  <c r="K118" i="51"/>
  <c r="C118" i="51"/>
  <c r="I118" i="51"/>
  <c r="N92" i="51"/>
  <c r="H47" i="51"/>
  <c r="C31" i="51"/>
  <c r="C41" i="51" s="1"/>
  <c r="F35" i="51"/>
  <c r="L45" i="51"/>
  <c r="D45" i="51"/>
  <c r="I45" i="51"/>
  <c r="C47" i="51"/>
  <c r="M58" i="51"/>
  <c r="N106" i="51" s="1"/>
  <c r="K109" i="51"/>
  <c r="G117" i="51"/>
  <c r="F117" i="51"/>
  <c r="L117" i="51"/>
  <c r="D117" i="51"/>
  <c r="E118" i="51"/>
  <c r="E119" i="51"/>
  <c r="G35" i="51"/>
  <c r="D47" i="51"/>
  <c r="A69" i="51"/>
  <c r="N68" i="51"/>
  <c r="H106" i="51"/>
  <c r="G106" i="51"/>
  <c r="E106" i="51"/>
  <c r="C117" i="51"/>
  <c r="F118" i="51"/>
  <c r="G119" i="51"/>
  <c r="H35" i="51"/>
  <c r="M66" i="51"/>
  <c r="N107" i="51" s="1"/>
  <c r="M91" i="51"/>
  <c r="I109" i="51"/>
  <c r="H109" i="51"/>
  <c r="N109" i="51"/>
  <c r="F109" i="51"/>
  <c r="C32" i="51"/>
  <c r="C42" i="51" s="1"/>
  <c r="G47" i="51"/>
  <c r="N91" i="51"/>
  <c r="D106" i="51"/>
  <c r="N108" i="51"/>
  <c r="F108" i="51"/>
  <c r="E108" i="51"/>
  <c r="K108" i="51"/>
  <c r="C108" i="51"/>
  <c r="C109" i="51"/>
  <c r="L110" i="51"/>
  <c r="D110" i="51"/>
  <c r="K110" i="51"/>
  <c r="C110" i="51"/>
  <c r="I110" i="51"/>
  <c r="G111" i="51"/>
  <c r="N111" i="51"/>
  <c r="F111" i="51"/>
  <c r="L111" i="51"/>
  <c r="D111" i="51"/>
  <c r="H117" i="51"/>
  <c r="H118" i="51"/>
  <c r="K119" i="51"/>
  <c r="H107" i="51"/>
  <c r="D126" i="51"/>
  <c r="L126" i="51"/>
  <c r="E126" i="51"/>
  <c r="J107" i="51"/>
  <c r="F126" i="51"/>
  <c r="C107" i="51"/>
  <c r="G126" i="51"/>
  <c r="M58" i="50"/>
  <c r="N106" i="50" s="1"/>
  <c r="A90" i="50"/>
  <c r="N89" i="50"/>
  <c r="A76" i="50"/>
  <c r="A75" i="50"/>
  <c r="N58" i="50"/>
  <c r="A59" i="50"/>
  <c r="A60" i="50"/>
  <c r="N66" i="50"/>
  <c r="N74" i="50" s="1"/>
  <c r="N82" i="50" s="1"/>
  <c r="A68" i="50"/>
  <c r="A67" i="50"/>
  <c r="A85" i="50"/>
  <c r="B29" i="50"/>
  <c r="C43" i="50"/>
  <c r="F47" i="50"/>
  <c r="G118" i="50"/>
  <c r="F118" i="50"/>
  <c r="E118" i="50"/>
  <c r="L118" i="50"/>
  <c r="D118" i="50"/>
  <c r="I118" i="50"/>
  <c r="H118" i="50"/>
  <c r="C31" i="50"/>
  <c r="G47" i="50"/>
  <c r="N73" i="50"/>
  <c r="N81" i="50" s="1"/>
  <c r="J118" i="50"/>
  <c r="J34" i="50"/>
  <c r="C41" i="50"/>
  <c r="L44" i="50"/>
  <c r="D44" i="50"/>
  <c r="K44" i="50"/>
  <c r="H47" i="50"/>
  <c r="A83" i="50"/>
  <c r="K118" i="50"/>
  <c r="C34" i="50"/>
  <c r="K34" i="50"/>
  <c r="C44" i="50"/>
  <c r="K45" i="50"/>
  <c r="I47" i="50"/>
  <c r="N57" i="50"/>
  <c r="N65" i="50" s="1"/>
  <c r="L100" i="50"/>
  <c r="D100" i="50"/>
  <c r="K100" i="50"/>
  <c r="C100" i="50"/>
  <c r="G100" i="50"/>
  <c r="A101" i="50"/>
  <c r="F100" i="50"/>
  <c r="A99" i="50"/>
  <c r="E100" i="50"/>
  <c r="C30" i="50"/>
  <c r="C40" i="50" s="1"/>
  <c r="E34" i="50"/>
  <c r="J35" i="50"/>
  <c r="C42" i="50"/>
  <c r="F44" i="50"/>
  <c r="D45" i="50"/>
  <c r="K47" i="50"/>
  <c r="H100" i="50"/>
  <c r="E47" i="50"/>
  <c r="C35" i="50"/>
  <c r="G44" i="50"/>
  <c r="E45" i="50"/>
  <c r="C47" i="50"/>
  <c r="C51" i="50" s="1"/>
  <c r="L47" i="50"/>
  <c r="I100" i="50"/>
  <c r="E107" i="50"/>
  <c r="L107" i="50"/>
  <c r="D107" i="50"/>
  <c r="K107" i="50"/>
  <c r="C107" i="50"/>
  <c r="H107" i="50"/>
  <c r="G107" i="50"/>
  <c r="G110" i="50"/>
  <c r="N110" i="50"/>
  <c r="F110" i="50"/>
  <c r="F112" i="50" s="1"/>
  <c r="M110" i="50"/>
  <c r="E110" i="50"/>
  <c r="L110" i="50"/>
  <c r="D110" i="50"/>
  <c r="I110" i="50"/>
  <c r="H110" i="50"/>
  <c r="D106" i="50"/>
  <c r="L106" i="50"/>
  <c r="J108" i="50"/>
  <c r="M108" i="50" s="1"/>
  <c r="E109" i="50"/>
  <c r="M109" i="50" s="1"/>
  <c r="C111" i="50"/>
  <c r="K111" i="50"/>
  <c r="C117" i="50"/>
  <c r="K117" i="50"/>
  <c r="F125" i="50"/>
  <c r="C126" i="50"/>
  <c r="K126" i="50"/>
  <c r="E106" i="50"/>
  <c r="D111" i="50"/>
  <c r="L111" i="50"/>
  <c r="D117" i="50"/>
  <c r="L117" i="50"/>
  <c r="G125" i="50"/>
  <c r="D126" i="50"/>
  <c r="L126" i="50"/>
  <c r="G111" i="50"/>
  <c r="G117" i="50"/>
  <c r="J125" i="50"/>
  <c r="G126" i="50"/>
  <c r="I106" i="50"/>
  <c r="H111" i="50"/>
  <c r="H117" i="50"/>
  <c r="C125" i="50"/>
  <c r="K125" i="50"/>
  <c r="H126" i="50"/>
  <c r="I111" i="50"/>
  <c r="I117" i="50"/>
  <c r="D125" i="50"/>
  <c r="I126" i="50"/>
  <c r="K47" i="49"/>
  <c r="E47" i="49"/>
  <c r="F47" i="49"/>
  <c r="D47" i="49"/>
  <c r="C40" i="49"/>
  <c r="A74" i="49"/>
  <c r="K92" i="49"/>
  <c r="C92" i="49"/>
  <c r="L92" i="49"/>
  <c r="J92" i="49"/>
  <c r="I92" i="49"/>
  <c r="D92" i="49"/>
  <c r="H92" i="49"/>
  <c r="G92" i="49"/>
  <c r="A93" i="49"/>
  <c r="F92" i="49"/>
  <c r="N92" i="49"/>
  <c r="E92" i="49"/>
  <c r="A58" i="49"/>
  <c r="N57" i="49"/>
  <c r="N65" i="49" s="1"/>
  <c r="N73" i="49" s="1"/>
  <c r="N81" i="49" s="1"/>
  <c r="A82" i="49"/>
  <c r="A98" i="49"/>
  <c r="N97" i="49"/>
  <c r="A66" i="49"/>
  <c r="J34" i="49"/>
  <c r="G35" i="49"/>
  <c r="C41" i="49"/>
  <c r="J44" i="49"/>
  <c r="G45" i="49"/>
  <c r="A91" i="49"/>
  <c r="E106" i="49"/>
  <c r="C108" i="49"/>
  <c r="K108" i="49"/>
  <c r="G125" i="49"/>
  <c r="D126" i="49"/>
  <c r="L126" i="49"/>
  <c r="F106" i="49"/>
  <c r="N106" i="49"/>
  <c r="I107" i="49"/>
  <c r="D108" i="49"/>
  <c r="L108" i="49"/>
  <c r="G109" i="49"/>
  <c r="M109" i="49" s="1"/>
  <c r="J110" i="49"/>
  <c r="E111" i="49"/>
  <c r="M111" i="49"/>
  <c r="C115" i="49"/>
  <c r="C140" i="49" s="1"/>
  <c r="E117" i="49"/>
  <c r="J118" i="49"/>
  <c r="G119" i="49"/>
  <c r="H125" i="49"/>
  <c r="E126" i="49"/>
  <c r="B30" i="49"/>
  <c r="B29" i="49" s="1"/>
  <c r="C32" i="49"/>
  <c r="C42" i="49" s="1"/>
  <c r="D34" i="49"/>
  <c r="L34" i="49"/>
  <c r="I35" i="49"/>
  <c r="D44" i="49"/>
  <c r="L44" i="49"/>
  <c r="I45" i="49"/>
  <c r="G106" i="49"/>
  <c r="J107" i="49"/>
  <c r="E108" i="49"/>
  <c r="I125" i="49"/>
  <c r="F126" i="49"/>
  <c r="C30" i="49"/>
  <c r="J35" i="49"/>
  <c r="J45" i="49"/>
  <c r="H106" i="49"/>
  <c r="C107" i="49"/>
  <c r="K107" i="49"/>
  <c r="F108" i="49"/>
  <c r="N108" i="49"/>
  <c r="G111" i="49"/>
  <c r="G117" i="49"/>
  <c r="D118" i="49"/>
  <c r="L118" i="49"/>
  <c r="I119" i="49"/>
  <c r="J125" i="49"/>
  <c r="G126" i="49"/>
  <c r="F34" i="49"/>
  <c r="C35" i="49"/>
  <c r="K35" i="49"/>
  <c r="F44" i="49"/>
  <c r="C45" i="49"/>
  <c r="K45" i="49"/>
  <c r="I106" i="49"/>
  <c r="D107" i="49"/>
  <c r="L107" i="49"/>
  <c r="G108" i="49"/>
  <c r="E110" i="49"/>
  <c r="H111" i="49"/>
  <c r="C116" i="49"/>
  <c r="H117" i="49"/>
  <c r="E118" i="49"/>
  <c r="J119" i="49"/>
  <c r="C125" i="49"/>
  <c r="K125" i="49"/>
  <c r="H126" i="49"/>
  <c r="J108" i="49"/>
  <c r="J106" i="49"/>
  <c r="H108" i="49"/>
  <c r="D125" i="49"/>
  <c r="L125" i="49"/>
  <c r="I126" i="49"/>
  <c r="C33" i="49"/>
  <c r="C43" i="49" s="1"/>
  <c r="C51" i="49" s="1"/>
  <c r="C106" i="49"/>
  <c r="F107" i="49"/>
  <c r="C114" i="49"/>
  <c r="D119" i="49"/>
  <c r="A66" i="48"/>
  <c r="G47" i="48"/>
  <c r="H32" i="48"/>
  <c r="L32" i="48"/>
  <c r="C34" i="48"/>
  <c r="H35" i="48"/>
  <c r="A83" i="48"/>
  <c r="H130" i="48"/>
  <c r="E34" i="48"/>
  <c r="I130" i="48"/>
  <c r="H34" i="48"/>
  <c r="I121" i="48"/>
  <c r="H121" i="48"/>
  <c r="L121" i="48"/>
  <c r="K121" i="48"/>
  <c r="J130" i="48"/>
  <c r="J30" i="48"/>
  <c r="J34" i="48"/>
  <c r="A58" i="48"/>
  <c r="N57" i="48"/>
  <c r="N65" i="48" s="1"/>
  <c r="N73" i="48" s="1"/>
  <c r="N81" i="48" s="1"/>
  <c r="M66" i="48"/>
  <c r="N107" i="48" s="1"/>
  <c r="I84" i="48"/>
  <c r="H84" i="48"/>
  <c r="A85" i="48"/>
  <c r="L84" i="48"/>
  <c r="K84" i="48"/>
  <c r="J121" i="48"/>
  <c r="A98" i="48"/>
  <c r="N97" i="48"/>
  <c r="C47" i="48"/>
  <c r="B30" i="48"/>
  <c r="L34" i="48"/>
  <c r="D34" i="48"/>
  <c r="I34" i="48"/>
  <c r="G34" i="48"/>
  <c r="F34" i="48"/>
  <c r="I108" i="48"/>
  <c r="H108" i="48"/>
  <c r="G108" i="48"/>
  <c r="N108" i="48"/>
  <c r="F108" i="48"/>
  <c r="E108" i="48"/>
  <c r="L108" i="48"/>
  <c r="D108" i="48"/>
  <c r="K108" i="48"/>
  <c r="C108" i="48"/>
  <c r="D47" i="48"/>
  <c r="I35" i="48"/>
  <c r="F35" i="48"/>
  <c r="L35" i="48"/>
  <c r="D35" i="48"/>
  <c r="K35" i="48"/>
  <c r="C35" i="48"/>
  <c r="I45" i="48"/>
  <c r="H45" i="48"/>
  <c r="G45" i="48"/>
  <c r="F45" i="48"/>
  <c r="E45" i="48"/>
  <c r="L45" i="48"/>
  <c r="D45" i="48"/>
  <c r="K45" i="48"/>
  <c r="C45" i="48"/>
  <c r="A75" i="48"/>
  <c r="A76" i="48"/>
  <c r="A90" i="48"/>
  <c r="N89" i="48"/>
  <c r="E47" i="48"/>
  <c r="K31" i="48"/>
  <c r="C31" i="48"/>
  <c r="C41" i="48" s="1"/>
  <c r="J31" i="48"/>
  <c r="E35" i="48"/>
  <c r="J45" i="48"/>
  <c r="I33" i="48"/>
  <c r="J40" i="48"/>
  <c r="L42" i="48"/>
  <c r="I43" i="48"/>
  <c r="F44" i="48"/>
  <c r="E106" i="48"/>
  <c r="J115" i="48"/>
  <c r="J124" i="48"/>
  <c r="G125" i="48"/>
  <c r="D126" i="48"/>
  <c r="L126" i="48"/>
  <c r="J33" i="48"/>
  <c r="K40" i="48"/>
  <c r="H41" i="48"/>
  <c r="J43" i="48"/>
  <c r="G44" i="48"/>
  <c r="F106" i="48"/>
  <c r="N106" i="48"/>
  <c r="I107" i="48"/>
  <c r="G109" i="48"/>
  <c r="E111" i="48"/>
  <c r="M111" i="48"/>
  <c r="C115" i="48"/>
  <c r="C140" i="48" s="1"/>
  <c r="K115" i="48"/>
  <c r="H116" i="48"/>
  <c r="E117" i="48"/>
  <c r="J118" i="48"/>
  <c r="G119" i="48"/>
  <c r="I122" i="48"/>
  <c r="K124" i="48"/>
  <c r="H125" i="48"/>
  <c r="E126" i="48"/>
  <c r="L40" i="48"/>
  <c r="I41" i="48"/>
  <c r="C43" i="48"/>
  <c r="C51" i="48" s="1"/>
  <c r="K43" i="48"/>
  <c r="H44" i="48"/>
  <c r="G106" i="48"/>
  <c r="J107" i="48"/>
  <c r="H109" i="48"/>
  <c r="F111" i="48"/>
  <c r="N111" i="48"/>
  <c r="L115" i="48"/>
  <c r="J122" i="48"/>
  <c r="L124" i="48"/>
  <c r="I125" i="48"/>
  <c r="F126" i="48"/>
  <c r="J41" i="48"/>
  <c r="L43" i="48"/>
  <c r="I44" i="48"/>
  <c r="H106" i="48"/>
  <c r="C107" i="48"/>
  <c r="K107" i="48"/>
  <c r="I109" i="48"/>
  <c r="G111" i="48"/>
  <c r="H114" i="48"/>
  <c r="G117" i="48"/>
  <c r="D118" i="48"/>
  <c r="L118" i="48"/>
  <c r="I119" i="48"/>
  <c r="K122" i="48"/>
  <c r="H123" i="48"/>
  <c r="J125" i="48"/>
  <c r="G126" i="48"/>
  <c r="J44" i="48"/>
  <c r="I106" i="48"/>
  <c r="J109" i="48"/>
  <c r="H111" i="48"/>
  <c r="I114" i="48"/>
  <c r="J119" i="48"/>
  <c r="L122" i="48"/>
  <c r="I123" i="48"/>
  <c r="C125" i="48"/>
  <c r="K125" i="48"/>
  <c r="H126" i="48"/>
  <c r="C44" i="48"/>
  <c r="K44" i="48"/>
  <c r="J106" i="48"/>
  <c r="J114" i="48"/>
  <c r="J123" i="48"/>
  <c r="D125" i="48"/>
  <c r="L125" i="48"/>
  <c r="I126" i="48"/>
  <c r="D44" i="48"/>
  <c r="C106" i="48"/>
  <c r="F107" i="48"/>
  <c r="D109" i="48"/>
  <c r="D119" i="48"/>
  <c r="H134" i="47"/>
  <c r="H33" i="47"/>
  <c r="L34" i="47"/>
  <c r="I35" i="47"/>
  <c r="J37" i="47"/>
  <c r="K44" i="47"/>
  <c r="H45" i="47"/>
  <c r="J47" i="47"/>
  <c r="E110" i="47"/>
  <c r="H111" i="47"/>
  <c r="C112" i="47"/>
  <c r="K112" i="47"/>
  <c r="I114" i="47"/>
  <c r="D115" i="47"/>
  <c r="L115" i="47"/>
  <c r="E118" i="47"/>
  <c r="J119" i="47"/>
  <c r="D121" i="47"/>
  <c r="L121" i="47"/>
  <c r="I122" i="47"/>
  <c r="K125" i="47"/>
  <c r="H126" i="47"/>
  <c r="J128" i="47"/>
  <c r="G129" i="47"/>
  <c r="L130" i="47"/>
  <c r="F110" i="47"/>
  <c r="D112" i="47"/>
  <c r="L112" i="47"/>
  <c r="J114" i="47"/>
  <c r="F118" i="47"/>
  <c r="J122" i="47"/>
  <c r="L125" i="47"/>
  <c r="L44" i="47"/>
  <c r="J33" i="47"/>
  <c r="C35" i="47"/>
  <c r="K35" i="47"/>
  <c r="J45" i="47"/>
  <c r="G110" i="47"/>
  <c r="J111" i="47"/>
  <c r="E112" i="47"/>
  <c r="C114" i="47"/>
  <c r="K114" i="47"/>
  <c r="G118" i="47"/>
  <c r="C122" i="47"/>
  <c r="K122" i="47"/>
  <c r="J126" i="47"/>
  <c r="J125" i="47"/>
  <c r="J35" i="47"/>
  <c r="K33" i="47"/>
  <c r="L35" i="47"/>
  <c r="H36" i="47"/>
  <c r="E37" i="47"/>
  <c r="J38" i="47"/>
  <c r="I43" i="47"/>
  <c r="K45" i="47"/>
  <c r="H46" i="47"/>
  <c r="E47" i="47"/>
  <c r="J48" i="47"/>
  <c r="H110" i="47"/>
  <c r="C111" i="47"/>
  <c r="K111" i="47"/>
  <c r="F112" i="47"/>
  <c r="I113" i="47"/>
  <c r="D114" i="47"/>
  <c r="L114" i="47"/>
  <c r="G115" i="47"/>
  <c r="H118" i="47"/>
  <c r="E119" i="47"/>
  <c r="J120" i="47"/>
  <c r="G121" i="47"/>
  <c r="D122" i="47"/>
  <c r="L122" i="47"/>
  <c r="I123" i="47"/>
  <c r="K126" i="47"/>
  <c r="H127" i="47"/>
  <c r="J129" i="47"/>
  <c r="J44" i="47"/>
  <c r="I33" i="47"/>
  <c r="L33" i="47"/>
  <c r="H34" i="47"/>
  <c r="L45" i="47"/>
  <c r="I46" i="47"/>
  <c r="I110" i="47"/>
  <c r="D111" i="47"/>
  <c r="L111" i="47"/>
  <c r="G112" i="47"/>
  <c r="E114" i="47"/>
  <c r="H115" i="47"/>
  <c r="I118" i="47"/>
  <c r="C120" i="47"/>
  <c r="H121" i="47"/>
  <c r="E122" i="47"/>
  <c r="L126" i="47"/>
  <c r="I127" i="47"/>
  <c r="H130" i="47"/>
  <c r="J112" i="47"/>
  <c r="I34" i="47"/>
  <c r="H44" i="47"/>
  <c r="J46" i="47"/>
  <c r="J110" i="47"/>
  <c r="H112" i="47"/>
  <c r="J118" i="47"/>
  <c r="H125" i="47"/>
  <c r="J127" i="47"/>
  <c r="C110" i="47"/>
  <c r="F111" i="47"/>
  <c r="C118" i="47"/>
  <c r="H47" i="33"/>
  <c r="I47" i="33"/>
  <c r="J47" i="33"/>
  <c r="K47" i="33"/>
  <c r="L47" i="33"/>
  <c r="H29" i="33"/>
  <c r="I29" i="33"/>
  <c r="J29" i="33"/>
  <c r="K29" i="33"/>
  <c r="L29" i="33"/>
  <c r="C29" i="33"/>
  <c r="D28" i="33"/>
  <c r="E28" i="33"/>
  <c r="F28" i="33"/>
  <c r="G28" i="33"/>
  <c r="H28" i="33"/>
  <c r="I28" i="33"/>
  <c r="J28" i="33"/>
  <c r="K28" i="33"/>
  <c r="L28" i="33"/>
  <c r="C28" i="33"/>
  <c r="C47" i="47" l="1"/>
  <c r="C44" i="52"/>
  <c r="C92" i="52" s="1"/>
  <c r="M114" i="47"/>
  <c r="A88" i="47"/>
  <c r="A87" i="47"/>
  <c r="N66" i="52"/>
  <c r="N74" i="52" s="1"/>
  <c r="N82" i="52" s="1"/>
  <c r="D67" i="52"/>
  <c r="A68" i="52"/>
  <c r="A67" i="52"/>
  <c r="J91" i="52"/>
  <c r="I91" i="52"/>
  <c r="C43" i="52"/>
  <c r="F100" i="52"/>
  <c r="L100" i="52"/>
  <c r="J100" i="52"/>
  <c r="G100" i="52"/>
  <c r="H100" i="52"/>
  <c r="K100" i="52"/>
  <c r="I100" i="52"/>
  <c r="H91" i="52"/>
  <c r="F84" i="52"/>
  <c r="K84" i="52"/>
  <c r="H84" i="52"/>
  <c r="L84" i="52"/>
  <c r="I84" i="52"/>
  <c r="G84" i="52"/>
  <c r="J84" i="52"/>
  <c r="F92" i="52"/>
  <c r="I92" i="52"/>
  <c r="K92" i="52"/>
  <c r="H92" i="52"/>
  <c r="J92" i="52"/>
  <c r="G92" i="52"/>
  <c r="L92" i="52"/>
  <c r="E92" i="52"/>
  <c r="F76" i="52"/>
  <c r="G76" i="52"/>
  <c r="L76" i="52"/>
  <c r="H76" i="52"/>
  <c r="I76" i="52"/>
  <c r="J76" i="52"/>
  <c r="K76" i="52"/>
  <c r="F60" i="52"/>
  <c r="G60" i="52"/>
  <c r="I60" i="52"/>
  <c r="K60" i="52"/>
  <c r="H60" i="52"/>
  <c r="J60" i="52"/>
  <c r="L60" i="52"/>
  <c r="G91" i="52"/>
  <c r="H85" i="52"/>
  <c r="I85" i="52"/>
  <c r="J85" i="52"/>
  <c r="K85" i="52"/>
  <c r="L85" i="52"/>
  <c r="C48" i="47"/>
  <c r="C56" i="47" s="1"/>
  <c r="C57" i="47" s="1"/>
  <c r="B52" i="47" s="1"/>
  <c r="C40" i="52"/>
  <c r="C42" i="52"/>
  <c r="C45" i="52"/>
  <c r="C53" i="52" s="1"/>
  <c r="C51" i="52" s="1"/>
  <c r="E91" i="52"/>
  <c r="F91" i="52"/>
  <c r="M91" i="52"/>
  <c r="C91" i="52"/>
  <c r="K91" i="52"/>
  <c r="D91" i="52"/>
  <c r="N91" i="52"/>
  <c r="N99" i="52" s="1"/>
  <c r="M115" i="47"/>
  <c r="M111" i="52"/>
  <c r="C36" i="47"/>
  <c r="C46" i="47" s="1"/>
  <c r="N92" i="52"/>
  <c r="N100" i="52" s="1"/>
  <c r="A93" i="52"/>
  <c r="A94" i="52" s="1"/>
  <c r="M113" i="47"/>
  <c r="F116" i="47"/>
  <c r="G116" i="47"/>
  <c r="D116" i="47"/>
  <c r="E116" i="47"/>
  <c r="A61" i="52"/>
  <c r="N60" i="52"/>
  <c r="N68" i="52" s="1"/>
  <c r="N76" i="52" s="1"/>
  <c r="N84" i="52" s="1"/>
  <c r="N59" i="52"/>
  <c r="N67" i="52" s="1"/>
  <c r="N75" i="52" s="1"/>
  <c r="N83" i="52" s="1"/>
  <c r="F59" i="52"/>
  <c r="M59" i="52"/>
  <c r="E59" i="52"/>
  <c r="K59" i="52"/>
  <c r="C59" i="52"/>
  <c r="H59" i="52"/>
  <c r="G59" i="52"/>
  <c r="D59" i="52"/>
  <c r="L59" i="52"/>
  <c r="I59" i="52"/>
  <c r="J59" i="52"/>
  <c r="F75" i="52"/>
  <c r="M75" i="52"/>
  <c r="E75" i="52"/>
  <c r="K75" i="52"/>
  <c r="C75" i="52"/>
  <c r="L75" i="52"/>
  <c r="J75" i="52"/>
  <c r="I75" i="52"/>
  <c r="H75" i="52"/>
  <c r="G75" i="52"/>
  <c r="D75" i="52"/>
  <c r="A101" i="52"/>
  <c r="J99" i="52"/>
  <c r="G99" i="52"/>
  <c r="F99" i="52"/>
  <c r="M99" i="52"/>
  <c r="E99" i="52"/>
  <c r="L99" i="52"/>
  <c r="D99" i="52"/>
  <c r="K99" i="52"/>
  <c r="I99" i="52"/>
  <c r="C99" i="52"/>
  <c r="H99" i="52"/>
  <c r="A85" i="52"/>
  <c r="A77" i="52"/>
  <c r="K83" i="52"/>
  <c r="C83" i="52"/>
  <c r="J83" i="52"/>
  <c r="H83" i="52"/>
  <c r="I83" i="52"/>
  <c r="G83" i="52"/>
  <c r="F83" i="52"/>
  <c r="E83" i="52"/>
  <c r="D83" i="52"/>
  <c r="L83" i="52"/>
  <c r="M83" i="52"/>
  <c r="C43" i="47"/>
  <c r="C45" i="47"/>
  <c r="C116" i="47"/>
  <c r="C44" i="47"/>
  <c r="M110" i="51"/>
  <c r="J112" i="51"/>
  <c r="J91" i="51" s="1"/>
  <c r="M107" i="51"/>
  <c r="K112" i="51"/>
  <c r="K91" i="51" s="1"/>
  <c r="F112" i="51"/>
  <c r="F59" i="51" s="1"/>
  <c r="C92" i="51"/>
  <c r="M106" i="51"/>
  <c r="I112" i="51"/>
  <c r="I91" i="51" s="1"/>
  <c r="L112" i="51"/>
  <c r="L91" i="51" s="1"/>
  <c r="M109" i="51"/>
  <c r="C112" i="51"/>
  <c r="C75" i="51" s="1"/>
  <c r="M108" i="51"/>
  <c r="C60" i="51"/>
  <c r="C61" i="51" s="1"/>
  <c r="C114" i="51" s="1"/>
  <c r="E112" i="51"/>
  <c r="E91" i="51" s="1"/>
  <c r="A85" i="51"/>
  <c r="A94" i="51"/>
  <c r="N93" i="51"/>
  <c r="G112" i="51"/>
  <c r="G91" i="51" s="1"/>
  <c r="D112" i="51"/>
  <c r="D91" i="51" s="1"/>
  <c r="H112" i="51"/>
  <c r="H91" i="51" s="1"/>
  <c r="A70" i="51"/>
  <c r="N69" i="51"/>
  <c r="N59" i="51"/>
  <c r="N67" i="51" s="1"/>
  <c r="N75" i="51" s="1"/>
  <c r="N83" i="51" s="1"/>
  <c r="M59" i="51"/>
  <c r="A77" i="51"/>
  <c r="N76" i="51"/>
  <c r="N84" i="51" s="1"/>
  <c r="A100" i="51"/>
  <c r="A99" i="51"/>
  <c r="N98" i="51"/>
  <c r="A62" i="51"/>
  <c r="N61" i="51"/>
  <c r="M75" i="51"/>
  <c r="H112" i="50"/>
  <c r="H83" i="50" s="1"/>
  <c r="C112" i="50"/>
  <c r="C83" i="50" s="1"/>
  <c r="M107" i="50"/>
  <c r="M106" i="50"/>
  <c r="K112" i="50"/>
  <c r="K83" i="50" s="1"/>
  <c r="C50" i="50"/>
  <c r="C48" i="50" s="1"/>
  <c r="C84" i="50"/>
  <c r="G112" i="50"/>
  <c r="G59" i="50" s="1"/>
  <c r="F59" i="50"/>
  <c r="N59" i="50"/>
  <c r="M59" i="50"/>
  <c r="M75" i="50"/>
  <c r="F75" i="50"/>
  <c r="M83" i="50"/>
  <c r="F83" i="50"/>
  <c r="A77" i="50"/>
  <c r="N76" i="50"/>
  <c r="N84" i="50" s="1"/>
  <c r="E112" i="50"/>
  <c r="E75" i="50" s="1"/>
  <c r="A86" i="50"/>
  <c r="I99" i="50"/>
  <c r="H99" i="50"/>
  <c r="L99" i="50"/>
  <c r="D99" i="50"/>
  <c r="K99" i="50"/>
  <c r="C99" i="50"/>
  <c r="F99" i="50"/>
  <c r="E99" i="50"/>
  <c r="G99" i="50"/>
  <c r="N99" i="50"/>
  <c r="M99" i="50"/>
  <c r="J99" i="50"/>
  <c r="J112" i="50"/>
  <c r="J59" i="50" s="1"/>
  <c r="L112" i="50"/>
  <c r="L75" i="50" s="1"/>
  <c r="M67" i="50"/>
  <c r="F67" i="50"/>
  <c r="N67" i="50"/>
  <c r="N75" i="50" s="1"/>
  <c r="N83" i="50" s="1"/>
  <c r="D112" i="50"/>
  <c r="D67" i="50" s="1"/>
  <c r="N101" i="50"/>
  <c r="A102" i="50"/>
  <c r="N68" i="50"/>
  <c r="A69" i="50"/>
  <c r="I112" i="50"/>
  <c r="I75" i="50" s="1"/>
  <c r="A61" i="50"/>
  <c r="N60" i="50"/>
  <c r="C60" i="50"/>
  <c r="C61" i="50" s="1"/>
  <c r="C114" i="50" s="1"/>
  <c r="A92" i="50"/>
  <c r="A91" i="50"/>
  <c r="N90" i="50"/>
  <c r="L112" i="49"/>
  <c r="K112" i="49"/>
  <c r="J112" i="49"/>
  <c r="I112" i="49"/>
  <c r="D112" i="49"/>
  <c r="F112" i="49"/>
  <c r="E112" i="49"/>
  <c r="H112" i="49"/>
  <c r="G112" i="49"/>
  <c r="C50" i="49"/>
  <c r="C48" i="49" s="1"/>
  <c r="C112" i="49"/>
  <c r="M106" i="49"/>
  <c r="M108" i="49"/>
  <c r="A60" i="49"/>
  <c r="N58" i="49"/>
  <c r="N66" i="49" s="1"/>
  <c r="N74" i="49" s="1"/>
  <c r="N82" i="49" s="1"/>
  <c r="A59" i="49"/>
  <c r="A67" i="49"/>
  <c r="A68" i="49"/>
  <c r="H91" i="49"/>
  <c r="G91" i="49"/>
  <c r="N91" i="49"/>
  <c r="F91" i="49"/>
  <c r="M91" i="49"/>
  <c r="E91" i="49"/>
  <c r="L91" i="49"/>
  <c r="D91" i="49"/>
  <c r="K91" i="49"/>
  <c r="C91" i="49"/>
  <c r="I91" i="49"/>
  <c r="J91" i="49"/>
  <c r="A99" i="49"/>
  <c r="N98" i="49"/>
  <c r="A100" i="49"/>
  <c r="A94" i="49"/>
  <c r="N93" i="49"/>
  <c r="M107" i="49"/>
  <c r="A84" i="49"/>
  <c r="A83" i="49"/>
  <c r="A75" i="49"/>
  <c r="A76" i="49"/>
  <c r="C112" i="48"/>
  <c r="C83" i="48" s="1"/>
  <c r="D112" i="48"/>
  <c r="D75" i="48" s="1"/>
  <c r="F112" i="48"/>
  <c r="F75" i="48" s="1"/>
  <c r="C50" i="48"/>
  <c r="C84" i="48"/>
  <c r="A77" i="48"/>
  <c r="L76" i="48"/>
  <c r="K76" i="48"/>
  <c r="J76" i="48"/>
  <c r="I76" i="48"/>
  <c r="H76" i="48"/>
  <c r="C30" i="48"/>
  <c r="C40" i="48" s="1"/>
  <c r="B29" i="48"/>
  <c r="M107" i="48"/>
  <c r="M108" i="48"/>
  <c r="M109" i="48"/>
  <c r="G112" i="48"/>
  <c r="G75" i="48" s="1"/>
  <c r="A99" i="48"/>
  <c r="N98" i="48"/>
  <c r="A100" i="48"/>
  <c r="A60" i="48"/>
  <c r="A59" i="48"/>
  <c r="N58" i="48"/>
  <c r="L75" i="48"/>
  <c r="K75" i="48"/>
  <c r="J75" i="48"/>
  <c r="I75" i="48"/>
  <c r="H75" i="48"/>
  <c r="M75" i="48"/>
  <c r="A86" i="48"/>
  <c r="A67" i="48"/>
  <c r="N66" i="48"/>
  <c r="N74" i="48" s="1"/>
  <c r="N82" i="48" s="1"/>
  <c r="A68" i="48"/>
  <c r="M106" i="48"/>
  <c r="A92" i="48"/>
  <c r="A91" i="48"/>
  <c r="N90" i="48"/>
  <c r="E112" i="48"/>
  <c r="E75" i="48" s="1"/>
  <c r="M83" i="48"/>
  <c r="L83" i="48"/>
  <c r="K83" i="48"/>
  <c r="J83" i="48"/>
  <c r="I83" i="48"/>
  <c r="H83" i="48"/>
  <c r="M112" i="47"/>
  <c r="M110" i="47"/>
  <c r="M111" i="47"/>
  <c r="A72" i="47"/>
  <c r="A96" i="47"/>
  <c r="A97" i="47" s="1"/>
  <c r="A64" i="47"/>
  <c r="A80" i="47"/>
  <c r="A104" i="47"/>
  <c r="H134" i="33"/>
  <c r="I134" i="33"/>
  <c r="J134" i="33"/>
  <c r="K134" i="33"/>
  <c r="L134" i="33"/>
  <c r="H131" i="33"/>
  <c r="I131" i="33"/>
  <c r="J131" i="33"/>
  <c r="K131" i="33"/>
  <c r="L131" i="33"/>
  <c r="H132" i="33"/>
  <c r="I132" i="33"/>
  <c r="J132" i="33"/>
  <c r="K132" i="33"/>
  <c r="L132" i="33"/>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5" i="47" l="1"/>
  <c r="C54" i="47" s="1"/>
  <c r="C84" i="52"/>
  <c r="C85" i="52" s="1"/>
  <c r="C117" i="52" s="1"/>
  <c r="A65" i="47"/>
  <c r="A89" i="47" s="1"/>
  <c r="L67" i="52"/>
  <c r="I67" i="52"/>
  <c r="K67" i="52"/>
  <c r="J67" i="52"/>
  <c r="H67" i="52"/>
  <c r="M67" i="52"/>
  <c r="H68" i="52"/>
  <c r="G68" i="52"/>
  <c r="K68" i="52"/>
  <c r="J68" i="52"/>
  <c r="A69" i="52"/>
  <c r="A70" i="52" s="1"/>
  <c r="F68" i="52"/>
  <c r="L68" i="52"/>
  <c r="I68" i="52"/>
  <c r="E67" i="52"/>
  <c r="G67" i="52"/>
  <c r="F67" i="52"/>
  <c r="C67" i="52"/>
  <c r="C100" i="52"/>
  <c r="N93" i="52"/>
  <c r="N101" i="52" s="1"/>
  <c r="K64" i="47"/>
  <c r="L64" i="47"/>
  <c r="F64" i="47"/>
  <c r="G64" i="47"/>
  <c r="H64" i="47"/>
  <c r="J64" i="47"/>
  <c r="I64" i="47"/>
  <c r="F104" i="47"/>
  <c r="H104" i="47"/>
  <c r="G104" i="47"/>
  <c r="J104" i="47"/>
  <c r="K104" i="47"/>
  <c r="L104" i="47"/>
  <c r="I104" i="47"/>
  <c r="L96" i="47"/>
  <c r="J96" i="47"/>
  <c r="K96" i="47"/>
  <c r="E96" i="47"/>
  <c r="F96" i="47"/>
  <c r="H96" i="47"/>
  <c r="I96" i="47"/>
  <c r="G96" i="47"/>
  <c r="C104" i="47"/>
  <c r="K88" i="47"/>
  <c r="H88" i="47"/>
  <c r="J88" i="47"/>
  <c r="L88" i="47"/>
  <c r="I88" i="47"/>
  <c r="F88" i="47"/>
  <c r="G88" i="47"/>
  <c r="F80" i="47"/>
  <c r="G80" i="47"/>
  <c r="H80" i="47"/>
  <c r="K80" i="47"/>
  <c r="L80" i="47"/>
  <c r="I80" i="47"/>
  <c r="J80" i="47"/>
  <c r="F72" i="47"/>
  <c r="J72" i="47"/>
  <c r="G72" i="47"/>
  <c r="L72" i="47"/>
  <c r="H72" i="47"/>
  <c r="K72" i="47"/>
  <c r="I72" i="47"/>
  <c r="C48" i="52"/>
  <c r="C60" i="52" s="1"/>
  <c r="C50" i="52"/>
  <c r="A102" i="52"/>
  <c r="K70" i="52"/>
  <c r="J70" i="52"/>
  <c r="H70" i="52"/>
  <c r="L70" i="52"/>
  <c r="I70" i="52"/>
  <c r="A86" i="52"/>
  <c r="N94" i="52"/>
  <c r="E94" i="52"/>
  <c r="J94" i="52"/>
  <c r="I94" i="52"/>
  <c r="H94" i="52"/>
  <c r="G94" i="52"/>
  <c r="C94" i="52"/>
  <c r="C125" i="52" s="1"/>
  <c r="D34" i="52" s="1"/>
  <c r="L94" i="52"/>
  <c r="K94" i="52"/>
  <c r="F94" i="52"/>
  <c r="A78" i="52"/>
  <c r="N61" i="52"/>
  <c r="N69" i="52" s="1"/>
  <c r="N77" i="52" s="1"/>
  <c r="N85" i="52" s="1"/>
  <c r="A62" i="52"/>
  <c r="K67" i="51"/>
  <c r="L75" i="51"/>
  <c r="E75" i="51"/>
  <c r="L67" i="51"/>
  <c r="L59" i="51"/>
  <c r="I83" i="51"/>
  <c r="H75" i="51"/>
  <c r="I75" i="51"/>
  <c r="G59" i="51"/>
  <c r="F83" i="51"/>
  <c r="I59" i="51"/>
  <c r="I67" i="51"/>
  <c r="J83" i="51"/>
  <c r="J59" i="51"/>
  <c r="J75" i="51"/>
  <c r="J67" i="51"/>
  <c r="G75" i="51"/>
  <c r="C67" i="51"/>
  <c r="C91" i="51"/>
  <c r="C83" i="51"/>
  <c r="F75" i="51"/>
  <c r="K59" i="51"/>
  <c r="D75" i="51"/>
  <c r="C59" i="51"/>
  <c r="K83" i="51"/>
  <c r="F67" i="51"/>
  <c r="F91" i="51"/>
  <c r="K75" i="51"/>
  <c r="L83" i="51"/>
  <c r="C62" i="51"/>
  <c r="C121" i="51" s="1"/>
  <c r="N62" i="51"/>
  <c r="A78" i="51"/>
  <c r="N77" i="51"/>
  <c r="H67" i="51"/>
  <c r="H83" i="51"/>
  <c r="C68" i="51"/>
  <c r="C69" i="51" s="1"/>
  <c r="C115" i="51" s="1"/>
  <c r="C140" i="51" s="1"/>
  <c r="G99" i="51"/>
  <c r="N99" i="51"/>
  <c r="F99" i="51"/>
  <c r="L99" i="51"/>
  <c r="D99" i="51"/>
  <c r="E99" i="51"/>
  <c r="C99" i="51"/>
  <c r="M99" i="51"/>
  <c r="H99" i="51"/>
  <c r="K99" i="51"/>
  <c r="J99" i="51"/>
  <c r="I99" i="51"/>
  <c r="D67" i="51"/>
  <c r="D83" i="51"/>
  <c r="A86" i="51"/>
  <c r="N85" i="51"/>
  <c r="N94" i="51"/>
  <c r="C94" i="51"/>
  <c r="C125" i="51" s="1"/>
  <c r="J100" i="51"/>
  <c r="I100" i="51"/>
  <c r="G100" i="51"/>
  <c r="E100" i="51"/>
  <c r="D100" i="51"/>
  <c r="A101" i="51"/>
  <c r="C100" i="51"/>
  <c r="N100" i="51"/>
  <c r="L100" i="51"/>
  <c r="K100" i="51"/>
  <c r="H100" i="51"/>
  <c r="F100" i="51"/>
  <c r="C76" i="51"/>
  <c r="C77" i="51" s="1"/>
  <c r="C116" i="51" s="1"/>
  <c r="D59" i="51"/>
  <c r="H59" i="51"/>
  <c r="G83" i="51"/>
  <c r="G67" i="51"/>
  <c r="N70" i="51"/>
  <c r="E67" i="51"/>
  <c r="E83" i="51"/>
  <c r="E59" i="51"/>
  <c r="C84" i="51"/>
  <c r="H59" i="50"/>
  <c r="H67" i="50"/>
  <c r="G67" i="50"/>
  <c r="G75" i="50"/>
  <c r="C75" i="50"/>
  <c r="H75" i="50"/>
  <c r="C67" i="50"/>
  <c r="C59" i="50"/>
  <c r="K59" i="50"/>
  <c r="K75" i="50"/>
  <c r="K67" i="50"/>
  <c r="I59" i="50"/>
  <c r="L67" i="50"/>
  <c r="L83" i="50"/>
  <c r="G91" i="50"/>
  <c r="N91" i="50"/>
  <c r="F91" i="50"/>
  <c r="J91" i="50"/>
  <c r="M91" i="50"/>
  <c r="L91" i="50"/>
  <c r="K91" i="50"/>
  <c r="C91" i="50"/>
  <c r="I91" i="50"/>
  <c r="H91" i="50"/>
  <c r="E91" i="50"/>
  <c r="D91" i="50"/>
  <c r="A70" i="50"/>
  <c r="C76" i="50"/>
  <c r="C77" i="50" s="1"/>
  <c r="C116" i="50" s="1"/>
  <c r="E83" i="50"/>
  <c r="E59" i="50"/>
  <c r="D59" i="50"/>
  <c r="J92" i="50"/>
  <c r="I92" i="50"/>
  <c r="N92" i="50"/>
  <c r="E92" i="50"/>
  <c r="A93" i="50"/>
  <c r="L92" i="50"/>
  <c r="K92" i="50"/>
  <c r="C92" i="50"/>
  <c r="H92" i="50"/>
  <c r="G92" i="50"/>
  <c r="F92" i="50"/>
  <c r="D92" i="50"/>
  <c r="E67" i="50"/>
  <c r="J83" i="50"/>
  <c r="L59" i="50"/>
  <c r="J75" i="50"/>
  <c r="D75" i="50"/>
  <c r="N61" i="50"/>
  <c r="N69" i="50" s="1"/>
  <c r="N77" i="50" s="1"/>
  <c r="N85" i="50" s="1"/>
  <c r="A62" i="50"/>
  <c r="I67" i="50"/>
  <c r="G83" i="50"/>
  <c r="F102" i="50"/>
  <c r="N102" i="50"/>
  <c r="E102" i="50"/>
  <c r="L102" i="50"/>
  <c r="I102" i="50"/>
  <c r="H102" i="50"/>
  <c r="K102" i="50"/>
  <c r="J102" i="50"/>
  <c r="G102" i="50"/>
  <c r="D102" i="50"/>
  <c r="C102" i="50"/>
  <c r="J67" i="50"/>
  <c r="C86" i="50"/>
  <c r="C124" i="50" s="1"/>
  <c r="D33" i="50" s="1"/>
  <c r="I83" i="50"/>
  <c r="C49" i="50"/>
  <c r="C68" i="50" s="1"/>
  <c r="C69" i="50" s="1"/>
  <c r="C115" i="50" s="1"/>
  <c r="C140" i="50" s="1"/>
  <c r="A78" i="50"/>
  <c r="D83" i="50"/>
  <c r="C49" i="49"/>
  <c r="C68" i="49" s="1"/>
  <c r="H59" i="49"/>
  <c r="G59" i="49"/>
  <c r="N59" i="49"/>
  <c r="F59" i="49"/>
  <c r="M59" i="49"/>
  <c r="E59" i="49"/>
  <c r="L59" i="49"/>
  <c r="D59" i="49"/>
  <c r="I59" i="49"/>
  <c r="K59" i="49"/>
  <c r="C59" i="49"/>
  <c r="J59" i="49"/>
  <c r="C60" i="49"/>
  <c r="A61" i="49"/>
  <c r="N60" i="49"/>
  <c r="A77" i="49"/>
  <c r="C76" i="49"/>
  <c r="N94" i="49"/>
  <c r="E94" i="49"/>
  <c r="L94" i="49"/>
  <c r="D94" i="49"/>
  <c r="K94" i="49"/>
  <c r="C94" i="49"/>
  <c r="J94" i="49"/>
  <c r="I94" i="49"/>
  <c r="H94" i="49"/>
  <c r="F94" i="49"/>
  <c r="G94" i="49"/>
  <c r="N68" i="49"/>
  <c r="N76" i="49" s="1"/>
  <c r="N84" i="49" s="1"/>
  <c r="A69" i="49"/>
  <c r="N100" i="49"/>
  <c r="E100" i="49"/>
  <c r="L100" i="49"/>
  <c r="D100" i="49"/>
  <c r="A101" i="49"/>
  <c r="K100" i="49"/>
  <c r="C100" i="49"/>
  <c r="J100" i="49"/>
  <c r="I100" i="49"/>
  <c r="H100" i="49"/>
  <c r="F100" i="49"/>
  <c r="G100" i="49"/>
  <c r="F83" i="49"/>
  <c r="M83" i="49"/>
  <c r="E83" i="49"/>
  <c r="L83" i="49"/>
  <c r="D83" i="49"/>
  <c r="K83" i="49"/>
  <c r="C83" i="49"/>
  <c r="J83" i="49"/>
  <c r="I83" i="49"/>
  <c r="G83" i="49"/>
  <c r="H83" i="49"/>
  <c r="A85" i="49"/>
  <c r="C84" i="49"/>
  <c r="L75" i="49"/>
  <c r="D75" i="49"/>
  <c r="M75" i="49"/>
  <c r="K75" i="49"/>
  <c r="C75" i="49"/>
  <c r="J75" i="49"/>
  <c r="I75" i="49"/>
  <c r="H75" i="49"/>
  <c r="G75" i="49"/>
  <c r="E75" i="49"/>
  <c r="N75" i="49"/>
  <c r="N83" i="49" s="1"/>
  <c r="F75" i="49"/>
  <c r="J67" i="49"/>
  <c r="K67" i="49"/>
  <c r="I67" i="49"/>
  <c r="H67" i="49"/>
  <c r="G67" i="49"/>
  <c r="N67" i="49"/>
  <c r="F67" i="49"/>
  <c r="C67" i="49"/>
  <c r="M67" i="49"/>
  <c r="E67" i="49"/>
  <c r="L67" i="49"/>
  <c r="D67" i="49"/>
  <c r="J99" i="49"/>
  <c r="I99" i="49"/>
  <c r="H99" i="49"/>
  <c r="G99" i="49"/>
  <c r="C99" i="49"/>
  <c r="N99" i="49"/>
  <c r="F99" i="49"/>
  <c r="K99" i="49"/>
  <c r="M99" i="49"/>
  <c r="E99" i="49"/>
  <c r="L99" i="49"/>
  <c r="D99" i="49"/>
  <c r="D83" i="48"/>
  <c r="C75" i="48"/>
  <c r="F83" i="48"/>
  <c r="K86" i="48"/>
  <c r="C86" i="48"/>
  <c r="C124" i="48" s="1"/>
  <c r="D33" i="48" s="1"/>
  <c r="J86" i="48"/>
  <c r="I86" i="48"/>
  <c r="H86" i="48"/>
  <c r="L86" i="48"/>
  <c r="K92" i="48"/>
  <c r="C92" i="48"/>
  <c r="J92" i="48"/>
  <c r="I92" i="48"/>
  <c r="H92" i="48"/>
  <c r="G92" i="48"/>
  <c r="A93" i="48"/>
  <c r="F92" i="48"/>
  <c r="N92" i="48"/>
  <c r="E92" i="48"/>
  <c r="L92" i="48"/>
  <c r="D92" i="48"/>
  <c r="G83" i="48"/>
  <c r="E83" i="48"/>
  <c r="A69" i="48"/>
  <c r="N68" i="48"/>
  <c r="N76" i="48" s="1"/>
  <c r="N84" i="48" s="1"/>
  <c r="L68" i="48"/>
  <c r="K68" i="48"/>
  <c r="J68" i="48"/>
  <c r="I68" i="48"/>
  <c r="H68" i="48"/>
  <c r="A78" i="48"/>
  <c r="J99" i="48"/>
  <c r="I99" i="48"/>
  <c r="H99" i="48"/>
  <c r="G99" i="48"/>
  <c r="N99" i="48"/>
  <c r="F99" i="48"/>
  <c r="M99" i="48"/>
  <c r="E99" i="48"/>
  <c r="L99" i="48"/>
  <c r="D99" i="48"/>
  <c r="K99" i="48"/>
  <c r="C99" i="48"/>
  <c r="C76" i="48"/>
  <c r="L67" i="48"/>
  <c r="D67" i="48"/>
  <c r="K67" i="48"/>
  <c r="C67" i="48"/>
  <c r="J67" i="48"/>
  <c r="I67" i="48"/>
  <c r="H67" i="48"/>
  <c r="G67" i="48"/>
  <c r="F67" i="48"/>
  <c r="M67" i="48"/>
  <c r="E67" i="48"/>
  <c r="G59" i="48"/>
  <c r="N59" i="48"/>
  <c r="N67" i="48" s="1"/>
  <c r="N75" i="48" s="1"/>
  <c r="N83" i="48" s="1"/>
  <c r="F59" i="48"/>
  <c r="M59" i="48"/>
  <c r="E59" i="48"/>
  <c r="L59" i="48"/>
  <c r="D59" i="48"/>
  <c r="K59" i="48"/>
  <c r="C59" i="48"/>
  <c r="J59" i="48"/>
  <c r="I59" i="48"/>
  <c r="H59" i="48"/>
  <c r="C49" i="48"/>
  <c r="C68" i="48" s="1"/>
  <c r="J60" i="48"/>
  <c r="I60" i="48"/>
  <c r="H60" i="48"/>
  <c r="A61" i="48"/>
  <c r="N60" i="48"/>
  <c r="L60" i="48"/>
  <c r="K60" i="48"/>
  <c r="C60" i="48"/>
  <c r="C61" i="48" s="1"/>
  <c r="C114" i="48" s="1"/>
  <c r="N100" i="48"/>
  <c r="E100" i="48"/>
  <c r="L100" i="48"/>
  <c r="D100" i="48"/>
  <c r="K100" i="48"/>
  <c r="C100" i="48"/>
  <c r="J100" i="48"/>
  <c r="I100" i="48"/>
  <c r="H100" i="48"/>
  <c r="G100" i="48"/>
  <c r="A101" i="48"/>
  <c r="F100" i="48"/>
  <c r="H91" i="48"/>
  <c r="G91" i="48"/>
  <c r="N91" i="48"/>
  <c r="F91" i="48"/>
  <c r="M91" i="48"/>
  <c r="E91" i="48"/>
  <c r="L91" i="48"/>
  <c r="D91" i="48"/>
  <c r="K91" i="48"/>
  <c r="C91" i="48"/>
  <c r="J91" i="48"/>
  <c r="I91" i="48"/>
  <c r="H95" i="47"/>
  <c r="G95" i="47"/>
  <c r="F95" i="47"/>
  <c r="I95" i="47"/>
  <c r="M95" i="47"/>
  <c r="E95" i="47"/>
  <c r="L95" i="47"/>
  <c r="D95" i="47"/>
  <c r="K95" i="47"/>
  <c r="C95" i="47"/>
  <c r="J95" i="47"/>
  <c r="L79" i="47"/>
  <c r="D79" i="47"/>
  <c r="K79" i="47"/>
  <c r="C79" i="47"/>
  <c r="M79" i="47"/>
  <c r="J79" i="47"/>
  <c r="E79" i="47"/>
  <c r="I79" i="47"/>
  <c r="H79" i="47"/>
  <c r="G79" i="47"/>
  <c r="F79" i="47"/>
  <c r="H63" i="47"/>
  <c r="G63" i="47"/>
  <c r="I63" i="47"/>
  <c r="F63" i="47"/>
  <c r="M63" i="47"/>
  <c r="E63" i="47"/>
  <c r="L63" i="47"/>
  <c r="D63" i="47"/>
  <c r="K63" i="47"/>
  <c r="C63" i="47"/>
  <c r="J63" i="47"/>
  <c r="J71" i="47"/>
  <c r="I71" i="47"/>
  <c r="K71" i="47"/>
  <c r="H71" i="47"/>
  <c r="G71" i="47"/>
  <c r="F71" i="47"/>
  <c r="M71" i="47"/>
  <c r="E71" i="47"/>
  <c r="L71" i="47"/>
  <c r="D71" i="47"/>
  <c r="C71" i="47"/>
  <c r="J103" i="47"/>
  <c r="I103" i="47"/>
  <c r="H103" i="47"/>
  <c r="G103" i="47"/>
  <c r="F103" i="47"/>
  <c r="M103" i="47"/>
  <c r="E103" i="47"/>
  <c r="C103" i="47"/>
  <c r="L103" i="47"/>
  <c r="D103" i="47"/>
  <c r="K103" i="47"/>
  <c r="F87" i="47"/>
  <c r="M87" i="47"/>
  <c r="E87" i="47"/>
  <c r="G87" i="47"/>
  <c r="L87" i="47"/>
  <c r="D87" i="47"/>
  <c r="K87" i="47"/>
  <c r="C87" i="47"/>
  <c r="J87" i="47"/>
  <c r="I87" i="47"/>
  <c r="H87" i="47"/>
  <c r="C58" i="33"/>
  <c r="F57" i="33"/>
  <c r="F74" i="33"/>
  <c r="F58" i="33" s="1"/>
  <c r="E74" i="33"/>
  <c r="E66" i="33"/>
  <c r="D58" i="33"/>
  <c r="E58" i="33"/>
  <c r="C53" i="47" l="1"/>
  <c r="C52" i="47" s="1"/>
  <c r="C96" i="47"/>
  <c r="A105" i="47"/>
  <c r="A106" i="47" s="1"/>
  <c r="A73" i="47"/>
  <c r="A74" i="47" s="1"/>
  <c r="A81" i="47"/>
  <c r="A82" i="47" s="1"/>
  <c r="C49" i="52"/>
  <c r="C68" i="52" s="1"/>
  <c r="C76" i="52"/>
  <c r="C78" i="52" s="1"/>
  <c r="C123" i="52" s="1"/>
  <c r="D32" i="52" s="1"/>
  <c r="N62" i="52"/>
  <c r="N70" i="52" s="1"/>
  <c r="N78" i="52" s="1"/>
  <c r="N86" i="52" s="1"/>
  <c r="K62" i="52"/>
  <c r="L62" i="52"/>
  <c r="J62" i="52"/>
  <c r="I62" i="52"/>
  <c r="H62" i="52"/>
  <c r="K86" i="52"/>
  <c r="C86" i="52"/>
  <c r="C124" i="52" s="1"/>
  <c r="D33" i="52" s="1"/>
  <c r="H86" i="52"/>
  <c r="L86" i="52"/>
  <c r="J86" i="52"/>
  <c r="I86" i="52"/>
  <c r="K78" i="52"/>
  <c r="L78" i="52"/>
  <c r="J78" i="52"/>
  <c r="H78" i="52"/>
  <c r="I78" i="52"/>
  <c r="L102" i="52"/>
  <c r="K102" i="52"/>
  <c r="C102" i="52"/>
  <c r="C126" i="52" s="1"/>
  <c r="D35" i="52" s="1"/>
  <c r="J102" i="52"/>
  <c r="I102" i="52"/>
  <c r="N102" i="52"/>
  <c r="H102" i="52"/>
  <c r="C86" i="51"/>
  <c r="C124" i="51" s="1"/>
  <c r="D33" i="51" s="1"/>
  <c r="N78" i="51"/>
  <c r="N86" i="51" s="1"/>
  <c r="C78" i="51"/>
  <c r="C123" i="51" s="1"/>
  <c r="D32" i="51" s="1"/>
  <c r="C70" i="51"/>
  <c r="C122" i="51" s="1"/>
  <c r="D31" i="51" s="1"/>
  <c r="D30" i="51"/>
  <c r="N101" i="51"/>
  <c r="A102" i="51"/>
  <c r="C78" i="50"/>
  <c r="C123" i="50" s="1"/>
  <c r="D32" i="50" s="1"/>
  <c r="N93" i="50"/>
  <c r="A94" i="50"/>
  <c r="C70" i="50"/>
  <c r="C122" i="50" s="1"/>
  <c r="D31" i="50" s="1"/>
  <c r="N70" i="50"/>
  <c r="N78" i="50" s="1"/>
  <c r="N86" i="50" s="1"/>
  <c r="N62" i="50"/>
  <c r="C62" i="50"/>
  <c r="C121" i="50" s="1"/>
  <c r="A102" i="49"/>
  <c r="N101" i="49"/>
  <c r="A62" i="49"/>
  <c r="N61" i="49"/>
  <c r="A86" i="49"/>
  <c r="A70" i="49"/>
  <c r="N69" i="49"/>
  <c r="N77" i="49"/>
  <c r="N85" i="49" s="1"/>
  <c r="A78" i="49"/>
  <c r="N69" i="48"/>
  <c r="N77" i="48" s="1"/>
  <c r="N85" i="48" s="1"/>
  <c r="A70" i="48"/>
  <c r="I78" i="48"/>
  <c r="H78" i="48"/>
  <c r="L78" i="48"/>
  <c r="K78" i="48"/>
  <c r="C78" i="48"/>
  <c r="C123" i="48" s="1"/>
  <c r="D32" i="48" s="1"/>
  <c r="J78" i="48"/>
  <c r="A62" i="48"/>
  <c r="N61" i="48"/>
  <c r="A102" i="48"/>
  <c r="N101" i="48"/>
  <c r="A94" i="48"/>
  <c r="N93" i="48"/>
  <c r="A66" i="47"/>
  <c r="A90" i="47"/>
  <c r="A98" i="47"/>
  <c r="C51" i="47" l="1"/>
  <c r="C58" i="47" s="1"/>
  <c r="C88" i="47"/>
  <c r="C90" i="47" s="1"/>
  <c r="C128" i="47" s="1"/>
  <c r="D36" i="47" s="1"/>
  <c r="C61" i="52"/>
  <c r="C114" i="52" s="1"/>
  <c r="C69" i="52"/>
  <c r="C115" i="52" s="1"/>
  <c r="C127" i="51"/>
  <c r="L102" i="51"/>
  <c r="D102" i="51"/>
  <c r="K102" i="51"/>
  <c r="C102" i="51"/>
  <c r="I102" i="51"/>
  <c r="E102" i="51"/>
  <c r="F102" i="51"/>
  <c r="N102" i="51"/>
  <c r="J102" i="51"/>
  <c r="H102" i="51"/>
  <c r="G102" i="51"/>
  <c r="C127" i="50"/>
  <c r="D30" i="50"/>
  <c r="L94" i="50"/>
  <c r="D94" i="50"/>
  <c r="K94" i="50"/>
  <c r="C94" i="50"/>
  <c r="G94" i="50"/>
  <c r="F94" i="50"/>
  <c r="N94" i="50"/>
  <c r="J94" i="50"/>
  <c r="I94" i="50"/>
  <c r="H94" i="50"/>
  <c r="E94" i="50"/>
  <c r="N62" i="49"/>
  <c r="N70" i="49" s="1"/>
  <c r="N78" i="49" s="1"/>
  <c r="N86" i="49" s="1"/>
  <c r="C62" i="49"/>
  <c r="C121" i="49" s="1"/>
  <c r="G102" i="49"/>
  <c r="F102" i="49"/>
  <c r="N102" i="49"/>
  <c r="E102" i="49"/>
  <c r="L102" i="49"/>
  <c r="D102" i="49"/>
  <c r="K102" i="49"/>
  <c r="C102" i="49"/>
  <c r="J102" i="49"/>
  <c r="H102" i="49"/>
  <c r="I102" i="49"/>
  <c r="C70" i="49"/>
  <c r="C122" i="49" s="1"/>
  <c r="D31" i="49" s="1"/>
  <c r="C78" i="49"/>
  <c r="C123" i="49" s="1"/>
  <c r="D32" i="49" s="1"/>
  <c r="C86" i="49"/>
  <c r="C124" i="49" s="1"/>
  <c r="D33" i="49" s="1"/>
  <c r="G102" i="48"/>
  <c r="F102" i="48"/>
  <c r="N102" i="48"/>
  <c r="E102" i="48"/>
  <c r="L102" i="48"/>
  <c r="D102" i="48"/>
  <c r="K102" i="48"/>
  <c r="C102" i="48"/>
  <c r="J102" i="48"/>
  <c r="I102" i="48"/>
  <c r="H102" i="48"/>
  <c r="L62" i="48"/>
  <c r="K62" i="48"/>
  <c r="C62" i="48"/>
  <c r="C121" i="48" s="1"/>
  <c r="J62" i="48"/>
  <c r="I62" i="48"/>
  <c r="H62" i="48"/>
  <c r="N62" i="48"/>
  <c r="N70" i="48" s="1"/>
  <c r="N78" i="48" s="1"/>
  <c r="N86" i="48" s="1"/>
  <c r="N94" i="48"/>
  <c r="E94" i="48"/>
  <c r="L94" i="48"/>
  <c r="D94" i="48"/>
  <c r="K94" i="48"/>
  <c r="C94" i="48"/>
  <c r="J94" i="48"/>
  <c r="I94" i="48"/>
  <c r="H94" i="48"/>
  <c r="G94" i="48"/>
  <c r="F94" i="48"/>
  <c r="I70" i="48"/>
  <c r="H70" i="48"/>
  <c r="L70" i="48"/>
  <c r="K70" i="48"/>
  <c r="C70" i="48"/>
  <c r="C122" i="48" s="1"/>
  <c r="D31" i="48" s="1"/>
  <c r="J70" i="48"/>
  <c r="K90" i="47"/>
  <c r="L90" i="47"/>
  <c r="J90" i="47"/>
  <c r="I90" i="47"/>
  <c r="H90" i="47"/>
  <c r="I82" i="47"/>
  <c r="J82" i="47"/>
  <c r="H82" i="47"/>
  <c r="L82" i="47"/>
  <c r="K82" i="47"/>
  <c r="L74" i="47"/>
  <c r="H74" i="47"/>
  <c r="K74" i="47"/>
  <c r="J74" i="47"/>
  <c r="I74" i="47"/>
  <c r="L66" i="47"/>
  <c r="K66" i="47"/>
  <c r="J66" i="47"/>
  <c r="I66" i="47"/>
  <c r="H66" i="47"/>
  <c r="E98" i="47"/>
  <c r="F98" i="47"/>
  <c r="L98" i="47"/>
  <c r="K98" i="47"/>
  <c r="C98" i="47"/>
  <c r="C129" i="47" s="1"/>
  <c r="D37" i="47" s="1"/>
  <c r="J98" i="47"/>
  <c r="I98" i="47"/>
  <c r="H98" i="47"/>
  <c r="G98" i="47"/>
  <c r="L106" i="47"/>
  <c r="K106" i="47"/>
  <c r="C106" i="47"/>
  <c r="C130" i="47" s="1"/>
  <c r="D38" i="47" s="1"/>
  <c r="J106" i="47"/>
  <c r="H106" i="47"/>
  <c r="I106" i="47"/>
  <c r="H46" i="33"/>
  <c r="I46" i="33"/>
  <c r="J46" i="33"/>
  <c r="K46" i="33"/>
  <c r="L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64" i="47" l="1"/>
  <c r="C66" i="47" s="1"/>
  <c r="C125" i="47" s="1"/>
  <c r="D33" i="47" s="1"/>
  <c r="C80" i="47"/>
  <c r="C82" i="47" s="1"/>
  <c r="C127" i="47" s="1"/>
  <c r="D35" i="47" s="1"/>
  <c r="C62" i="52"/>
  <c r="C121" i="52" s="1"/>
  <c r="D30" i="52" s="1"/>
  <c r="C70" i="52"/>
  <c r="C122" i="52" s="1"/>
  <c r="D31" i="52" s="1"/>
  <c r="C129" i="51"/>
  <c r="D29" i="51"/>
  <c r="C130" i="51"/>
  <c r="C129" i="50"/>
  <c r="D29" i="50"/>
  <c r="C130" i="50"/>
  <c r="C127" i="49"/>
  <c r="D29" i="49" s="1"/>
  <c r="D30" i="49"/>
  <c r="C127" i="48"/>
  <c r="D30" i="48"/>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72" i="47" l="1"/>
  <c r="C74" i="47" s="1"/>
  <c r="C126" i="47" s="1"/>
  <c r="D34" i="47" s="1"/>
  <c r="C127" i="52"/>
  <c r="C132" i="51"/>
  <c r="D38" i="51"/>
  <c r="C134" i="51"/>
  <c r="C131" i="51"/>
  <c r="D37" i="51"/>
  <c r="C132" i="50"/>
  <c r="D38" i="50"/>
  <c r="C134" i="50"/>
  <c r="C131" i="50"/>
  <c r="D37" i="50"/>
  <c r="C130" i="49"/>
  <c r="D38" i="49" s="1"/>
  <c r="C129" i="49"/>
  <c r="D37" i="49" s="1"/>
  <c r="C129" i="48"/>
  <c r="D29" i="48"/>
  <c r="C130" i="48"/>
  <c r="P5" i="41"/>
  <c r="C131" i="47" l="1"/>
  <c r="C134" i="47" s="1"/>
  <c r="D41" i="47" s="1"/>
  <c r="D49" i="47" s="1"/>
  <c r="C129" i="52"/>
  <c r="D29" i="52"/>
  <c r="C130" i="52"/>
  <c r="D39" i="51"/>
  <c r="D41" i="51" s="1"/>
  <c r="C137" i="51"/>
  <c r="C135" i="51"/>
  <c r="C136" i="51"/>
  <c r="D46" i="51"/>
  <c r="D39" i="50"/>
  <c r="D41" i="50" s="1"/>
  <c r="C135" i="50"/>
  <c r="C136" i="50"/>
  <c r="C137" i="50"/>
  <c r="D46" i="50"/>
  <c r="C132" i="49"/>
  <c r="D39" i="49"/>
  <c r="D43" i="49" s="1"/>
  <c r="D51" i="49" s="1"/>
  <c r="D46" i="49"/>
  <c r="C134" i="49"/>
  <c r="C131" i="49"/>
  <c r="C136" i="49" s="1"/>
  <c r="C134" i="48"/>
  <c r="D37" i="48"/>
  <c r="C131" i="48"/>
  <c r="C132" i="48"/>
  <c r="D38" i="48"/>
  <c r="F26" i="31"/>
  <c r="D32" i="47" l="1"/>
  <c r="C133" i="47"/>
  <c r="C138" i="47" s="1"/>
  <c r="C136" i="47"/>
  <c r="C132" i="52"/>
  <c r="D38" i="52"/>
  <c r="D46" i="52" s="1"/>
  <c r="D77" i="52" s="1"/>
  <c r="D116" i="52" s="1"/>
  <c r="D37" i="52"/>
  <c r="C134" i="52"/>
  <c r="C131" i="52"/>
  <c r="D42" i="51"/>
  <c r="D43" i="51"/>
  <c r="D44" i="51"/>
  <c r="D92" i="51" s="1"/>
  <c r="D94" i="51" s="1"/>
  <c r="D125" i="51" s="1"/>
  <c r="D40" i="51"/>
  <c r="D50" i="49"/>
  <c r="D48" i="49" s="1"/>
  <c r="D42" i="50"/>
  <c r="D43" i="50"/>
  <c r="D40" i="50"/>
  <c r="D40" i="49"/>
  <c r="D42" i="49"/>
  <c r="D41" i="49"/>
  <c r="C137" i="49"/>
  <c r="C135" i="49"/>
  <c r="D84" i="49"/>
  <c r="D86" i="49" s="1"/>
  <c r="D124" i="49" s="1"/>
  <c r="E33" i="49" s="1"/>
  <c r="D46" i="48"/>
  <c r="D77" i="48" s="1"/>
  <c r="D116" i="48" s="1"/>
  <c r="D69" i="48"/>
  <c r="D115" i="48" s="1"/>
  <c r="D140" i="48" s="1"/>
  <c r="D39" i="48"/>
  <c r="D40" i="48" s="1"/>
  <c r="C135" i="48"/>
  <c r="C137" i="48"/>
  <c r="C136" i="48"/>
  <c r="D40" i="47" l="1"/>
  <c r="D42" i="47" s="1"/>
  <c r="D47" i="47" s="1"/>
  <c r="C135" i="47"/>
  <c r="C141" i="47" s="1"/>
  <c r="D39" i="52"/>
  <c r="D44" i="52" s="1"/>
  <c r="D92" i="52" s="1"/>
  <c r="D94" i="52" s="1"/>
  <c r="D125" i="52" s="1"/>
  <c r="C135" i="52"/>
  <c r="C137" i="52"/>
  <c r="C136" i="52"/>
  <c r="D51" i="51"/>
  <c r="D50" i="51" s="1"/>
  <c r="D51" i="50"/>
  <c r="D84" i="50" s="1"/>
  <c r="D86" i="50" s="1"/>
  <c r="D124" i="50" s="1"/>
  <c r="E33" i="50" s="1"/>
  <c r="D49" i="49"/>
  <c r="D68" i="49" s="1"/>
  <c r="D60" i="49"/>
  <c r="D76" i="49"/>
  <c r="D41" i="48"/>
  <c r="D42" i="48"/>
  <c r="D43" i="48"/>
  <c r="D51" i="48" s="1"/>
  <c r="A1" i="33"/>
  <c r="D45" i="47" l="1"/>
  <c r="D48" i="47"/>
  <c r="D56" i="47" s="1"/>
  <c r="D46" i="47"/>
  <c r="D44" i="47"/>
  <c r="D43" i="47"/>
  <c r="C140" i="47"/>
  <c r="C139" i="47"/>
  <c r="D40" i="52"/>
  <c r="D41" i="52"/>
  <c r="D42" i="52"/>
  <c r="D43" i="52"/>
  <c r="D45" i="52"/>
  <c r="D53" i="52" s="1"/>
  <c r="D84" i="51"/>
  <c r="D86" i="51" s="1"/>
  <c r="D124" i="51" s="1"/>
  <c r="E33" i="51" s="1"/>
  <c r="D48" i="51"/>
  <c r="D60" i="51" s="1"/>
  <c r="D61" i="51" s="1"/>
  <c r="D114" i="51" s="1"/>
  <c r="D76" i="51"/>
  <c r="D77" i="51" s="1"/>
  <c r="D116" i="51" s="1"/>
  <c r="D49" i="51"/>
  <c r="D68" i="51" s="1"/>
  <c r="D69" i="51" s="1"/>
  <c r="D115" i="51" s="1"/>
  <c r="D140" i="51" s="1"/>
  <c r="D50" i="48"/>
  <c r="D50" i="50"/>
  <c r="D49" i="50" s="1"/>
  <c r="D68" i="50" s="1"/>
  <c r="D69" i="50" s="1"/>
  <c r="D115" i="50" s="1"/>
  <c r="D140" i="50" s="1"/>
  <c r="D77" i="49"/>
  <c r="D116" i="49" s="1"/>
  <c r="D69" i="49"/>
  <c r="D115" i="49" s="1"/>
  <c r="D140" i="49" s="1"/>
  <c r="D61" i="49"/>
  <c r="D114" i="49" s="1"/>
  <c r="D84" i="48"/>
  <c r="D86" i="48" s="1"/>
  <c r="D124" i="48" s="1"/>
  <c r="E33" i="48" s="1"/>
  <c r="H129" i="33"/>
  <c r="I129" i="33"/>
  <c r="J129" i="33"/>
  <c r="K129" i="33"/>
  <c r="L129" i="33"/>
  <c r="D57" i="47" l="1"/>
  <c r="D55" i="47" s="1"/>
  <c r="D54" i="47" s="1"/>
  <c r="D53" i="47" s="1"/>
  <c r="D52" i="47" s="1"/>
  <c r="D51" i="47" s="1"/>
  <c r="D58" i="47" s="1"/>
  <c r="D104" i="47"/>
  <c r="D106" i="47" s="1"/>
  <c r="D130" i="47" s="1"/>
  <c r="E38" i="47" s="1"/>
  <c r="D51" i="52"/>
  <c r="D84" i="52" s="1"/>
  <c r="D100" i="52"/>
  <c r="D102" i="52" s="1"/>
  <c r="D126" i="52" s="1"/>
  <c r="E35" i="52" s="1"/>
  <c r="D48" i="52"/>
  <c r="D60" i="52" s="1"/>
  <c r="D62" i="51"/>
  <c r="D121" i="51" s="1"/>
  <c r="E30" i="51" s="1"/>
  <c r="D78" i="51"/>
  <c r="D123" i="51" s="1"/>
  <c r="E32" i="51" s="1"/>
  <c r="D70" i="51"/>
  <c r="D122" i="51" s="1"/>
  <c r="E31" i="51" s="1"/>
  <c r="D76" i="48"/>
  <c r="D78" i="48" s="1"/>
  <c r="D123" i="48" s="1"/>
  <c r="E32" i="48" s="1"/>
  <c r="D49" i="48"/>
  <c r="D70" i="50"/>
  <c r="D122" i="50" s="1"/>
  <c r="E31" i="50" s="1"/>
  <c r="D48" i="50"/>
  <c r="D60" i="50" s="1"/>
  <c r="D61" i="50" s="1"/>
  <c r="D114" i="50" s="1"/>
  <c r="D76" i="50"/>
  <c r="D77" i="50" s="1"/>
  <c r="D116" i="50" s="1"/>
  <c r="D78" i="49"/>
  <c r="D123" i="49" s="1"/>
  <c r="E32" i="49" s="1"/>
  <c r="D70" i="49"/>
  <c r="D122" i="49" s="1"/>
  <c r="E31" i="49" s="1"/>
  <c r="D62" i="49"/>
  <c r="D121" i="49" s="1"/>
  <c r="C66" i="33"/>
  <c r="D66" i="33"/>
  <c r="D65" i="33"/>
  <c r="C65" i="33"/>
  <c r="D50" i="52" l="1"/>
  <c r="D76" i="52" s="1"/>
  <c r="D78" i="52" s="1"/>
  <c r="D123" i="52" s="1"/>
  <c r="E32" i="52" s="1"/>
  <c r="D85" i="52"/>
  <c r="D117" i="52" s="1"/>
  <c r="D68" i="48"/>
  <c r="D70" i="48" s="1"/>
  <c r="D122" i="48" s="1"/>
  <c r="E31" i="48" s="1"/>
  <c r="D48" i="48"/>
  <c r="D60" i="48" s="1"/>
  <c r="D61" i="48" s="1"/>
  <c r="D114" i="48" s="1"/>
  <c r="D127" i="51"/>
  <c r="D78" i="50"/>
  <c r="D123" i="50" s="1"/>
  <c r="E32" i="50" s="1"/>
  <c r="D62" i="50"/>
  <c r="D121" i="50" s="1"/>
  <c r="E30" i="50" s="1"/>
  <c r="E30" i="49"/>
  <c r="D127" i="49"/>
  <c r="B49" i="33"/>
  <c r="A49" i="33"/>
  <c r="A50" i="33"/>
  <c r="A51" i="33"/>
  <c r="A52" i="33"/>
  <c r="A53" i="33"/>
  <c r="A48" i="33"/>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40" i="33"/>
  <c r="K140" i="33"/>
  <c r="J140" i="33"/>
  <c r="I140" i="33"/>
  <c r="H140" i="33"/>
  <c r="L139" i="33"/>
  <c r="K139" i="33"/>
  <c r="J139" i="33"/>
  <c r="I139" i="33"/>
  <c r="H139" i="33"/>
  <c r="C139"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C46" i="33" s="1"/>
  <c r="C37" i="33"/>
  <c r="A35" i="33"/>
  <c r="K35" i="33" s="1"/>
  <c r="A34" i="33"/>
  <c r="L34" i="33" s="1"/>
  <c r="A33" i="33"/>
  <c r="I33" i="33" s="1"/>
  <c r="A32" i="33"/>
  <c r="H32" i="33" s="1"/>
  <c r="A31" i="33"/>
  <c r="K31" i="33" s="1"/>
  <c r="A30" i="33"/>
  <c r="H30" i="33" s="1"/>
  <c r="L27" i="33"/>
  <c r="K27" i="33"/>
  <c r="J27" i="33"/>
  <c r="I27" i="33"/>
  <c r="H27" i="33"/>
  <c r="D27" i="33"/>
  <c r="D47" i="33" s="1"/>
  <c r="C27" i="33"/>
  <c r="C47" i="33" s="1"/>
  <c r="D115" i="33"/>
  <c r="C23" i="33"/>
  <c r="B31" i="33" s="1"/>
  <c r="B23" i="33"/>
  <c r="B33" i="33" s="1"/>
  <c r="D96" i="47" l="1"/>
  <c r="D98" i="47" s="1"/>
  <c r="D129" i="47" s="1"/>
  <c r="D88" i="47"/>
  <c r="D90" i="47" s="1"/>
  <c r="D128" i="47" s="1"/>
  <c r="E36" i="47" s="1"/>
  <c r="D80" i="47"/>
  <c r="D82" i="47" s="1"/>
  <c r="D127" i="47" s="1"/>
  <c r="E35" i="47" s="1"/>
  <c r="D49" i="52"/>
  <c r="D86" i="52"/>
  <c r="D124" i="52" s="1"/>
  <c r="E33" i="52" s="1"/>
  <c r="D61" i="52"/>
  <c r="D114" i="52" s="1"/>
  <c r="D62" i="48"/>
  <c r="D121" i="48" s="1"/>
  <c r="D127" i="48" s="1"/>
  <c r="E29" i="51"/>
  <c r="D129" i="51"/>
  <c r="D130" i="51"/>
  <c r="D127" i="50"/>
  <c r="D129" i="50" s="1"/>
  <c r="D129" i="49"/>
  <c r="E29" i="49"/>
  <c r="D130" i="49"/>
  <c r="H130" i="33"/>
  <c r="I130" i="33"/>
  <c r="J130" i="33"/>
  <c r="N109" i="33"/>
  <c r="K130" i="33"/>
  <c r="L130" i="33"/>
  <c r="H35" i="33"/>
  <c r="J35" i="33"/>
  <c r="K34" i="33"/>
  <c r="I34" i="33"/>
  <c r="K32" i="33"/>
  <c r="H33" i="33"/>
  <c r="J31" i="33"/>
  <c r="I35" i="33"/>
  <c r="J34" i="33"/>
  <c r="L32" i="33"/>
  <c r="I31" i="33"/>
  <c r="H34" i="33"/>
  <c r="J32" i="33"/>
  <c r="L30" i="33"/>
  <c r="L33" i="33"/>
  <c r="I32" i="33"/>
  <c r="K30" i="33"/>
  <c r="K33" i="33"/>
  <c r="J30" i="33"/>
  <c r="L35" i="33"/>
  <c r="D35" i="33"/>
  <c r="J33" i="33"/>
  <c r="L31" i="33"/>
  <c r="I30" i="33"/>
  <c r="H31" i="33"/>
  <c r="C39" i="33"/>
  <c r="I110" i="33"/>
  <c r="H118" i="33"/>
  <c r="J114" i="33"/>
  <c r="H111" i="33"/>
  <c r="K125" i="33"/>
  <c r="K110" i="33"/>
  <c r="I117" i="33"/>
  <c r="I125" i="33"/>
  <c r="J116" i="33"/>
  <c r="K123" i="33"/>
  <c r="L109" i="33"/>
  <c r="H116" i="33"/>
  <c r="J122" i="33"/>
  <c r="N106" i="33"/>
  <c r="M111" i="33"/>
  <c r="J109" i="33"/>
  <c r="L114" i="33"/>
  <c r="H122" i="33"/>
  <c r="D109" i="33"/>
  <c r="C110" i="33"/>
  <c r="K108" i="33"/>
  <c r="D114" i="33"/>
  <c r="C106" i="33"/>
  <c r="J111" i="33"/>
  <c r="J126"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40"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9" i="33"/>
  <c r="D140" i="33" s="1"/>
  <c r="E35" i="33"/>
  <c r="D64" i="47" l="1"/>
  <c r="D66" i="47" s="1"/>
  <c r="D125" i="47" s="1"/>
  <c r="E33" i="47" s="1"/>
  <c r="D72" i="47"/>
  <c r="D74" i="47" s="1"/>
  <c r="D126" i="47" s="1"/>
  <c r="E34" i="47" s="1"/>
  <c r="D68" i="52"/>
  <c r="D69" i="52" s="1"/>
  <c r="D115" i="52" s="1"/>
  <c r="D62" i="52"/>
  <c r="D121" i="52" s="1"/>
  <c r="E30" i="52" s="1"/>
  <c r="E30" i="48"/>
  <c r="D132" i="51"/>
  <c r="E38" i="51"/>
  <c r="D134" i="51"/>
  <c r="D131" i="51"/>
  <c r="E37" i="51"/>
  <c r="D130" i="50"/>
  <c r="D132" i="50" s="1"/>
  <c r="E29" i="50"/>
  <c r="D134" i="50"/>
  <c r="D131" i="50"/>
  <c r="E37" i="50"/>
  <c r="E38" i="49"/>
  <c r="D132" i="49"/>
  <c r="D131" i="49"/>
  <c r="D134" i="49"/>
  <c r="E37" i="49"/>
  <c r="E29" i="48"/>
  <c r="D130" i="48"/>
  <c r="D129" i="48"/>
  <c r="C44" i="33"/>
  <c r="C42" i="33"/>
  <c r="B29" i="33"/>
  <c r="L68" i="33"/>
  <c r="K68" i="33"/>
  <c r="H68" i="33"/>
  <c r="J68" i="33"/>
  <c r="I68" i="33"/>
  <c r="D112" i="33"/>
  <c r="E114" i="33"/>
  <c r="E109" i="33"/>
  <c r="E115" i="33"/>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C51" i="33" s="1"/>
  <c r="A84" i="33"/>
  <c r="A83" i="33"/>
  <c r="A76" i="33"/>
  <c r="A75" i="33"/>
  <c r="A69" i="33"/>
  <c r="E139" i="33"/>
  <c r="E45" i="33"/>
  <c r="E27" i="33"/>
  <c r="E47" i="33" s="1"/>
  <c r="F35" i="33"/>
  <c r="C41" i="33"/>
  <c r="C30" i="33"/>
  <c r="D131" i="47" l="1"/>
  <c r="E32" i="47" s="1"/>
  <c r="D70" i="52"/>
  <c r="D122" i="52" s="1"/>
  <c r="E31" i="52" s="1"/>
  <c r="E39" i="51"/>
  <c r="E44" i="51" s="1"/>
  <c r="E92" i="51" s="1"/>
  <c r="E94" i="51" s="1"/>
  <c r="E125" i="51" s="1"/>
  <c r="D135" i="51"/>
  <c r="D137" i="51"/>
  <c r="D136" i="51"/>
  <c r="E46" i="51"/>
  <c r="E38" i="50"/>
  <c r="E46" i="50" s="1"/>
  <c r="D135" i="50"/>
  <c r="D136" i="50"/>
  <c r="D137" i="50"/>
  <c r="E46" i="49"/>
  <c r="E39" i="49"/>
  <c r="E42" i="49" s="1"/>
  <c r="D135" i="49"/>
  <c r="D136" i="49"/>
  <c r="D137" i="49"/>
  <c r="E38" i="48"/>
  <c r="D132" i="48"/>
  <c r="D134" i="48"/>
  <c r="D131" i="48"/>
  <c r="E37" i="48"/>
  <c r="C84" i="33"/>
  <c r="C50" i="33"/>
  <c r="E140" i="33"/>
  <c r="L100" i="33"/>
  <c r="K100" i="33"/>
  <c r="C100" i="33"/>
  <c r="H100" i="33"/>
  <c r="J100" i="33"/>
  <c r="I100" i="33"/>
  <c r="D100" i="33"/>
  <c r="F100" i="33"/>
  <c r="C76" i="33"/>
  <c r="H76" i="33"/>
  <c r="I76" i="33"/>
  <c r="J76" i="33"/>
  <c r="K76" i="33"/>
  <c r="L76" i="33"/>
  <c r="C117" i="33"/>
  <c r="J84" i="33"/>
  <c r="K84" i="33"/>
  <c r="L84" i="33"/>
  <c r="H84" i="33"/>
  <c r="I84" i="33"/>
  <c r="I60" i="33"/>
  <c r="J60" i="33"/>
  <c r="K60" i="33"/>
  <c r="H60" i="33"/>
  <c r="L60" i="33"/>
  <c r="E100" i="33"/>
  <c r="C92" i="33"/>
  <c r="L92" i="33"/>
  <c r="H92" i="33"/>
  <c r="I92" i="33"/>
  <c r="K92" i="33"/>
  <c r="J92"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7" i="33"/>
  <c r="F47" i="33" s="1"/>
  <c r="F45" i="33"/>
  <c r="F139" i="33"/>
  <c r="C40" i="33"/>
  <c r="D133" i="47" l="1"/>
  <c r="E40" i="47" s="1"/>
  <c r="D134" i="47"/>
  <c r="D136" i="47" s="1"/>
  <c r="E41" i="47"/>
  <c r="E49" i="47" s="1"/>
  <c r="D127" i="52"/>
  <c r="D130" i="52" s="1"/>
  <c r="D132" i="52" s="1"/>
  <c r="E42" i="51"/>
  <c r="E41" i="51"/>
  <c r="E40" i="51"/>
  <c r="E43" i="51"/>
  <c r="E39" i="50"/>
  <c r="E43" i="50" s="1"/>
  <c r="E51" i="50" s="1"/>
  <c r="E50" i="50" s="1"/>
  <c r="E48" i="50" s="1"/>
  <c r="E41" i="49"/>
  <c r="E43" i="49"/>
  <c r="E51" i="49" s="1"/>
  <c r="E40" i="49"/>
  <c r="E39" i="48"/>
  <c r="E40" i="48" s="1"/>
  <c r="E46" i="48"/>
  <c r="E77" i="48" s="1"/>
  <c r="E116" i="48" s="1"/>
  <c r="E69" i="48"/>
  <c r="E115" i="48" s="1"/>
  <c r="E140" i="48" s="1"/>
  <c r="D137" i="48"/>
  <c r="D135" i="48"/>
  <c r="D136" i="48"/>
  <c r="C49" i="33"/>
  <c r="C68" i="33" s="1"/>
  <c r="C60" i="33"/>
  <c r="G100" i="33"/>
  <c r="G35" i="33"/>
  <c r="G99" i="33"/>
  <c r="F140"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7" i="33"/>
  <c r="G47" i="33" s="1"/>
  <c r="G139" i="33"/>
  <c r="D138" i="47" l="1"/>
  <c r="D135" i="47"/>
  <c r="D140" i="47" s="1"/>
  <c r="E42" i="47"/>
  <c r="E48" i="47" s="1"/>
  <c r="E29" i="52"/>
  <c r="E38" i="52"/>
  <c r="E46" i="52" s="1"/>
  <c r="E77" i="52" s="1"/>
  <c r="E116" i="52" s="1"/>
  <c r="D129" i="52"/>
  <c r="D134" i="52" s="1"/>
  <c r="E51" i="51"/>
  <c r="E50" i="51" s="1"/>
  <c r="E84" i="50"/>
  <c r="E86" i="50" s="1"/>
  <c r="E124" i="50" s="1"/>
  <c r="F33" i="50" s="1"/>
  <c r="E40" i="50"/>
  <c r="E60" i="50" s="1"/>
  <c r="E42" i="50"/>
  <c r="E76" i="50" s="1"/>
  <c r="E41" i="50"/>
  <c r="E49" i="50"/>
  <c r="E50" i="49"/>
  <c r="E48" i="49" s="1"/>
  <c r="E60" i="49" s="1"/>
  <c r="E84" i="49"/>
  <c r="E86" i="49" s="1"/>
  <c r="E124" i="49" s="1"/>
  <c r="F33" i="49" s="1"/>
  <c r="E42" i="48"/>
  <c r="E41" i="48"/>
  <c r="E43" i="48"/>
  <c r="C70" i="33"/>
  <c r="C122" i="33" s="1"/>
  <c r="D31" i="33" s="1"/>
  <c r="F67" i="33"/>
  <c r="F83" i="33"/>
  <c r="F91" i="33"/>
  <c r="F75" i="33"/>
  <c r="G112" i="33"/>
  <c r="G59" i="33" s="1"/>
  <c r="M106" i="33"/>
  <c r="G140"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D141" i="47" l="1"/>
  <c r="D139" i="47"/>
  <c r="E44" i="47"/>
  <c r="E43" i="47"/>
  <c r="E46" i="47"/>
  <c r="E45" i="47"/>
  <c r="E37" i="52"/>
  <c r="E39" i="52" s="1"/>
  <c r="E43" i="52" s="1"/>
  <c r="E104" i="47"/>
  <c r="E106" i="47" s="1"/>
  <c r="E130" i="47" s="1"/>
  <c r="F38" i="47" s="1"/>
  <c r="D131" i="52"/>
  <c r="D137" i="52" s="1"/>
  <c r="E76" i="51"/>
  <c r="E77" i="51" s="1"/>
  <c r="E116" i="51" s="1"/>
  <c r="E49" i="51"/>
  <c r="E68" i="51" s="1"/>
  <c r="E69" i="51" s="1"/>
  <c r="E115" i="51" s="1"/>
  <c r="E140" i="51" s="1"/>
  <c r="E48" i="51"/>
  <c r="E60" i="51" s="1"/>
  <c r="E61" i="51" s="1"/>
  <c r="E114" i="51" s="1"/>
  <c r="E84" i="51"/>
  <c r="E86" i="51" s="1"/>
  <c r="E124" i="51" s="1"/>
  <c r="F33" i="51" s="1"/>
  <c r="E68" i="50"/>
  <c r="E69" i="50" s="1"/>
  <c r="E115" i="50" s="1"/>
  <c r="E140" i="50" s="1"/>
  <c r="E76" i="49"/>
  <c r="E77" i="49" s="1"/>
  <c r="E116" i="49" s="1"/>
  <c r="E51" i="48"/>
  <c r="E84" i="48" s="1"/>
  <c r="E86" i="48" s="1"/>
  <c r="E124" i="48" s="1"/>
  <c r="F33" i="48" s="1"/>
  <c r="E49" i="49"/>
  <c r="E68" i="49" s="1"/>
  <c r="E69" i="49" s="1"/>
  <c r="E115" i="49" s="1"/>
  <c r="E140" i="49" s="1"/>
  <c r="E77" i="50"/>
  <c r="E116" i="50" s="1"/>
  <c r="E61" i="50"/>
  <c r="E114" i="50" s="1"/>
  <c r="E61" i="49"/>
  <c r="E114" i="49" s="1"/>
  <c r="G67" i="33"/>
  <c r="G75" i="33"/>
  <c r="G83" i="33"/>
  <c r="G91" i="33"/>
  <c r="C62" i="33"/>
  <c r="C121" i="33" s="1"/>
  <c r="D30" i="33" s="1"/>
  <c r="E64" i="47" l="1"/>
  <c r="E66" i="47" s="1"/>
  <c r="E125" i="47" s="1"/>
  <c r="F33" i="47" s="1"/>
  <c r="E88" i="47"/>
  <c r="E90" i="47" s="1"/>
  <c r="E128" i="47" s="1"/>
  <c r="F36" i="47" s="1"/>
  <c r="E80" i="47"/>
  <c r="E82" i="47" s="1"/>
  <c r="E127" i="47" s="1"/>
  <c r="F35" i="47" s="1"/>
  <c r="D135" i="52"/>
  <c r="E40" i="52"/>
  <c r="E45" i="52"/>
  <c r="E53" i="52" s="1"/>
  <c r="E51" i="52" s="1"/>
  <c r="E84" i="52" s="1"/>
  <c r="E41" i="52"/>
  <c r="E42" i="52"/>
  <c r="D136" i="52"/>
  <c r="E70" i="50"/>
  <c r="E122" i="50" s="1"/>
  <c r="F31" i="50" s="1"/>
  <c r="E62" i="51"/>
  <c r="E121" i="51" s="1"/>
  <c r="E78" i="51"/>
  <c r="E123" i="51" s="1"/>
  <c r="F32" i="51" s="1"/>
  <c r="E70" i="51"/>
  <c r="E122" i="51" s="1"/>
  <c r="F31" i="51" s="1"/>
  <c r="E50" i="48"/>
  <c r="E62" i="50"/>
  <c r="E121" i="50" s="1"/>
  <c r="F30" i="50" s="1"/>
  <c r="E78" i="50"/>
  <c r="E123" i="50" s="1"/>
  <c r="F32" i="50" s="1"/>
  <c r="E78" i="49"/>
  <c r="E123" i="49" s="1"/>
  <c r="F32" i="49" s="1"/>
  <c r="E70" i="49"/>
  <c r="E122" i="49" s="1"/>
  <c r="F31" i="49" s="1"/>
  <c r="E62" i="49"/>
  <c r="E121" i="49" s="1"/>
  <c r="E100" i="52" l="1"/>
  <c r="E102" i="52" s="1"/>
  <c r="E126" i="52" s="1"/>
  <c r="F35" i="52" s="1"/>
  <c r="E72" i="47"/>
  <c r="E74" i="47" s="1"/>
  <c r="E126" i="47" s="1"/>
  <c r="F34" i="47" s="1"/>
  <c r="E48" i="52"/>
  <c r="E60" i="52" s="1"/>
  <c r="E61" i="52" s="1"/>
  <c r="E50" i="52"/>
  <c r="E49" i="52" s="1"/>
  <c r="E68" i="52" s="1"/>
  <c r="E69" i="52" s="1"/>
  <c r="E115" i="52" s="1"/>
  <c r="E85" i="52"/>
  <c r="E117" i="52" s="1"/>
  <c r="F30" i="52"/>
  <c r="E127" i="51"/>
  <c r="F30" i="51"/>
  <c r="E76" i="48"/>
  <c r="E78" i="48" s="1"/>
  <c r="E123" i="48" s="1"/>
  <c r="F32" i="48" s="1"/>
  <c r="E49" i="48"/>
  <c r="E127" i="50"/>
  <c r="E127" i="49"/>
  <c r="F30" i="49"/>
  <c r="E76" i="52" l="1"/>
  <c r="E78" i="52" s="1"/>
  <c r="E123" i="52" s="1"/>
  <c r="F32" i="52" s="1"/>
  <c r="E131" i="47"/>
  <c r="F32" i="47" s="1"/>
  <c r="E114" i="52"/>
  <c r="E62" i="52"/>
  <c r="E121" i="52" s="1"/>
  <c r="E86" i="52"/>
  <c r="E124" i="52" s="1"/>
  <c r="F33" i="52" s="1"/>
  <c r="E70" i="52"/>
  <c r="E122" i="52" s="1"/>
  <c r="E68" i="48"/>
  <c r="E70" i="48" s="1"/>
  <c r="E122" i="48" s="1"/>
  <c r="F31" i="48" s="1"/>
  <c r="E48" i="48"/>
  <c r="E60" i="48" s="1"/>
  <c r="F29" i="51"/>
  <c r="E129" i="51"/>
  <c r="E130" i="51"/>
  <c r="E129" i="50"/>
  <c r="F29" i="50"/>
  <c r="E130" i="50"/>
  <c r="E129" i="49"/>
  <c r="F29" i="49"/>
  <c r="E130" i="49"/>
  <c r="E134" i="47" l="1"/>
  <c r="E136" i="47" s="1"/>
  <c r="E133" i="47"/>
  <c r="E138" i="47" s="1"/>
  <c r="F31" i="52"/>
  <c r="E127" i="52"/>
  <c r="F29" i="52" s="1"/>
  <c r="F49" i="47"/>
  <c r="E61" i="48"/>
  <c r="E114" i="48" s="1"/>
  <c r="E132" i="51"/>
  <c r="F38" i="51"/>
  <c r="E131" i="51"/>
  <c r="F37" i="51"/>
  <c r="E134" i="51"/>
  <c r="E132" i="50"/>
  <c r="F38" i="50"/>
  <c r="E134" i="50"/>
  <c r="E131" i="50"/>
  <c r="F37" i="50"/>
  <c r="F38" i="49"/>
  <c r="E132" i="49"/>
  <c r="E134" i="49"/>
  <c r="F37" i="49"/>
  <c r="E131" i="49"/>
  <c r="E135" i="47" l="1"/>
  <c r="E140" i="47" s="1"/>
  <c r="E129" i="52"/>
  <c r="F37" i="52" s="1"/>
  <c r="E130" i="52"/>
  <c r="F42" i="47"/>
  <c r="E62" i="48"/>
  <c r="E121" i="48" s="1"/>
  <c r="F30" i="48" s="1"/>
  <c r="F39" i="51"/>
  <c r="F44" i="51" s="1"/>
  <c r="F92" i="51" s="1"/>
  <c r="F94" i="51" s="1"/>
  <c r="F125" i="51" s="1"/>
  <c r="E137" i="51"/>
  <c r="E136" i="51"/>
  <c r="E135" i="51"/>
  <c r="F46" i="51"/>
  <c r="F39" i="50"/>
  <c r="F42" i="50" s="1"/>
  <c r="E137" i="50"/>
  <c r="E135" i="50"/>
  <c r="E136" i="50"/>
  <c r="F46" i="50"/>
  <c r="F46" i="49"/>
  <c r="F39" i="49"/>
  <c r="F42" i="49" s="1"/>
  <c r="E135" i="49"/>
  <c r="E137" i="49"/>
  <c r="E136" i="49"/>
  <c r="E141" i="47" l="1"/>
  <c r="E139" i="47"/>
  <c r="F46" i="47"/>
  <c r="F48" i="47"/>
  <c r="E132" i="52"/>
  <c r="F38" i="52"/>
  <c r="E131" i="52"/>
  <c r="E134" i="52"/>
  <c r="F45" i="47"/>
  <c r="F43" i="47"/>
  <c r="F44" i="47"/>
  <c r="E127" i="48"/>
  <c r="F29" i="48" s="1"/>
  <c r="F41" i="51"/>
  <c r="F40" i="51"/>
  <c r="F42" i="51"/>
  <c r="F43" i="51"/>
  <c r="F40" i="50"/>
  <c r="F43" i="50"/>
  <c r="F51" i="50" s="1"/>
  <c r="F41" i="50"/>
  <c r="F40" i="49"/>
  <c r="F41" i="49"/>
  <c r="F43" i="49"/>
  <c r="F106" i="47" l="1"/>
  <c r="F130" i="47" s="1"/>
  <c r="G38" i="47" s="1"/>
  <c r="F66" i="47"/>
  <c r="F125" i="47" s="1"/>
  <c r="G33" i="47" s="1"/>
  <c r="F39" i="52"/>
  <c r="F46" i="52"/>
  <c r="E137" i="52"/>
  <c r="E136" i="52"/>
  <c r="E135" i="52"/>
  <c r="E129" i="48"/>
  <c r="E131" i="48" s="1"/>
  <c r="E130" i="48"/>
  <c r="E132" i="48" s="1"/>
  <c r="F51" i="51"/>
  <c r="F50" i="51" s="1"/>
  <c r="F50" i="50"/>
  <c r="F48" i="50" s="1"/>
  <c r="F60" i="50" s="1"/>
  <c r="F51" i="49"/>
  <c r="F84" i="50"/>
  <c r="F86" i="50" s="1"/>
  <c r="F124" i="50" s="1"/>
  <c r="G33" i="50" s="1"/>
  <c r="F90" i="47" l="1"/>
  <c r="F128" i="47" s="1"/>
  <c r="G36" i="47" s="1"/>
  <c r="F77" i="52"/>
  <c r="F116" i="52" s="1"/>
  <c r="F45" i="52"/>
  <c r="F53" i="52" s="1"/>
  <c r="F43" i="52"/>
  <c r="F42" i="52"/>
  <c r="F41" i="52"/>
  <c r="F40" i="52"/>
  <c r="F38" i="48"/>
  <c r="F46" i="48" s="1"/>
  <c r="F77" i="48" s="1"/>
  <c r="F116" i="48" s="1"/>
  <c r="F37" i="48"/>
  <c r="E134" i="48"/>
  <c r="E137" i="48"/>
  <c r="E135" i="48"/>
  <c r="E136" i="48"/>
  <c r="F48" i="51"/>
  <c r="F60" i="51" s="1"/>
  <c r="F61" i="51" s="1"/>
  <c r="F114" i="51" s="1"/>
  <c r="F76" i="51"/>
  <c r="F77" i="51" s="1"/>
  <c r="F116" i="51" s="1"/>
  <c r="F49" i="51"/>
  <c r="F68" i="51" s="1"/>
  <c r="F69" i="51" s="1"/>
  <c r="F115" i="51" s="1"/>
  <c r="F140" i="51" s="1"/>
  <c r="F84" i="51"/>
  <c r="F86" i="51" s="1"/>
  <c r="F124" i="51" s="1"/>
  <c r="G33" i="51" s="1"/>
  <c r="F76" i="50"/>
  <c r="F77" i="50" s="1"/>
  <c r="F116" i="50" s="1"/>
  <c r="F49" i="50"/>
  <c r="F68" i="50" s="1"/>
  <c r="F69" i="50" s="1"/>
  <c r="F115" i="50" s="1"/>
  <c r="F140" i="50" s="1"/>
  <c r="F50" i="49"/>
  <c r="F48" i="49" s="1"/>
  <c r="F60" i="49" s="1"/>
  <c r="F61" i="49" s="1"/>
  <c r="F114" i="49" s="1"/>
  <c r="F84" i="49"/>
  <c r="F86" i="49" s="1"/>
  <c r="F124" i="49" s="1"/>
  <c r="G33" i="49" s="1"/>
  <c r="F61" i="50"/>
  <c r="F114" i="50" s="1"/>
  <c r="F82" i="47" l="1"/>
  <c r="F127" i="47" s="1"/>
  <c r="G35" i="47" s="1"/>
  <c r="F74" i="47"/>
  <c r="F126" i="47" s="1"/>
  <c r="F51" i="52"/>
  <c r="F102" i="52"/>
  <c r="F126" i="52" s="1"/>
  <c r="G35" i="52" s="1"/>
  <c r="F48" i="52"/>
  <c r="F61" i="52" s="1"/>
  <c r="F114" i="52" s="1"/>
  <c r="F69" i="48"/>
  <c r="F115" i="48" s="1"/>
  <c r="F140" i="48" s="1"/>
  <c r="F39" i="48"/>
  <c r="F43" i="48" s="1"/>
  <c r="F51" i="48" s="1"/>
  <c r="F62" i="51"/>
  <c r="F121" i="51" s="1"/>
  <c r="G30" i="51" s="1"/>
  <c r="F78" i="51"/>
  <c r="F123" i="51" s="1"/>
  <c r="G32" i="51" s="1"/>
  <c r="F70" i="51"/>
  <c r="F122" i="51" s="1"/>
  <c r="G31" i="51" s="1"/>
  <c r="F76" i="49"/>
  <c r="F77" i="49" s="1"/>
  <c r="F116" i="49" s="1"/>
  <c r="F49" i="49"/>
  <c r="F68" i="49" s="1"/>
  <c r="F69" i="49" s="1"/>
  <c r="F115" i="49" s="1"/>
  <c r="F140" i="49" s="1"/>
  <c r="F62" i="50"/>
  <c r="F121" i="50" s="1"/>
  <c r="G30" i="50" s="1"/>
  <c r="F78" i="50"/>
  <c r="F123" i="50" s="1"/>
  <c r="G32" i="50" s="1"/>
  <c r="F70" i="50"/>
  <c r="F122" i="50" s="1"/>
  <c r="G31" i="50" s="1"/>
  <c r="F62" i="49"/>
  <c r="F121" i="49" s="1"/>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G34" i="47" l="1"/>
  <c r="F131" i="47"/>
  <c r="F50" i="52"/>
  <c r="F41" i="48"/>
  <c r="F40" i="48"/>
  <c r="F42" i="48"/>
  <c r="F84" i="48"/>
  <c r="F86" i="48" s="1"/>
  <c r="F124" i="48" s="1"/>
  <c r="G33" i="48" s="1"/>
  <c r="F50" i="48"/>
  <c r="F49" i="48" s="1"/>
  <c r="F62" i="52"/>
  <c r="F121" i="52" s="1"/>
  <c r="F127" i="51"/>
  <c r="F70" i="49"/>
  <c r="F122" i="49" s="1"/>
  <c r="G31" i="49" s="1"/>
  <c r="F127" i="50"/>
  <c r="F78" i="49"/>
  <c r="F123" i="49" s="1"/>
  <c r="G32" i="49" s="1"/>
  <c r="G30" i="49"/>
  <c r="D38" i="16"/>
  <c r="D37" i="16" s="1"/>
  <c r="C37" i="16"/>
  <c r="C32" i="16"/>
  <c r="C33" i="16"/>
  <c r="C55" i="16" s="1"/>
  <c r="D26" i="16" s="1"/>
  <c r="C34" i="16"/>
  <c r="C47" i="16" s="1"/>
  <c r="C56" i="16" s="1"/>
  <c r="D51" i="16"/>
  <c r="E22" i="16"/>
  <c r="G32" i="47" l="1"/>
  <c r="F133" i="47"/>
  <c r="F134" i="47"/>
  <c r="F85" i="52"/>
  <c r="F117" i="52" s="1"/>
  <c r="F78" i="52"/>
  <c r="F123" i="52" s="1"/>
  <c r="G32" i="52" s="1"/>
  <c r="F49" i="52"/>
  <c r="F68" i="48"/>
  <c r="F70" i="48" s="1"/>
  <c r="F122" i="48" s="1"/>
  <c r="G31" i="48" s="1"/>
  <c r="F48" i="48"/>
  <c r="F60" i="48" s="1"/>
  <c r="F76" i="48"/>
  <c r="F78" i="48" s="1"/>
  <c r="F123" i="48" s="1"/>
  <c r="G32" i="48" s="1"/>
  <c r="G30" i="52"/>
  <c r="F129" i="51"/>
  <c r="G29" i="51"/>
  <c r="F130" i="51"/>
  <c r="F129" i="50"/>
  <c r="G29" i="50"/>
  <c r="F130" i="50"/>
  <c r="F127" i="49"/>
  <c r="F129" i="49" s="1"/>
  <c r="D50" i="16"/>
  <c r="D60" i="16" s="1"/>
  <c r="E59" i="16"/>
  <c r="E23" i="16"/>
  <c r="E35" i="16"/>
  <c r="E36" i="16" s="1"/>
  <c r="F22" i="16"/>
  <c r="E51" i="16"/>
  <c r="F136" i="47" l="1"/>
  <c r="G49" i="47"/>
  <c r="G42" i="47"/>
  <c r="F138" i="47"/>
  <c r="F135" i="47"/>
  <c r="F69" i="52"/>
  <c r="F115" i="52" s="1"/>
  <c r="F86" i="52"/>
  <c r="F124" i="52" s="1"/>
  <c r="G33" i="52" s="1"/>
  <c r="F61" i="48"/>
  <c r="F114" i="48" s="1"/>
  <c r="F132" i="51"/>
  <c r="G38" i="51"/>
  <c r="F134" i="51"/>
  <c r="F131" i="51"/>
  <c r="G37" i="51"/>
  <c r="F130" i="49"/>
  <c r="F132" i="49" s="1"/>
  <c r="F132" i="50"/>
  <c r="G38" i="50"/>
  <c r="F134" i="50"/>
  <c r="F131" i="50"/>
  <c r="G37" i="50"/>
  <c r="G29" i="49"/>
  <c r="F131" i="49"/>
  <c r="F134" i="49"/>
  <c r="G37" i="49"/>
  <c r="C49" i="16"/>
  <c r="C54" i="16" s="1"/>
  <c r="E38" i="16"/>
  <c r="E37" i="16" s="1"/>
  <c r="F35" i="16"/>
  <c r="G22" i="16"/>
  <c r="F51" i="16"/>
  <c r="F23" i="16"/>
  <c r="F36" i="16"/>
  <c r="F38" i="16" s="1"/>
  <c r="F59" i="16"/>
  <c r="G43" i="47" l="1"/>
  <c r="G48" i="47"/>
  <c r="G44" i="47"/>
  <c r="G45" i="47"/>
  <c r="G46" i="47"/>
  <c r="G66" i="47"/>
  <c r="G125" i="47" s="1"/>
  <c r="F139" i="47"/>
  <c r="F140" i="47"/>
  <c r="F141" i="47"/>
  <c r="F70" i="52"/>
  <c r="F122" i="52" s="1"/>
  <c r="F62" i="48"/>
  <c r="F121" i="48" s="1"/>
  <c r="G30" i="48" s="1"/>
  <c r="G39" i="51"/>
  <c r="G44" i="51" s="1"/>
  <c r="G92" i="51" s="1"/>
  <c r="G94" i="51" s="1"/>
  <c r="G125" i="51" s="1"/>
  <c r="F137" i="51"/>
  <c r="F136" i="51"/>
  <c r="F135" i="51"/>
  <c r="G46" i="51"/>
  <c r="G39" i="50"/>
  <c r="G42" i="50" s="1"/>
  <c r="G38" i="49"/>
  <c r="G46" i="49" s="1"/>
  <c r="F137" i="50"/>
  <c r="F135" i="50"/>
  <c r="F136" i="50"/>
  <c r="G46" i="50"/>
  <c r="F137" i="49"/>
  <c r="F136" i="49"/>
  <c r="F135" i="49"/>
  <c r="D25" i="16"/>
  <c r="C57" i="16"/>
  <c r="D24" i="16" s="1"/>
  <c r="D29" i="16" s="1"/>
  <c r="F37" i="16"/>
  <c r="G51" i="16"/>
  <c r="H22" i="16"/>
  <c r="G35" i="16"/>
  <c r="G23" i="16"/>
  <c r="G36" i="16"/>
  <c r="G59" i="16"/>
  <c r="G82" i="47" l="1"/>
  <c r="G127" i="47" s="1"/>
  <c r="G106" i="47"/>
  <c r="G130" i="47" s="1"/>
  <c r="G31" i="52"/>
  <c r="F127" i="52"/>
  <c r="G29" i="52" s="1"/>
  <c r="F127" i="48"/>
  <c r="G29" i="48" s="1"/>
  <c r="G42" i="51"/>
  <c r="G40" i="51"/>
  <c r="G43" i="51"/>
  <c r="G41" i="51"/>
  <c r="G39" i="49"/>
  <c r="G43" i="49" s="1"/>
  <c r="G51" i="49" s="1"/>
  <c r="G50" i="49" s="1"/>
  <c r="G48" i="49" s="1"/>
  <c r="G40" i="50"/>
  <c r="G41" i="50"/>
  <c r="G43" i="50"/>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74" i="47" l="1"/>
  <c r="G126" i="47" s="1"/>
  <c r="G131" i="47" s="1"/>
  <c r="G133" i="47" s="1"/>
  <c r="G138" i="47" s="1"/>
  <c r="G90" i="47"/>
  <c r="G128" i="47" s="1"/>
  <c r="F129" i="52"/>
  <c r="G37" i="52" s="1"/>
  <c r="F130" i="52"/>
  <c r="F129" i="48"/>
  <c r="G37" i="48" s="1"/>
  <c r="F130" i="48"/>
  <c r="F132" i="48" s="1"/>
  <c r="G51" i="51"/>
  <c r="G50" i="51" s="1"/>
  <c r="G84" i="49"/>
  <c r="G86" i="49" s="1"/>
  <c r="G124" i="49" s="1"/>
  <c r="H33" i="49" s="1"/>
  <c r="G40" i="49"/>
  <c r="G60" i="49" s="1"/>
  <c r="G42" i="49"/>
  <c r="G76" i="49" s="1"/>
  <c r="G41" i="49"/>
  <c r="G51" i="50"/>
  <c r="G49" i="49"/>
  <c r="D32" i="16"/>
  <c r="D45" i="16" s="1"/>
  <c r="D49" i="16" s="1"/>
  <c r="D54" i="16" s="1"/>
  <c r="D34" i="16"/>
  <c r="D47" i="16" s="1"/>
  <c r="D56" i="16" s="1"/>
  <c r="D33" i="16"/>
  <c r="D46" i="16" s="1"/>
  <c r="D55" i="16" s="1"/>
  <c r="E26" i="16" s="1"/>
  <c r="E50" i="16" s="1"/>
  <c r="E60" i="16" s="1"/>
  <c r="H38" i="16"/>
  <c r="H37" i="16" s="1"/>
  <c r="I23" i="16"/>
  <c r="I59" i="16"/>
  <c r="I51" i="16"/>
  <c r="I35" i="16"/>
  <c r="I36" i="16" s="1"/>
  <c r="J22" i="16"/>
  <c r="G135" i="47" l="1"/>
  <c r="G140" i="47" s="1"/>
  <c r="G134" i="47"/>
  <c r="G136" i="47" s="1"/>
  <c r="F132" i="52"/>
  <c r="G38" i="52"/>
  <c r="G39" i="52"/>
  <c r="F131" i="52"/>
  <c r="F134" i="52"/>
  <c r="G141" i="47"/>
  <c r="G139" i="47"/>
  <c r="G38" i="48"/>
  <c r="G69" i="48" s="1"/>
  <c r="G115" i="48" s="1"/>
  <c r="G140" i="48" s="1"/>
  <c r="F134" i="48"/>
  <c r="F131" i="48"/>
  <c r="F135" i="48" s="1"/>
  <c r="G48" i="51"/>
  <c r="G60" i="51" s="1"/>
  <c r="G61" i="51" s="1"/>
  <c r="G114" i="51" s="1"/>
  <c r="G76" i="51"/>
  <c r="G77" i="51" s="1"/>
  <c r="G116" i="51" s="1"/>
  <c r="G49" i="51"/>
  <c r="G68" i="51" s="1"/>
  <c r="G69" i="51" s="1"/>
  <c r="G115" i="51" s="1"/>
  <c r="G140" i="51" s="1"/>
  <c r="G84" i="51"/>
  <c r="G86" i="51" s="1"/>
  <c r="G124" i="51" s="1"/>
  <c r="H33" i="51" s="1"/>
  <c r="G68" i="49"/>
  <c r="G69" i="49" s="1"/>
  <c r="G115" i="49" s="1"/>
  <c r="G140" i="49" s="1"/>
  <c r="G50" i="50"/>
  <c r="G84" i="50"/>
  <c r="G86" i="50" s="1"/>
  <c r="G124" i="50" s="1"/>
  <c r="H33" i="50" s="1"/>
  <c r="G77" i="49"/>
  <c r="G116" i="49" s="1"/>
  <c r="G61" i="49"/>
  <c r="G114" i="49" s="1"/>
  <c r="I38" i="16"/>
  <c r="I37" i="16" s="1"/>
  <c r="D57" i="16"/>
  <c r="E24" i="16" s="1"/>
  <c r="E25" i="16"/>
  <c r="J36" i="16"/>
  <c r="J38" i="16" s="1"/>
  <c r="J23" i="16"/>
  <c r="J35" i="16"/>
  <c r="J59" i="16"/>
  <c r="K22" i="16"/>
  <c r="J51" i="16"/>
  <c r="G43" i="52" l="1"/>
  <c r="G45" i="52"/>
  <c r="G53" i="52" s="1"/>
  <c r="G41" i="52"/>
  <c r="G40" i="52"/>
  <c r="G42" i="52"/>
  <c r="G46" i="52"/>
  <c r="F137" i="52"/>
  <c r="F136" i="52"/>
  <c r="F135" i="52"/>
  <c r="G39" i="48"/>
  <c r="G43" i="48" s="1"/>
  <c r="G51" i="48" s="1"/>
  <c r="F136" i="48"/>
  <c r="G46" i="48"/>
  <c r="G77" i="48" s="1"/>
  <c r="G116" i="48" s="1"/>
  <c r="F137" i="48"/>
  <c r="G62" i="51"/>
  <c r="G121" i="51" s="1"/>
  <c r="H30" i="51" s="1"/>
  <c r="G70" i="51"/>
  <c r="G122" i="51" s="1"/>
  <c r="H31" i="51" s="1"/>
  <c r="G78" i="51"/>
  <c r="G123" i="51" s="1"/>
  <c r="H32" i="51" s="1"/>
  <c r="G48" i="50"/>
  <c r="G60" i="50" s="1"/>
  <c r="G61" i="50" s="1"/>
  <c r="G114" i="50" s="1"/>
  <c r="G76" i="50"/>
  <c r="G77" i="50" s="1"/>
  <c r="G116" i="50" s="1"/>
  <c r="G49" i="50"/>
  <c r="G68" i="50" s="1"/>
  <c r="G69" i="50" s="1"/>
  <c r="G115" i="50" s="1"/>
  <c r="G140" i="50" s="1"/>
  <c r="G78" i="49"/>
  <c r="G123" i="49" s="1"/>
  <c r="H32" i="49" s="1"/>
  <c r="G70" i="49"/>
  <c r="G122" i="49" s="1"/>
  <c r="H31" i="49" s="1"/>
  <c r="G62" i="49"/>
  <c r="G121" i="49" s="1"/>
  <c r="J37" i="16"/>
  <c r="K36" i="16"/>
  <c r="K59" i="16"/>
  <c r="K23" i="16"/>
  <c r="K35" i="16"/>
  <c r="L22" i="16"/>
  <c r="K51" i="16"/>
  <c r="E27" i="16"/>
  <c r="E29" i="16"/>
  <c r="E31" i="16" s="1"/>
  <c r="E30" i="16"/>
  <c r="G77" i="52" l="1"/>
  <c r="G116" i="52" s="1"/>
  <c r="G48" i="52"/>
  <c r="G51" i="52"/>
  <c r="G102" i="52"/>
  <c r="G126" i="52" s="1"/>
  <c r="G41" i="48"/>
  <c r="G40" i="48"/>
  <c r="G42" i="48"/>
  <c r="G84" i="48"/>
  <c r="G86" i="48" s="1"/>
  <c r="G124" i="48" s="1"/>
  <c r="G50" i="48"/>
  <c r="G49" i="48" s="1"/>
  <c r="G127" i="51"/>
  <c r="G78" i="50"/>
  <c r="G123" i="50" s="1"/>
  <c r="H32" i="50" s="1"/>
  <c r="G62" i="50"/>
  <c r="G121" i="50" s="1"/>
  <c r="H30" i="50" s="1"/>
  <c r="G70" i="50"/>
  <c r="G122" i="50" s="1"/>
  <c r="H31" i="50" s="1"/>
  <c r="G127" i="49"/>
  <c r="H30" i="49"/>
  <c r="L36" i="16"/>
  <c r="L59" i="16"/>
  <c r="L23" i="16"/>
  <c r="L35" i="16"/>
  <c r="L38" i="16"/>
  <c r="L51" i="16"/>
  <c r="L37" i="16"/>
  <c r="K38" i="16"/>
  <c r="K37" i="16" s="1"/>
  <c r="E33" i="16"/>
  <c r="E46" i="16" s="1"/>
  <c r="E55" i="16" s="1"/>
  <c r="F26" i="16" s="1"/>
  <c r="E32" i="16"/>
  <c r="E45" i="16" s="1"/>
  <c r="E34" i="16"/>
  <c r="E47" i="16" s="1"/>
  <c r="E56" i="16" s="1"/>
  <c r="G50" i="52" l="1"/>
  <c r="G61" i="52"/>
  <c r="G114" i="52" s="1"/>
  <c r="G62" i="52"/>
  <c r="G121" i="52" s="1"/>
  <c r="G68" i="48"/>
  <c r="G70" i="48" s="1"/>
  <c r="G122" i="48" s="1"/>
  <c r="G48" i="48"/>
  <c r="G60" i="48" s="1"/>
  <c r="G76" i="48"/>
  <c r="G78" i="48" s="1"/>
  <c r="G123" i="48" s="1"/>
  <c r="G129" i="51"/>
  <c r="H29" i="51"/>
  <c r="G130" i="51"/>
  <c r="G127" i="50"/>
  <c r="G129" i="50" s="1"/>
  <c r="G129" i="49"/>
  <c r="H37" i="49" s="1"/>
  <c r="H29" i="49"/>
  <c r="G130" i="49"/>
  <c r="E49" i="16"/>
  <c r="E54" i="16" s="1"/>
  <c r="F50" i="16"/>
  <c r="F60" i="16" s="1"/>
  <c r="G85" i="52" l="1"/>
  <c r="G117" i="52" s="1"/>
  <c r="G78" i="52"/>
  <c r="G123" i="52" s="1"/>
  <c r="G49" i="52"/>
  <c r="G61" i="48"/>
  <c r="G114" i="48" s="1"/>
  <c r="H38" i="51"/>
  <c r="G132" i="51"/>
  <c r="G131" i="51"/>
  <c r="H37" i="51"/>
  <c r="G134" i="51"/>
  <c r="G130" i="50"/>
  <c r="G132" i="50" s="1"/>
  <c r="H29" i="50"/>
  <c r="G131" i="50"/>
  <c r="G134" i="50"/>
  <c r="H37" i="50"/>
  <c r="G132" i="49"/>
  <c r="H38" i="49"/>
  <c r="G131" i="49"/>
  <c r="G134" i="49"/>
  <c r="E57" i="16"/>
  <c r="F24" i="16" s="1"/>
  <c r="F25" i="16"/>
  <c r="G69" i="52" l="1"/>
  <c r="G115" i="52" s="1"/>
  <c r="G86" i="52"/>
  <c r="G124" i="52" s="1"/>
  <c r="G62" i="48"/>
  <c r="G121" i="48" s="1"/>
  <c r="G127" i="48" s="1"/>
  <c r="G129" i="48" s="1"/>
  <c r="H39" i="51"/>
  <c r="H44" i="51" s="1"/>
  <c r="H92" i="51" s="1"/>
  <c r="H94" i="51" s="1"/>
  <c r="H125" i="51" s="1"/>
  <c r="G136" i="51"/>
  <c r="G135" i="51"/>
  <c r="G137" i="51"/>
  <c r="H46" i="51"/>
  <c r="H38" i="50"/>
  <c r="H39" i="50" s="1"/>
  <c r="H40" i="50" s="1"/>
  <c r="G137" i="50"/>
  <c r="G136" i="50"/>
  <c r="G135" i="50"/>
  <c r="H39" i="49"/>
  <c r="H42" i="49" s="1"/>
  <c r="H46" i="49"/>
  <c r="G137" i="49"/>
  <c r="G136" i="49"/>
  <c r="G135" i="49"/>
  <c r="F27" i="16"/>
  <c r="F29" i="16"/>
  <c r="F31" i="16" s="1"/>
  <c r="F30" i="16"/>
  <c r="G70" i="52" l="1"/>
  <c r="G122" i="52" s="1"/>
  <c r="G127" i="52" s="1"/>
  <c r="G130" i="48"/>
  <c r="G132" i="48" s="1"/>
  <c r="G134" i="48"/>
  <c r="G131" i="48"/>
  <c r="H46" i="50"/>
  <c r="H40" i="51"/>
  <c r="H43" i="51"/>
  <c r="H41" i="51"/>
  <c r="H42" i="51"/>
  <c r="H42" i="50"/>
  <c r="H43" i="50"/>
  <c r="H51" i="50" s="1"/>
  <c r="H41" i="50"/>
  <c r="H43" i="49"/>
  <c r="H40" i="49"/>
  <c r="H41" i="49"/>
  <c r="F32" i="16"/>
  <c r="F45" i="16" s="1"/>
  <c r="F34" i="16"/>
  <c r="F47" i="16" s="1"/>
  <c r="F56" i="16" s="1"/>
  <c r="F33" i="16"/>
  <c r="F46" i="16" s="1"/>
  <c r="F55" i="16" s="1"/>
  <c r="G26" i="16" s="1"/>
  <c r="G129" i="52" l="1"/>
  <c r="G130" i="52"/>
  <c r="G132" i="52" s="1"/>
  <c r="G137" i="48"/>
  <c r="G136" i="48"/>
  <c r="G135" i="48"/>
  <c r="H51" i="51"/>
  <c r="H50" i="51" s="1"/>
  <c r="H50" i="50"/>
  <c r="H48" i="50" s="1"/>
  <c r="H51" i="49"/>
  <c r="H84" i="49" s="1"/>
  <c r="H86" i="49" s="1"/>
  <c r="H124" i="49" s="1"/>
  <c r="I33" i="49" s="1"/>
  <c r="H84" i="50"/>
  <c r="H86" i="50" s="1"/>
  <c r="H124" i="50" s="1"/>
  <c r="I33" i="50" s="1"/>
  <c r="G50" i="16"/>
  <c r="F49" i="16"/>
  <c r="F54" i="16" s="1"/>
  <c r="G131" i="52" l="1"/>
  <c r="G134" i="52"/>
  <c r="H49" i="51"/>
  <c r="H68" i="51" s="1"/>
  <c r="H69" i="51" s="1"/>
  <c r="H115" i="51" s="1"/>
  <c r="H140" i="51" s="1"/>
  <c r="H48" i="51"/>
  <c r="H60" i="51" s="1"/>
  <c r="H61" i="51" s="1"/>
  <c r="H114" i="51" s="1"/>
  <c r="H76" i="51"/>
  <c r="H77" i="51" s="1"/>
  <c r="H116" i="51" s="1"/>
  <c r="H84" i="51"/>
  <c r="H86" i="51" s="1"/>
  <c r="H124" i="51" s="1"/>
  <c r="I33" i="51" s="1"/>
  <c r="H76" i="50"/>
  <c r="H77" i="50" s="1"/>
  <c r="H116" i="50" s="1"/>
  <c r="H49" i="50"/>
  <c r="H68" i="50" s="1"/>
  <c r="H50" i="49"/>
  <c r="H49" i="49" s="1"/>
  <c r="H68" i="49" s="1"/>
  <c r="H60" i="50"/>
  <c r="F57" i="16"/>
  <c r="G24" i="16" s="1"/>
  <c r="G25" i="16"/>
  <c r="H50" i="16"/>
  <c r="G60" i="16"/>
  <c r="G136" i="52" l="1"/>
  <c r="G135" i="52"/>
  <c r="G137" i="52"/>
  <c r="H62" i="51"/>
  <c r="H121" i="51" s="1"/>
  <c r="I30" i="51" s="1"/>
  <c r="H78" i="51"/>
  <c r="H123" i="51" s="1"/>
  <c r="I32" i="51" s="1"/>
  <c r="H70" i="51"/>
  <c r="H122" i="51" s="1"/>
  <c r="I31" i="51" s="1"/>
  <c r="H78" i="50"/>
  <c r="H123" i="50" s="1"/>
  <c r="I32" i="50" s="1"/>
  <c r="H48" i="49"/>
  <c r="H60" i="49" s="1"/>
  <c r="H61" i="49" s="1"/>
  <c r="H114" i="49" s="1"/>
  <c r="H76" i="49"/>
  <c r="H69" i="50"/>
  <c r="H115" i="50" s="1"/>
  <c r="H140" i="50" s="1"/>
  <c r="H61" i="50"/>
  <c r="H114" i="50" s="1"/>
  <c r="H69" i="49"/>
  <c r="H115" i="49" s="1"/>
  <c r="H140" i="49" s="1"/>
  <c r="I50" i="16"/>
  <c r="H60" i="16"/>
  <c r="G27" i="16"/>
  <c r="G29" i="16"/>
  <c r="G31" i="16" s="1"/>
  <c r="G30" i="16"/>
  <c r="H62" i="49" l="1"/>
  <c r="H121" i="49" s="1"/>
  <c r="I30" i="49" s="1"/>
  <c r="H127" i="51"/>
  <c r="H77" i="49"/>
  <c r="H116" i="49" s="1"/>
  <c r="H62" i="50"/>
  <c r="H121" i="50" s="1"/>
  <c r="I30" i="50" s="1"/>
  <c r="H70" i="50"/>
  <c r="H122" i="50" s="1"/>
  <c r="I31" i="50" s="1"/>
  <c r="H70" i="49"/>
  <c r="H122" i="49" s="1"/>
  <c r="I31" i="49" s="1"/>
  <c r="G33" i="16"/>
  <c r="G46" i="16" s="1"/>
  <c r="G55" i="16" s="1"/>
  <c r="H26" i="16" s="1"/>
  <c r="G32" i="16"/>
  <c r="G45" i="16" s="1"/>
  <c r="G34" i="16"/>
  <c r="G47" i="16" s="1"/>
  <c r="G56" i="16" s="1"/>
  <c r="J50" i="16"/>
  <c r="I60" i="16"/>
  <c r="H129" i="51" l="1"/>
  <c r="I29" i="51"/>
  <c r="H130" i="51"/>
  <c r="H78" i="49"/>
  <c r="H123" i="49" s="1"/>
  <c r="I32" i="49" s="1"/>
  <c r="H127" i="50"/>
  <c r="K50" i="16"/>
  <c r="J60" i="16"/>
  <c r="G49" i="16"/>
  <c r="G54" i="16" s="1"/>
  <c r="H132" i="51" l="1"/>
  <c r="I38" i="51"/>
  <c r="H131" i="51"/>
  <c r="H134" i="51"/>
  <c r="I37" i="51"/>
  <c r="H127" i="49"/>
  <c r="I29" i="49" s="1"/>
  <c r="H129" i="50"/>
  <c r="I29" i="50"/>
  <c r="H130" i="50"/>
  <c r="G57" i="16"/>
  <c r="H24" i="16" s="1"/>
  <c r="H25" i="16"/>
  <c r="L50" i="16"/>
  <c r="L60" i="16" s="1"/>
  <c r="K60" i="16"/>
  <c r="I39" i="51" l="1"/>
  <c r="I44" i="51" s="1"/>
  <c r="I92" i="51" s="1"/>
  <c r="I94" i="51" s="1"/>
  <c r="I125" i="51" s="1"/>
  <c r="H137" i="51"/>
  <c r="H136" i="51"/>
  <c r="H135" i="51"/>
  <c r="I46" i="51"/>
  <c r="H130" i="49"/>
  <c r="H132" i="49" s="1"/>
  <c r="H129" i="49"/>
  <c r="I37" i="49" s="1"/>
  <c r="H132" i="50"/>
  <c r="I38" i="50"/>
  <c r="H131" i="50"/>
  <c r="H134" i="50"/>
  <c r="I37" i="50"/>
  <c r="H27" i="16"/>
  <c r="H29" i="16"/>
  <c r="H30" i="16"/>
  <c r="H131" i="49" l="1"/>
  <c r="H135" i="49" s="1"/>
  <c r="I39" i="50"/>
  <c r="I40" i="50" s="1"/>
  <c r="I38" i="49"/>
  <c r="I46" i="49" s="1"/>
  <c r="I40" i="51"/>
  <c r="I43" i="51"/>
  <c r="I41" i="51"/>
  <c r="I42" i="51"/>
  <c r="H134" i="49"/>
  <c r="H137" i="50"/>
  <c r="H136" i="50"/>
  <c r="H135" i="50"/>
  <c r="I46" i="50"/>
  <c r="H31" i="16"/>
  <c r="H34" i="16" s="1"/>
  <c r="H47" i="16" s="1"/>
  <c r="H56" i="16" s="1"/>
  <c r="I39" i="49" l="1"/>
  <c r="I40" i="49" s="1"/>
  <c r="H137" i="49"/>
  <c r="I51" i="51"/>
  <c r="I84" i="51" s="1"/>
  <c r="I86" i="51" s="1"/>
  <c r="I124" i="51" s="1"/>
  <c r="J33" i="51" s="1"/>
  <c r="H136" i="49"/>
  <c r="I42" i="50"/>
  <c r="I43" i="50"/>
  <c r="I51" i="50" s="1"/>
  <c r="I84" i="50" s="1"/>
  <c r="I86" i="50" s="1"/>
  <c r="I124" i="50" s="1"/>
  <c r="J33" i="50" s="1"/>
  <c r="I41" i="50"/>
  <c r="H33" i="16"/>
  <c r="H46" i="16" s="1"/>
  <c r="H55" i="16" s="1"/>
  <c r="I26" i="16" s="1"/>
  <c r="H32" i="16"/>
  <c r="H45" i="16" s="1"/>
  <c r="H54" i="16" s="1"/>
  <c r="I42" i="49" l="1"/>
  <c r="I41" i="49"/>
  <c r="I43" i="49"/>
  <c r="I51" i="49" s="1"/>
  <c r="I50" i="49" s="1"/>
  <c r="I48" i="49" s="1"/>
  <c r="I60" i="49" s="1"/>
  <c r="I50" i="51"/>
  <c r="I49" i="51" s="1"/>
  <c r="I68" i="51" s="1"/>
  <c r="I69" i="51" s="1"/>
  <c r="I115" i="51" s="1"/>
  <c r="I140" i="51" s="1"/>
  <c r="I50" i="50"/>
  <c r="I48" i="50" s="1"/>
  <c r="H57" i="16"/>
  <c r="I24" i="16" s="1"/>
  <c r="I27" i="16" s="1"/>
  <c r="I25" i="16"/>
  <c r="I76" i="49" l="1"/>
  <c r="I77" i="49" s="1"/>
  <c r="I116" i="49" s="1"/>
  <c r="I49" i="49"/>
  <c r="I68" i="49" s="1"/>
  <c r="I69" i="49" s="1"/>
  <c r="I115" i="49" s="1"/>
  <c r="I140" i="49" s="1"/>
  <c r="I84" i="49"/>
  <c r="I86" i="49" s="1"/>
  <c r="I124" i="49" s="1"/>
  <c r="J33" i="49" s="1"/>
  <c r="I76" i="51"/>
  <c r="I77" i="51" s="1"/>
  <c r="I116" i="51" s="1"/>
  <c r="I70" i="51"/>
  <c r="I122" i="51" s="1"/>
  <c r="J31" i="51" s="1"/>
  <c r="I48" i="51"/>
  <c r="I60" i="51" s="1"/>
  <c r="I61" i="51" s="1"/>
  <c r="I114" i="51" s="1"/>
  <c r="I49" i="50"/>
  <c r="I68" i="50" s="1"/>
  <c r="I76" i="50"/>
  <c r="I77" i="50" s="1"/>
  <c r="I116" i="50" s="1"/>
  <c r="I60" i="50"/>
  <c r="I61" i="49"/>
  <c r="I114" i="49" s="1"/>
  <c r="I30" i="16"/>
  <c r="I29" i="16"/>
  <c r="I31" i="16" s="1"/>
  <c r="I34" i="16" s="1"/>
  <c r="I47" i="16" s="1"/>
  <c r="I56" i="16" s="1"/>
  <c r="I78" i="49" l="1"/>
  <c r="I123" i="49" s="1"/>
  <c r="J32" i="49" s="1"/>
  <c r="I78" i="51"/>
  <c r="I123" i="51" s="1"/>
  <c r="J32" i="51" s="1"/>
  <c r="I62" i="51"/>
  <c r="I121" i="51" s="1"/>
  <c r="J30" i="51" s="1"/>
  <c r="I78" i="50"/>
  <c r="I123" i="50" s="1"/>
  <c r="J32" i="50" s="1"/>
  <c r="I69" i="50"/>
  <c r="I115" i="50" s="1"/>
  <c r="I140" i="50" s="1"/>
  <c r="I61" i="50"/>
  <c r="I114" i="50" s="1"/>
  <c r="I70" i="49"/>
  <c r="I122" i="49" s="1"/>
  <c r="J31" i="49" s="1"/>
  <c r="I62" i="49"/>
  <c r="I121" i="49" s="1"/>
  <c r="I32" i="16"/>
  <c r="I45" i="16" s="1"/>
  <c r="I54" i="16" s="1"/>
  <c r="J25" i="16" s="1"/>
  <c r="I33" i="16"/>
  <c r="I46" i="16" s="1"/>
  <c r="I55" i="16" s="1"/>
  <c r="J26" i="16" s="1"/>
  <c r="I127" i="51" l="1"/>
  <c r="I129" i="51" s="1"/>
  <c r="I62" i="50"/>
  <c r="I121" i="50" s="1"/>
  <c r="J30" i="50" s="1"/>
  <c r="I70" i="50"/>
  <c r="I122" i="50" s="1"/>
  <c r="J31" i="50" s="1"/>
  <c r="I127" i="49"/>
  <c r="J30" i="49"/>
  <c r="I57" i="16"/>
  <c r="J24" i="16" s="1"/>
  <c r="J27" i="16" s="1"/>
  <c r="I130" i="51" l="1"/>
  <c r="I132" i="51" s="1"/>
  <c r="J29" i="51"/>
  <c r="I134" i="51"/>
  <c r="I131" i="51"/>
  <c r="J37" i="51"/>
  <c r="I127" i="50"/>
  <c r="J29" i="49"/>
  <c r="I130" i="49"/>
  <c r="I129" i="49"/>
  <c r="J37" i="49" s="1"/>
  <c r="J30" i="16"/>
  <c r="J29" i="16"/>
  <c r="J31" i="16" s="1"/>
  <c r="J34" i="16" s="1"/>
  <c r="J47" i="16" s="1"/>
  <c r="J56" i="16" s="1"/>
  <c r="J38" i="51" l="1"/>
  <c r="J39" i="51" s="1"/>
  <c r="J44" i="51" s="1"/>
  <c r="J92" i="51" s="1"/>
  <c r="J94" i="51" s="1"/>
  <c r="J125" i="51" s="1"/>
  <c r="I135" i="51"/>
  <c r="I137" i="51"/>
  <c r="I136" i="51"/>
  <c r="I129" i="50"/>
  <c r="J29" i="50"/>
  <c r="I130" i="50"/>
  <c r="I132" i="49"/>
  <c r="J38" i="49"/>
  <c r="I131" i="49"/>
  <c r="I134" i="49"/>
  <c r="J32" i="16"/>
  <c r="J45" i="16" s="1"/>
  <c r="J54" i="16" s="1"/>
  <c r="K25" i="16" s="1"/>
  <c r="J33" i="16"/>
  <c r="J46" i="16" s="1"/>
  <c r="J55" i="16" s="1"/>
  <c r="K26" i="16" s="1"/>
  <c r="J46" i="51" l="1"/>
  <c r="J42" i="51"/>
  <c r="J41" i="51"/>
  <c r="J43" i="51"/>
  <c r="J51" i="51" s="1"/>
  <c r="J40" i="51"/>
  <c r="I132" i="50"/>
  <c r="J38" i="50"/>
  <c r="I131" i="50"/>
  <c r="J37" i="50"/>
  <c r="I134" i="50"/>
  <c r="J39" i="49"/>
  <c r="J42" i="49" s="1"/>
  <c r="J46" i="49"/>
  <c r="I137" i="49"/>
  <c r="I136" i="49"/>
  <c r="I135" i="49"/>
  <c r="J57" i="16"/>
  <c r="K24" i="16" s="1"/>
  <c r="K27" i="16" s="1"/>
  <c r="J50" i="51" l="1"/>
  <c r="J48" i="51" s="1"/>
  <c r="J60" i="51" s="1"/>
  <c r="J84" i="51"/>
  <c r="J86" i="51" s="1"/>
  <c r="J124" i="51" s="1"/>
  <c r="K33" i="51" s="1"/>
  <c r="J39" i="50"/>
  <c r="J41" i="50" s="1"/>
  <c r="I136" i="50"/>
  <c r="I135" i="50"/>
  <c r="I137" i="50"/>
  <c r="J46" i="50"/>
  <c r="J41" i="49"/>
  <c r="J43" i="49"/>
  <c r="J40" i="49"/>
  <c r="K29" i="16"/>
  <c r="K30" i="16"/>
  <c r="J49" i="51" l="1"/>
  <c r="J68" i="51" s="1"/>
  <c r="J69" i="51" s="1"/>
  <c r="J115" i="51" s="1"/>
  <c r="J140" i="51" s="1"/>
  <c r="J76" i="51"/>
  <c r="J77" i="51" s="1"/>
  <c r="J116" i="51" s="1"/>
  <c r="J43" i="50"/>
  <c r="J51" i="50" s="1"/>
  <c r="J50" i="50" s="1"/>
  <c r="J48" i="50" s="1"/>
  <c r="J42" i="50"/>
  <c r="J40" i="50"/>
  <c r="J61" i="51"/>
  <c r="J114" i="51" s="1"/>
  <c r="J51" i="49"/>
  <c r="K31" i="16"/>
  <c r="K32" i="16" s="1"/>
  <c r="K45" i="16" s="1"/>
  <c r="K54" i="16" s="1"/>
  <c r="L25" i="16" s="1"/>
  <c r="J84" i="50" l="1"/>
  <c r="J86" i="50" s="1"/>
  <c r="J124" i="50" s="1"/>
  <c r="K33" i="50" s="1"/>
  <c r="J62" i="51"/>
  <c r="J121" i="51" s="1"/>
  <c r="K30" i="51" s="1"/>
  <c r="J78" i="51"/>
  <c r="J123" i="51" s="1"/>
  <c r="K32" i="51" s="1"/>
  <c r="J70" i="51"/>
  <c r="J122" i="51" s="1"/>
  <c r="K31" i="51" s="1"/>
  <c r="J76" i="50"/>
  <c r="J77" i="50" s="1"/>
  <c r="J116" i="50" s="1"/>
  <c r="J49" i="50"/>
  <c r="J50" i="49"/>
  <c r="J49" i="49" s="1"/>
  <c r="J84" i="49"/>
  <c r="J86" i="49" s="1"/>
  <c r="J124" i="49" s="1"/>
  <c r="K33" i="49" s="1"/>
  <c r="K33" i="16"/>
  <c r="K46" i="16" s="1"/>
  <c r="K55" i="16" s="1"/>
  <c r="L26" i="16" s="1"/>
  <c r="K34" i="16"/>
  <c r="K47" i="16" s="1"/>
  <c r="K56" i="16" s="1"/>
  <c r="J127" i="51" l="1"/>
  <c r="J48" i="49"/>
  <c r="J60" i="49" s="1"/>
  <c r="J61" i="49" s="1"/>
  <c r="J114" i="49" s="1"/>
  <c r="J76" i="49"/>
  <c r="J77" i="49" s="1"/>
  <c r="J116" i="49" s="1"/>
  <c r="J78" i="50"/>
  <c r="J123" i="50" s="1"/>
  <c r="K32" i="50" s="1"/>
  <c r="J60" i="50"/>
  <c r="J68" i="50"/>
  <c r="J68" i="49"/>
  <c r="J69" i="49" s="1"/>
  <c r="J115" i="49" s="1"/>
  <c r="J140" i="49" s="1"/>
  <c r="K57" i="16"/>
  <c r="L24" i="16" s="1"/>
  <c r="L30" i="16" s="1"/>
  <c r="J62" i="49" l="1"/>
  <c r="J121" i="49" s="1"/>
  <c r="K30" i="49" s="1"/>
  <c r="J129" i="51"/>
  <c r="K29" i="51"/>
  <c r="J130" i="51"/>
  <c r="J78" i="49"/>
  <c r="J123" i="49" s="1"/>
  <c r="K32" i="49" s="1"/>
  <c r="J69" i="50"/>
  <c r="J115" i="50" s="1"/>
  <c r="J140" i="50" s="1"/>
  <c r="J61" i="50"/>
  <c r="J114" i="50" s="1"/>
  <c r="J70" i="49"/>
  <c r="J122" i="49" s="1"/>
  <c r="K31" i="49" s="1"/>
  <c r="L27" i="16"/>
  <c r="L29" i="16"/>
  <c r="L31" i="16" s="1"/>
  <c r="L32" i="16" s="1"/>
  <c r="L45" i="16" s="1"/>
  <c r="L54" i="16" s="1"/>
  <c r="J132" i="51" l="1"/>
  <c r="K38" i="51"/>
  <c r="J131" i="51"/>
  <c r="J134" i="51"/>
  <c r="K37" i="51"/>
  <c r="J62" i="50"/>
  <c r="J121" i="50" s="1"/>
  <c r="K30" i="50" s="1"/>
  <c r="J70" i="50"/>
  <c r="J122" i="50" s="1"/>
  <c r="K31" i="50" s="1"/>
  <c r="J127" i="49"/>
  <c r="K29" i="49" s="1"/>
  <c r="L33" i="16"/>
  <c r="L46" i="16" s="1"/>
  <c r="L55" i="16" s="1"/>
  <c r="L34" i="16"/>
  <c r="L47" i="16" s="1"/>
  <c r="L56" i="16" s="1"/>
  <c r="K39" i="51" l="1"/>
  <c r="K44" i="51" s="1"/>
  <c r="K92" i="51" s="1"/>
  <c r="K94" i="51" s="1"/>
  <c r="K125" i="51" s="1"/>
  <c r="J136" i="51"/>
  <c r="J135" i="51"/>
  <c r="J137" i="51"/>
  <c r="K46" i="51"/>
  <c r="J129" i="49"/>
  <c r="K37" i="49" s="1"/>
  <c r="J130" i="49"/>
  <c r="J132" i="49" s="1"/>
  <c r="J127" i="50"/>
  <c r="L57" i="16"/>
  <c r="K41" i="51" l="1"/>
  <c r="K40" i="51"/>
  <c r="K43" i="51"/>
  <c r="K42" i="51"/>
  <c r="K38" i="49"/>
  <c r="K39" i="49" s="1"/>
  <c r="J134" i="49"/>
  <c r="J131" i="49"/>
  <c r="J135" i="49" s="1"/>
  <c r="K29" i="50"/>
  <c r="J129" i="50"/>
  <c r="J130" i="50"/>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K51" i="51" l="1"/>
  <c r="K50" i="51" s="1"/>
  <c r="K43" i="49"/>
  <c r="K51" i="49" s="1"/>
  <c r="K42" i="49"/>
  <c r="K40" i="49"/>
  <c r="K41" i="49"/>
  <c r="K46" i="49"/>
  <c r="J137" i="49"/>
  <c r="J136" i="49"/>
  <c r="J132" i="50"/>
  <c r="K38" i="50"/>
  <c r="J131" i="50"/>
  <c r="J134" i="50"/>
  <c r="K37" i="50"/>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K48" i="51" l="1"/>
  <c r="K60" i="51" s="1"/>
  <c r="K61" i="51" s="1"/>
  <c r="K76" i="51"/>
  <c r="K77" i="51" s="1"/>
  <c r="K116" i="51" s="1"/>
  <c r="K49" i="51"/>
  <c r="K68" i="51" s="1"/>
  <c r="K69" i="51" s="1"/>
  <c r="K115" i="51" s="1"/>
  <c r="K140" i="51" s="1"/>
  <c r="K84" i="51"/>
  <c r="K86" i="51" s="1"/>
  <c r="K124" i="51" s="1"/>
  <c r="L33" i="51" s="1"/>
  <c r="K50" i="49"/>
  <c r="K48" i="49" s="1"/>
  <c r="K84" i="49"/>
  <c r="K86" i="49" s="1"/>
  <c r="K124" i="49" s="1"/>
  <c r="L33" i="49" s="1"/>
  <c r="K39" i="50"/>
  <c r="K41" i="50" s="1"/>
  <c r="J136" i="50"/>
  <c r="J135" i="50"/>
  <c r="J137" i="50"/>
  <c r="K46" i="50"/>
  <c r="V11" i="7"/>
  <c r="W11" i="7"/>
  <c r="V6" i="7"/>
  <c r="W6" i="7"/>
  <c r="K114" i="51" l="1"/>
  <c r="K62" i="51"/>
  <c r="K121" i="51" s="1"/>
  <c r="L30" i="51" s="1"/>
  <c r="K78" i="51"/>
  <c r="K123" i="51" s="1"/>
  <c r="L32" i="51" s="1"/>
  <c r="K70" i="51"/>
  <c r="K122" i="51" s="1"/>
  <c r="L31" i="51" s="1"/>
  <c r="K76" i="49"/>
  <c r="K77" i="49" s="1"/>
  <c r="K116" i="49" s="1"/>
  <c r="K49" i="49"/>
  <c r="K60" i="49"/>
  <c r="K61" i="49" s="1"/>
  <c r="K114" i="49" s="1"/>
  <c r="K43" i="50"/>
  <c r="K51" i="50" s="1"/>
  <c r="K40" i="50"/>
  <c r="K42" i="50"/>
  <c r="V8" i="7"/>
  <c r="W8" i="7"/>
  <c r="K78" i="49" l="1"/>
  <c r="K123" i="49" s="1"/>
  <c r="L32" i="49" s="1"/>
  <c r="K127" i="51"/>
  <c r="K50" i="50"/>
  <c r="K48" i="50" s="1"/>
  <c r="K68" i="49"/>
  <c r="K69" i="49" s="1"/>
  <c r="K115" i="49" s="1"/>
  <c r="K140" i="49" s="1"/>
  <c r="K84" i="50"/>
  <c r="K86" i="50" s="1"/>
  <c r="K124" i="50" s="1"/>
  <c r="L33" i="50" s="1"/>
  <c r="K62" i="49"/>
  <c r="K121" i="49"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K129" i="51" l="1"/>
  <c r="L29" i="51"/>
  <c r="K130" i="51"/>
  <c r="K76" i="50"/>
  <c r="K77" i="50" s="1"/>
  <c r="K116" i="50" s="1"/>
  <c r="K49" i="50"/>
  <c r="K68" i="50" s="1"/>
  <c r="K60" i="50"/>
  <c r="K70" i="49"/>
  <c r="K122" i="49" s="1"/>
  <c r="L31" i="49" s="1"/>
  <c r="L30" i="49"/>
  <c r="V10" i="7"/>
  <c r="W10" i="7"/>
  <c r="K13" i="2"/>
  <c r="L13" i="2" s="1"/>
  <c r="K8" i="2"/>
  <c r="K132" i="51" l="1"/>
  <c r="L38" i="51"/>
  <c r="K134" i="51"/>
  <c r="L37" i="51"/>
  <c r="K131" i="51"/>
  <c r="K78" i="50"/>
  <c r="K123" i="50" s="1"/>
  <c r="L32" i="50" s="1"/>
  <c r="K69" i="50"/>
  <c r="K115" i="50" s="1"/>
  <c r="K140" i="50" s="1"/>
  <c r="K61" i="50"/>
  <c r="K114" i="50" s="1"/>
  <c r="K127" i="49"/>
  <c r="N13" i="2"/>
  <c r="O13" i="2"/>
  <c r="M13" i="2"/>
  <c r="L39" i="51" l="1"/>
  <c r="L44" i="51" s="1"/>
  <c r="L92" i="51" s="1"/>
  <c r="L94" i="51" s="1"/>
  <c r="L125" i="51" s="1"/>
  <c r="K137" i="51"/>
  <c r="K135" i="51"/>
  <c r="K136" i="51"/>
  <c r="L46" i="51"/>
  <c r="K62" i="50"/>
  <c r="K121" i="50" s="1"/>
  <c r="L30" i="50" s="1"/>
  <c r="K70" i="50"/>
  <c r="K122" i="50" s="1"/>
  <c r="L31" i="50" s="1"/>
  <c r="K130" i="49"/>
  <c r="L29" i="49"/>
  <c r="K129" i="49"/>
  <c r="P13" i="2"/>
  <c r="L42" i="51" l="1"/>
  <c r="L43" i="51"/>
  <c r="L51" i="51" s="1"/>
  <c r="L50" i="51" s="1"/>
  <c r="L40" i="51"/>
  <c r="L41" i="51"/>
  <c r="K127" i="50"/>
  <c r="L37" i="49"/>
  <c r="K131" i="49"/>
  <c r="K134" i="49"/>
  <c r="K132" i="49"/>
  <c r="L38" i="49"/>
  <c r="L84" i="51" l="1"/>
  <c r="L86" i="51" s="1"/>
  <c r="L124" i="51" s="1"/>
  <c r="L48" i="51"/>
  <c r="L60" i="51" s="1"/>
  <c r="L76" i="51"/>
  <c r="L49" i="51"/>
  <c r="L68" i="51" s="1"/>
  <c r="K129" i="50"/>
  <c r="L29" i="50"/>
  <c r="K130" i="50"/>
  <c r="L46" i="49"/>
  <c r="K136" i="49"/>
  <c r="K135" i="49"/>
  <c r="K137" i="49"/>
  <c r="L39" i="49"/>
  <c r="L69" i="51" l="1"/>
  <c r="L115" i="51" s="1"/>
  <c r="L140" i="51" s="1"/>
  <c r="L77" i="51"/>
  <c r="L116" i="51" s="1"/>
  <c r="L61" i="51"/>
  <c r="L114" i="51" s="1"/>
  <c r="L38" i="50"/>
  <c r="K132" i="50"/>
  <c r="K134" i="50"/>
  <c r="K131" i="50"/>
  <c r="L37" i="50"/>
  <c r="L43" i="49"/>
  <c r="L51" i="49" s="1"/>
  <c r="L41" i="49"/>
  <c r="L40" i="49"/>
  <c r="L42" i="49"/>
  <c r="L62" i="51" l="1"/>
  <c r="L121" i="51" s="1"/>
  <c r="L39" i="50"/>
  <c r="L40" i="50" s="1"/>
  <c r="L78" i="51"/>
  <c r="L123" i="51" s="1"/>
  <c r="L70" i="51"/>
  <c r="L122" i="51" s="1"/>
  <c r="L50" i="49"/>
  <c r="L48" i="49" s="1"/>
  <c r="K135" i="50"/>
  <c r="K136" i="50"/>
  <c r="K137" i="50"/>
  <c r="L46" i="50"/>
  <c r="L84" i="49"/>
  <c r="L86" i="49" s="1"/>
  <c r="L124" i="49" s="1"/>
  <c r="L42" i="50" l="1"/>
  <c r="L43" i="50"/>
  <c r="L51" i="50" s="1"/>
  <c r="L50" i="50" s="1"/>
  <c r="L48" i="50" s="1"/>
  <c r="L41" i="50"/>
  <c r="L127" i="51"/>
  <c r="L129" i="51" s="1"/>
  <c r="L76" i="49"/>
  <c r="L77" i="49" s="1"/>
  <c r="L116" i="49" s="1"/>
  <c r="L49" i="49"/>
  <c r="L60" i="49"/>
  <c r="L130" i="51" l="1"/>
  <c r="L132" i="51" s="1"/>
  <c r="L84" i="50"/>
  <c r="L86" i="50" s="1"/>
  <c r="L124" i="50" s="1"/>
  <c r="L134" i="51"/>
  <c r="L131" i="51"/>
  <c r="L76" i="50"/>
  <c r="L77" i="50" s="1"/>
  <c r="L116" i="50" s="1"/>
  <c r="L49" i="50"/>
  <c r="L68" i="49"/>
  <c r="L69" i="49" s="1"/>
  <c r="L115" i="49" s="1"/>
  <c r="L140" i="49" s="1"/>
  <c r="L78" i="49"/>
  <c r="L123" i="49" s="1"/>
  <c r="L61" i="49"/>
  <c r="L114" i="49" s="1"/>
  <c r="L135" i="51" l="1"/>
  <c r="L137" i="51"/>
  <c r="L136" i="51"/>
  <c r="L62" i="49"/>
  <c r="L121" i="49" s="1"/>
  <c r="L60" i="50"/>
  <c r="L68" i="50"/>
  <c r="L78" i="50"/>
  <c r="L123" i="50" s="1"/>
  <c r="L70" i="49"/>
  <c r="L122" i="49" s="1"/>
  <c r="L127" i="49" l="1"/>
  <c r="L129" i="49" s="1"/>
  <c r="L69" i="50"/>
  <c r="L115" i="50" s="1"/>
  <c r="L140" i="50" s="1"/>
  <c r="L61" i="50"/>
  <c r="L114" i="50" s="1"/>
  <c r="L130" i="49" l="1"/>
  <c r="L132" i="49" s="1"/>
  <c r="L62" i="50"/>
  <c r="L121" i="50" s="1"/>
  <c r="L70" i="50"/>
  <c r="L122" i="50" s="1"/>
  <c r="L131" i="49"/>
  <c r="L134" i="49"/>
  <c r="L127" i="50" l="1"/>
  <c r="L129" i="50" s="1"/>
  <c r="L136" i="49"/>
  <c r="L135" i="49"/>
  <c r="L137" i="49"/>
  <c r="L130" i="50" l="1"/>
  <c r="L132" i="50" s="1"/>
  <c r="L134" i="50"/>
  <c r="L131" i="50"/>
  <c r="L135" i="50" l="1"/>
  <c r="L136" i="50"/>
  <c r="L137" i="50"/>
  <c r="C91" i="33" l="1"/>
  <c r="C59" i="33" l="1"/>
  <c r="C75" i="33"/>
  <c r="C67" i="33"/>
  <c r="C127" i="33"/>
  <c r="D29" i="33" s="1"/>
  <c r="C83" i="33"/>
  <c r="C130" i="33" l="1"/>
  <c r="C129" i="33"/>
  <c r="C131" i="33" s="1"/>
  <c r="C137" i="33" l="1"/>
  <c r="C135" i="33"/>
  <c r="C136" i="33"/>
  <c r="C132" i="33"/>
  <c r="D38" i="33"/>
  <c r="D46" i="33" s="1"/>
  <c r="C134" i="33"/>
  <c r="D37" i="33"/>
  <c r="D39" i="33" l="1"/>
  <c r="D42" i="33" l="1"/>
  <c r="D43" i="33"/>
  <c r="D51" i="33" s="1"/>
  <c r="D44" i="33"/>
  <c r="D40" i="33"/>
  <c r="D41" i="33"/>
  <c r="D50" i="33" l="1"/>
  <c r="D49" i="33" s="1"/>
  <c r="D92" i="33"/>
  <c r="D48" i="33" l="1"/>
  <c r="D94" i="33"/>
  <c r="D125" i="33" s="1"/>
  <c r="E34" i="33" s="1"/>
  <c r="D84" i="33" l="1"/>
  <c r="D117" i="33" l="1"/>
  <c r="D76" i="33"/>
  <c r="D86" i="33" l="1"/>
  <c r="D124" i="33" s="1"/>
  <c r="E33" i="33" s="1"/>
  <c r="D116" i="33"/>
  <c r="D68" i="33"/>
  <c r="D70" i="33" s="1"/>
  <c r="D122" i="33" s="1"/>
  <c r="D78" i="33" l="1"/>
  <c r="D123" i="33" s="1"/>
  <c r="E32" i="33" s="1"/>
  <c r="E31" i="33"/>
  <c r="D60" i="33"/>
  <c r="D62" i="33" l="1"/>
  <c r="D121" i="33" s="1"/>
  <c r="E30" i="33" s="1"/>
  <c r="D127" i="33" l="1"/>
  <c r="E29" i="33" s="1"/>
  <c r="D129" i="33" l="1"/>
  <c r="D131" i="33" s="1"/>
  <c r="D130" i="33"/>
  <c r="D132" i="33" s="1"/>
  <c r="D136" i="33" l="1"/>
  <c r="D137" i="33"/>
  <c r="D135" i="33"/>
  <c r="E38" i="33"/>
  <c r="E46" i="33" s="1"/>
  <c r="D134" i="33"/>
  <c r="E37" i="33"/>
  <c r="E39" i="33" l="1"/>
  <c r="E40" i="33" s="1"/>
  <c r="E42" i="33" l="1"/>
  <c r="E44" i="33"/>
  <c r="E92" i="33" s="1"/>
  <c r="E94" i="33" s="1"/>
  <c r="E125" i="33" s="1"/>
  <c r="F34" i="33" s="1"/>
  <c r="E41" i="33"/>
  <c r="E43" i="33"/>
  <c r="E51" i="33" s="1"/>
  <c r="E50" i="33" l="1"/>
  <c r="E84" i="33"/>
  <c r="E117" i="33" s="1"/>
  <c r="E116" i="33"/>
  <c r="E76" i="33" l="1"/>
  <c r="E78" i="33" s="1"/>
  <c r="E123" i="33" s="1"/>
  <c r="F32" i="33" s="1"/>
  <c r="E49" i="33"/>
  <c r="E86" i="33"/>
  <c r="E124" i="33" s="1"/>
  <c r="F33" i="33" s="1"/>
  <c r="E48" i="33" l="1"/>
  <c r="E68" i="33"/>
  <c r="E70" i="33" s="1"/>
  <c r="E122" i="33" s="1"/>
  <c r="F31" i="33" s="1"/>
  <c r="E60" i="33" l="1"/>
  <c r="E62" i="33" s="1"/>
  <c r="E121" i="33" s="1"/>
  <c r="F30" i="33" s="1"/>
  <c r="E127" i="33" l="1"/>
  <c r="F29" i="33" s="1"/>
  <c r="E129" i="33" l="1"/>
  <c r="E131" i="33" s="1"/>
  <c r="E136" i="33" s="1"/>
  <c r="E130" i="33"/>
  <c r="E132" i="33" s="1"/>
  <c r="F44" i="33"/>
  <c r="F92" i="33" s="1"/>
  <c r="F38" i="33" l="1"/>
  <c r="F46" i="33" s="1"/>
  <c r="E134" i="33"/>
  <c r="F37" i="33"/>
  <c r="E135" i="33"/>
  <c r="E137" i="33"/>
  <c r="F94" i="33"/>
  <c r="F125" i="33" s="1"/>
  <c r="G34" i="33" s="1"/>
  <c r="F39" i="33" l="1"/>
  <c r="F40" i="33" s="1"/>
  <c r="F43" i="33" l="1"/>
  <c r="F51" i="33" s="1"/>
  <c r="F50" i="33" s="1"/>
  <c r="F49" i="33" s="1"/>
  <c r="F48" i="33" s="1"/>
  <c r="F41" i="33"/>
  <c r="F42" i="33"/>
  <c r="F117" i="33"/>
  <c r="F84" i="33" l="1"/>
  <c r="F86" i="33" s="1"/>
  <c r="F124" i="33" s="1"/>
  <c r="G33" i="33" s="1"/>
  <c r="F76" i="33"/>
  <c r="F116" i="33"/>
  <c r="F68" i="33"/>
  <c r="F70" i="33" s="1"/>
  <c r="F122" i="33" s="1"/>
  <c r="F78" i="33" l="1"/>
  <c r="F123" i="33" s="1"/>
  <c r="G32" i="33" s="1"/>
  <c r="G31" i="33"/>
  <c r="F60" i="33"/>
  <c r="F62" i="33" s="1"/>
  <c r="F121" i="33" s="1"/>
  <c r="G30" i="33" s="1"/>
  <c r="F127" i="33" l="1"/>
  <c r="G29" i="33" s="1"/>
  <c r="F129" i="33" l="1"/>
  <c r="F131" i="33" s="1"/>
  <c r="F130" i="33"/>
  <c r="F132" i="33" s="1"/>
  <c r="F136" i="33" l="1"/>
  <c r="F137" i="33"/>
  <c r="F135" i="33"/>
  <c r="G38" i="33"/>
  <c r="G46" i="33" s="1"/>
  <c r="F134" i="33"/>
  <c r="G37" i="33"/>
  <c r="G39" i="33" l="1"/>
  <c r="G42" i="33" s="1"/>
  <c r="G44" i="33"/>
  <c r="G92" i="33" s="1"/>
  <c r="G41" i="33" l="1"/>
  <c r="G43" i="33"/>
  <c r="G51" i="33" s="1"/>
  <c r="G50" i="33" s="1"/>
  <c r="G49" i="33" s="1"/>
  <c r="G48" i="33" s="1"/>
  <c r="G40" i="33"/>
  <c r="G94" i="33"/>
  <c r="G125" i="33" s="1"/>
  <c r="G84" i="33" l="1"/>
  <c r="G117" i="33" l="1"/>
  <c r="G76" i="33"/>
  <c r="G86" i="33" l="1"/>
  <c r="G124" i="33" s="1"/>
  <c r="G116" i="33"/>
  <c r="G68" i="33"/>
  <c r="G70" i="33" s="1"/>
  <c r="G122" i="33" s="1"/>
  <c r="G78" i="33" l="1"/>
  <c r="G123" i="33" s="1"/>
  <c r="G60" i="33"/>
  <c r="G62" i="33" s="1"/>
  <c r="G121" i="33" s="1"/>
  <c r="G127" i="33" l="1"/>
  <c r="G129" i="33" l="1"/>
  <c r="G131" i="33" s="1"/>
  <c r="G130" i="33"/>
  <c r="G132" i="33" s="1"/>
  <c r="G136" i="33" l="1"/>
  <c r="G137" i="33"/>
  <c r="G135" i="33"/>
  <c r="G134" i="33"/>
</calcChain>
</file>

<file path=xl/sharedStrings.xml><?xml version="1.0" encoding="utf-8"?>
<sst xmlns="http://schemas.openxmlformats.org/spreadsheetml/2006/main" count="1225" uniqueCount="478">
  <si>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</si>
  <si>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</si>
  <si>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</si>
  <si>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</si>
  <si>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</si>
  <si>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</si>
  <si>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</si>
  <si>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</si>
  <si>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</si>
  <si>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</si>
  <si>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</si>
  <si>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</si>
  <si>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</si>
  <si>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</si>
  <si>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</si>
  <si>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</si>
  <si>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</si>
  <si>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</si>
  <si>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</si>
  <si>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</si>
  <si>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</si>
  <si>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</si>
  <si>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</si>
  <si>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</si>
  <si>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</si>
  <si>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</si>
  <si>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</si>
  <si>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</si>
  <si>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</si>
  <si>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</si>
  <si>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</si>
  <si>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</si>
  <si>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</si>
  <si>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</si>
  <si>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</si>
  <si>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</si>
  <si>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</si>
  <si>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</si>
  <si>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</si>
  <si>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</si>
  <si>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</si>
  <si>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</si>
  <si>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</si>
  <si>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</si>
  <si>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</si>
  <si>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</si>
  <si>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</si>
  <si>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</si>
  <si>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</si>
  <si>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</si>
  <si>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</si>
  <si>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</si>
  <si>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</si>
  <si>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</si>
  <si>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</si>
  <si>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</si>
  <si>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</si>
  <si>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</si>
  <si>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</si>
  <si>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</si>
  <si>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</si>
  <si>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</si>
  <si>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</si>
  <si>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</si>
  <si>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</si>
  <si>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</si>
  <si>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</si>
  <si>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</si>
  <si>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</si>
  <si>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</si>
  <si>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</si>
  <si>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</si>
  <si>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</si>
  <si>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</si>
  <si>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</si>
  <si>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</si>
  <si>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</si>
  <si>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</si>
  <si>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</si>
  <si>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</si>
  <si>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</si>
  <si>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</si>
  <si>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</si>
  <si>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</si>
  <si>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</si>
  <si>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</si>
  <si>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</si>
  <si>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</si>
  <si>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</si>
  <si>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</si>
  <si>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</si>
  <si>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</si>
  <si>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</si>
  <si>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</si>
  <si>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</si>
  <si>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</si>
  <si>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</si>
  <si>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</si>
  <si>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</si>
  <si>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</si>
  <si>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</si>
  <si>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</si>
  <si>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</si>
  <si>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</si>
  <si>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</si>
  <si>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</si>
  <si>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</si>
  <si>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</si>
  <si>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</si>
  <si>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</si>
  <si>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</si>
  <si>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</si>
  <si>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</si>
  <si>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</si>
  <si>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</si>
  <si>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</si>
  <si>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</si>
  <si>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</si>
  <si>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</si>
  <si>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</si>
  <si>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</si>
  <si>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</si>
  <si>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</si>
  <si>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</si>
  <si>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</si>
  <si>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</si>
  <si>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</si>
  <si>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</si>
  <si>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</si>
  <si>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</si>
  <si>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</si>
  <si>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</si>
  <si>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</si>
  <si>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</si>
  <si>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</si>
  <si>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</si>
  <si>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</si>
  <si>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</si>
  <si>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</si>
  <si>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 xml:space="preserve">   Starting storage (million acre feet)</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</si>
  <si>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</si>
  <si>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</si>
  <si>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</si>
  <si>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</si>
  <si>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</si>
  <si>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Colorado River Delta</t>
  </si>
  <si>
    <t>Sales (+) and Purchases (-) [in maf]</t>
  </si>
  <si>
    <t>Total ($ Mill)</t>
  </si>
  <si>
    <t>Define the Roles (water users), the person playing, and each user's strategy in Cells A5 to C11 (Up to 6 players):</t>
  </si>
  <si>
    <t>Law of River operations</t>
  </si>
  <si>
    <t>David R.</t>
  </si>
  <si>
    <t>11.0 maf every year natural flow to Lake Powell</t>
  </si>
  <si>
    <t>Blank emplate. Duplicate this worksheet before using. See directions above for use.</t>
  </si>
  <si>
    <t>Millennium-Plots</t>
  </si>
  <si>
    <t>Shared, Reserve</t>
  </si>
  <si>
    <t>Versions</t>
  </si>
  <si>
    <t>Date Implimented</t>
  </si>
  <si>
    <t>Changes</t>
  </si>
  <si>
    <t>Suggested By</t>
  </si>
  <si>
    <t>Implemented By</t>
  </si>
  <si>
    <t>Date Suggested</t>
  </si>
  <si>
    <t>Add version control worksheet. List versions</t>
  </si>
  <si>
    <t>David Tarboton, Homa Salahebadi</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</si>
  <si>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</si>
  <si>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</si>
  <si>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</si>
  <si>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</si>
  <si>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</si>
  <si>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</si>
  <si>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</si>
  <si>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</si>
  <si>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</si>
  <si>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</si>
  <si>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</si>
  <si>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</si>
  <si>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</si>
  <si>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</si>
  <si>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</si>
  <si>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</si>
  <si>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</si>
  <si>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</si>
  <si>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</si>
  <si>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</si>
  <si>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</si>
  <si>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</si>
  <si>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</si>
  <si>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</si>
  <si>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</si>
  <si>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</si>
  <si>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</si>
  <si>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</si>
  <si>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</si>
  <si>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</si>
  <si>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</si>
  <si>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</si>
  <si>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</si>
  <si>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</si>
  <si>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</si>
  <si>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Pilot flex accounting to encourage more water conservation in a combined Lake Powell-Lake Mead system</t>
  </si>
  <si>
    <t>3.3.5</t>
  </si>
  <si>
    <t>Combined Storage</t>
  </si>
  <si>
    <t>Author Contact Information</t>
  </si>
  <si>
    <t>David E. Rosenberg</t>
  </si>
  <si>
    <t>Utah State University</t>
  </si>
  <si>
    <t>david.rosenberg@usu.edu, 435-797-8689</t>
  </si>
  <si>
    <t>Most Recent Version</t>
  </si>
  <si>
    <t>http://rosenberg.usu.edu</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</si>
  <si>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</si>
  <si>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</si>
  <si>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</si>
  <si>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</si>
  <si>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</si>
  <si>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</si>
  <si>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</si>
  <si>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</si>
  <si>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</si>
  <si>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</si>
  <si>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</si>
  <si>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</si>
  <si>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</si>
  <si>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</si>
  <si>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</si>
  <si>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</si>
  <si>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</si>
  <si>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Visit https://github.com/dzeke/ColoradoRiverFutures/tree/master/ModelMusings to download the most recent version of this workbook.</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</si>
  <si>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</si>
  <si>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</si>
  <si>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</si>
  <si>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</si>
  <si>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</si>
  <si>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</si>
  <si>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</si>
  <si>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</si>
  <si>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</si>
  <si>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</si>
  <si>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</si>
  <si>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</si>
  <si>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</si>
  <si>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</si>
  <si>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</si>
  <si>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</si>
  <si>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</si>
  <si>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</si>
  <si>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</si>
  <si>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</si>
  <si>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</si>
  <si>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Stakeholder</t>
  </si>
  <si>
    <t>Add Lake Mead and Lake Powell elevations at bottom</t>
  </si>
  <si>
    <t>Decision Making under Deep Uncertainty for each player. Each player can explore their risk individually and separate from other's choices</t>
  </si>
  <si>
    <t>Think about adaptive management. What signposts? What vulnerability?</t>
  </si>
  <si>
    <t>Model Equalization rules in detail.</t>
  </si>
  <si>
    <t>Plots of Lower and Upper Basin Consumptive Use and Account Balances that compare results for 7.5-Trade and 7.5-LawOfRiver operations. Also a plot of combined storage.</t>
  </si>
  <si>
    <t>A completed role play with Lee Ferry natural flows of 11.0, 9.0, and 8.5 maf per year in first three years.  Law of River operations. 8.5 maf is the flow when Upper Basin is curtailed (8.23 maf + Powell evaporation).</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</si>
  <si>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</si>
  <si>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</si>
  <si>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</si>
  <si>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</si>
  <si>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</si>
  <si>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</si>
  <si>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</si>
  <si>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</si>
  <si>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</si>
  <si>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</si>
  <si>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</si>
  <si>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</si>
  <si>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</si>
  <si>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</si>
  <si>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</si>
  <si>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Powell Release</t>
  </si>
  <si>
    <t xml:space="preserve">     To store physically</t>
  </si>
  <si>
    <t>&lt; 12</t>
  </si>
  <si>
    <t>&lt; 15</t>
  </si>
  <si>
    <t>&lt; 18</t>
  </si>
  <si>
    <t>&gt; 18</t>
  </si>
  <si>
    <t>See PowellRelease worksheet. Wheeler et al (2021). p.48, Sidebar #1. https://qcnr.usu.edu/coloradoriver/files/WhitePaper6.pdf</t>
  </si>
  <si>
    <t>3.3.10</t>
  </si>
  <si>
    <t>7/26/20201</t>
  </si>
  <si>
    <t>Estimate Lake Powell temperature release from elevation. At bottom.</t>
  </si>
  <si>
    <t>Havasu / Parker evaporation and ET</t>
  </si>
  <si>
    <t>Combined Natural Inflow minus Havasu/Parker Evap.</t>
  </si>
  <si>
    <t>3.4.0</t>
  </si>
  <si>
    <t>Increased relative abundance of native fishes in  western Grand Canyon, but other factors also likely  contribute to these trends</t>
  </si>
  <si>
    <t>Increased relative abundance</t>
  </si>
  <si>
    <t xml:space="preserve">     Water temperature (oC)</t>
  </si>
  <si>
    <t xml:space="preserve">     Suitability for native fish</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</si>
  <si>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</si>
  <si>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</si>
  <si>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</si>
  <si>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</si>
  <si>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</si>
  <si>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</si>
  <si>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</si>
  <si>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</si>
  <si>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</si>
  <si>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Suggestions</t>
  </si>
  <si>
    <t>1) Withdraw ~4.2 maf/year (historical minus Lake Powell Evaporation)</t>
  </si>
  <si>
    <t>11.6 maf initial, No withdraw, keep account balance steady</t>
  </si>
  <si>
    <t>Sell some to Lower Basin to build conservation ethic. Buy some from Mexico in depth of drought</t>
  </si>
  <si>
    <t>Purchase some from Upper Basin and Mexico to delay shortage onset</t>
  </si>
  <si>
    <t>Sell some water to Lower and Upper basin during drought</t>
  </si>
  <si>
    <t>2) Cutback from 7.5 maf/year based on Lake Mead elevation (see LowerBasinCuts worksheet)</t>
  </si>
  <si>
    <t>3) Cutback frome 1.5 maf/year as Lake Mead elevation falls (see LowerBasinCuts worksheet)</t>
  </si>
  <si>
    <t>Indiviudal political (player) decision - Flex account</t>
  </si>
  <si>
    <t>Joint political decision</t>
  </si>
  <si>
    <t>Follow Law of River operations</t>
  </si>
  <si>
    <t>11.6 maf initial, maintain account balance throughout</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</si>
  <si>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</si>
  <si>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</si>
  <si>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</si>
  <si>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</si>
  <si>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</si>
  <si>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</si>
  <si>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</si>
  <si>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</si>
  <si>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Individual political (player) decision - Flex account</t>
  </si>
  <si>
    <t>3.4.5</t>
  </si>
  <si>
    <t>Link Today sheet to Today-LawofRiver so people can compare on Today-Plots</t>
  </si>
  <si>
    <t>8.1-Trade</t>
  </si>
  <si>
    <t>8.1-LawOfRiver</t>
  </si>
  <si>
    <t>8.1-Plots</t>
  </si>
  <si>
    <t>A completed role play with Lee Ferry natural flows of 11.0, 9.0, and 8.1 maf per year in first three years.  Allows trades between users. Upper Basin sells to Lower Basin in Year 1 to spark conservation efforts in advance of curtailment and Upper Basin buys from Lower Basin in years 2 and 3. 8.1 maf is the flow when Upper Basin is curtailed (8.23 maf + Powell evaporation).</t>
  </si>
  <si>
    <t xml:space="preserve">   Prior 9 year Lake Powell Release (maf)</t>
  </si>
  <si>
    <t>Mead to Imperial Dam intervening inflow</t>
  </si>
  <si>
    <t>Account for joint power revenues from Mead and Powell</t>
  </si>
  <si>
    <t>David R., Funder, Reclamation</t>
  </si>
  <si>
    <t>The inflow to the shared, reserved is drawn from the Lake Powell natural flow and Grand Canyon tributary flow in proportion to protection volumes in Lake Powell and Lake Mead.</t>
  </si>
  <si>
    <t>Used to determine how much water the Upper Basin must deliver in model Year 1 (10th year of lookback)</t>
  </si>
  <si>
    <t>Row 48</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</si>
  <si>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</si>
  <si>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</si>
  <si>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</si>
  <si>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</si>
  <si>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</si>
  <si>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</si>
  <si>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</si>
  <si>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</si>
  <si>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Protect elevations 1,020 and 3,525 feet in Mead and Powell</t>
  </si>
  <si>
    <t>3.6.1</t>
  </si>
  <si>
    <t>Fixed error in how inflow for Shared, Reserve account is divided between Upper and Lower Basin when Upper Basin got no inflow.</t>
  </si>
  <si>
    <t>Moved Colorado River Delta account to Master and Master-LawOfRiver worksheets</t>
  </si>
  <si>
    <t>Individual and Collective Benefits of Pilot Flex Accounting</t>
  </si>
  <si>
    <t>2) Parties manage all available water not just prior conserved water (Intentionally Created Surplus balances).</t>
  </si>
  <si>
    <t>3) Adapt parties consumption and conservation decisions to basin inflows to give more flexibility to slow reservoir draw down.</t>
  </si>
  <si>
    <t>4) Include more parties such as Colorado River Delta managers.</t>
  </si>
  <si>
    <t>See Powell Release Temperature sheet and Wheeler et al, 2021, Sidebar 1, p. 47</t>
  </si>
  <si>
    <t>Storage Volume (MAF)</t>
  </si>
  <si>
    <t>Season Martin</t>
  </si>
  <si>
    <t>Purchases (+) and Sales (-) [in maf]</t>
  </si>
  <si>
    <t>Account Withdrawals [in maf]</t>
  </si>
  <si>
    <t>Combined Storage - End of Year [maf]</t>
  </si>
  <si>
    <t xml:space="preserve">     Turbine release water temperature (oC)</t>
  </si>
  <si>
    <t xml:space="preserve">     Suitability for native, endangered fish</t>
  </si>
  <si>
    <t>Purchases (+) and Sales(-) [in maf]</t>
  </si>
  <si>
    <t>Account Withdrawals [maf]</t>
  </si>
  <si>
    <t>Account end-of-year balance (Available water - Account Withdrawals) [maf]</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</si>
  <si>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</si>
  <si>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</si>
  <si>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</si>
  <si>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</si>
  <si>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</si>
  <si>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</si>
  <si>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</si>
  <si>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</si>
  <si>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</si>
  <si>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</si>
  <si>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t>5) Parties access stored water while have more flexibility to protect temperature needs of endangered Grand Canyon fish and delay triggering Endangered Species Act.</t>
  </si>
  <si>
    <t>6) Carry existing Lower Basin and Mexico conservation account balances into flex accounts.</t>
  </si>
  <si>
    <t>7) Nudge "my basin", "my reservoir", and "my contingency plan" mentality towards "our" reservoirs.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</si>
  <si>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</si>
  <si>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</si>
  <si>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</si>
  <si>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</si>
  <si>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</si>
  <si>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</si>
  <si>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</si>
  <si>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</si>
  <si>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Formula used to calculate cell such as reservoir evaporation or a party's available water.</t>
  </si>
  <si>
    <t>Decisions parties make together such as the reservoir protection elevations, how to split existing storage and inflow among parties, or how to split combined storage between Lake Powell and Lake Mead.</t>
  </si>
  <si>
    <t>Flow and evaporation assumptions required by the model. Parties agree on this data and information.</t>
  </si>
  <si>
    <t>Explanation</t>
  </si>
  <si>
    <t xml:space="preserve">Cell Type </t>
  </si>
  <si>
    <t>1B. Make assumptions</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</si>
  <si>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</si>
  <si>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</si>
  <si>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</si>
  <si>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</si>
  <si>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</si>
  <si>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</si>
  <si>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</si>
  <si>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</si>
  <si>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</si>
  <si>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</si>
  <si>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</si>
  <si>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1. Assign the Parties, person playing, and each party's strategy in Cells A5 to C11 (Up to 5 players):</t>
  </si>
  <si>
    <t>A party's strategy including decisions such as conservation, consumption, sales, purchaces from a party's flex account.</t>
  </si>
  <si>
    <t>https://github.com/dzeke/ColoradoRiverCoding/blob/main/ModelMusings/Support/ModelGuide/ModelGuide-CombinedLakePowellLakeMead.md#get-started</t>
  </si>
  <si>
    <t>Visualize Key Ideas: https://github.com/dzeke/ColoradoRiverCoding/raw/main/ModelMusings/PilotFlexAccounting-KeyIdeas.pdf</t>
  </si>
  <si>
    <t>Adapt Lake Mead releases to inflows: https://digitalcommons.usu.edu/water_pubs/170/</t>
  </si>
  <si>
    <t>DESCRIPTION</t>
  </si>
  <si>
    <t>GET STARTED</t>
  </si>
  <si>
    <r>
      <t xml:space="preserve">2. Follow the </t>
    </r>
    <r>
      <rPr>
        <b/>
        <sz val="11"/>
        <color theme="1"/>
        <rFont val="Calibri"/>
        <family val="2"/>
        <scheme val="minor"/>
      </rPr>
      <t>Get Started</t>
    </r>
    <r>
      <rPr>
        <sz val="11"/>
        <color theme="1"/>
        <rFont val="Calibri"/>
        <family val="2"/>
        <scheme val="minor"/>
      </rPr>
      <t xml:space="preserve"> instructions in the </t>
    </r>
    <r>
      <rPr>
        <b/>
        <sz val="11"/>
        <color theme="1"/>
        <rFont val="Calibri"/>
        <family val="2"/>
        <scheme val="minor"/>
      </rPr>
      <t>Synchronous Model Guide</t>
    </r>
    <r>
      <rPr>
        <sz val="11"/>
        <color theme="1"/>
        <rFont val="Calibri"/>
        <family val="2"/>
        <scheme val="minor"/>
      </rPr>
      <t>.</t>
    </r>
  </si>
  <si>
    <t>3. At any time, consult the Help link in Column N of the Master worksheet.</t>
  </si>
  <si>
    <t>4. Open the Master worksheet and follow directions.</t>
  </si>
  <si>
    <t>Synchronous Model Guide (Help)</t>
  </si>
  <si>
    <t>https://github.com/dzeke/ColoradoRiverCoding/blob/main/ModelMusings/Support/ModelGuide/ModelGuide-CombinedLakePowellLakeMead.md</t>
  </si>
  <si>
    <t>WORKSHEET DESCRIPTIONS</t>
  </si>
  <si>
    <t>Multiple people</t>
  </si>
  <si>
    <t>Multiple dates</t>
  </si>
  <si>
    <t xml:space="preserve">   Start storage (million acre feet)</t>
  </si>
  <si>
    <t>6. SUMMARY of PLAYER ACTIONS</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</si>
  <si>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</si>
  <si>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</si>
  <si>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</si>
  <si>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</si>
  <si>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</si>
  <si>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</si>
  <si>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</si>
  <si>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</si>
  <si>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</si>
  <si>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</si>
  <si>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</si>
  <si>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</si>
  <si>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</si>
  <si>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</si>
  <si>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</si>
  <si>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</si>
  <si>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</si>
  <si>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</si>
  <si>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</si>
  <si>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</si>
  <si>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</si>
  <si>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</si>
  <si>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</si>
  <si>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</si>
  <si>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</si>
  <si>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</si>
  <si>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</si>
  <si>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</si>
  <si>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</si>
  <si>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</si>
  <si>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</si>
  <si>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</si>
  <si>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</si>
  <si>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</si>
  <si>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</si>
  <si>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</si>
  <si>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</si>
  <si>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</si>
  <si>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</si>
  <si>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</si>
  <si>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</si>
  <si>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online linked help. Make links text</t>
  </si>
  <si>
    <t>Remove 9-year overdelivery by Upper Basin</t>
  </si>
  <si>
    <t>First Nations</t>
  </si>
  <si>
    <t>Add First Nations account. It gets 2.01 maf share of inflow.</t>
  </si>
  <si>
    <t>3.8.1</t>
  </si>
  <si>
    <t>3.8.2</t>
  </si>
  <si>
    <t>3.9</t>
  </si>
  <si>
    <t>Water Manager; David R.</t>
  </si>
  <si>
    <t>Add Headwaters storage</t>
  </si>
  <si>
    <t>Add Parker/Havasu storage</t>
  </si>
  <si>
    <t xml:space="preserve">   Upper Basin pre-1922 water rights (maf)</t>
  </si>
  <si>
    <t>1922+Remain</t>
  </si>
  <si>
    <t>Year Value</t>
  </si>
  <si>
    <t>4.0</t>
  </si>
  <si>
    <t>Upper Basin pre 1922 rights takes priority over Lower Basin. Assign share of inflow by buckets for Lake Powell Natural, Grand Canyon Interveneing</t>
  </si>
  <si>
    <t>Kristi Hansen, David R.</t>
  </si>
  <si>
    <t>4.1</t>
  </si>
  <si>
    <t>Prorate Parker/Havasu to Lower Basin, Mexico, and Lower Basin First Nations.</t>
  </si>
  <si>
    <t>Help pre-1922 water rights</t>
  </si>
  <si>
    <r>
      <t xml:space="preserve">The purpose of this numerical model is to promote thought and discussion about renegotiations of the 2007 Colorado River Interim Guidelines </t>
    </r>
    <r>
      <rPr>
        <sz val="11"/>
        <color theme="1"/>
        <rFont val="Calibri"/>
        <family val="2"/>
        <scheme val="minor"/>
      </rPr>
      <t xml:space="preserve">and the </t>
    </r>
    <r>
      <rPr>
        <b/>
        <sz val="11"/>
        <color theme="1"/>
        <rFont val="Calibri"/>
        <family val="2"/>
        <scheme val="minor"/>
      </rPr>
      <t>2019 Lower and Upper Basin Drought Contingency Plans.</t>
    </r>
    <r>
      <rPr>
        <sz val="11"/>
        <color theme="1"/>
        <rFont val="Calibri"/>
        <family val="2"/>
        <scheme val="minor"/>
      </rPr>
      <t xml:space="preserve"> </t>
    </r>
    <r>
      <rPr>
        <b/>
        <sz val="11"/>
        <color theme="1"/>
        <rFont val="Calibri"/>
        <family val="2"/>
        <scheme val="minor"/>
      </rPr>
      <t>The operations expire in 2026</t>
    </r>
    <r>
      <rPr>
        <sz val="11"/>
        <color theme="1"/>
        <rFont val="Calibri"/>
        <family val="2"/>
        <scheme val="minor"/>
      </rPr>
      <t>. More specifically: how to convert the Colorado River basin in drought -- a shrinking pie (lose-lose) environmental conflict -- to be more positive for people and endangered fish of the Grand Canyon?</t>
    </r>
  </si>
  <si>
    <r>
      <rPr>
        <b/>
        <sz val="11"/>
        <color theme="1"/>
        <rFont val="Calibri"/>
        <family val="2"/>
        <scheme val="minor"/>
      </rPr>
      <t>1. Move this Excel workbook into your Google Drive. Invite p</t>
    </r>
    <r>
      <rPr>
        <sz val="11"/>
        <color theme="1"/>
        <rFont val="Calibri"/>
        <family val="2"/>
        <scheme val="minor"/>
      </rPr>
      <t>articipants to colaborate.</t>
    </r>
  </si>
  <si>
    <t>Lake Powell system</t>
  </si>
  <si>
    <t>??</t>
  </si>
  <si>
    <t>4.2</t>
  </si>
  <si>
    <t>Fix version numbers. Provide toggle for First Nations: Add name in A9 for separate account. Blank counts under Upper and Lower Basin accounts</t>
  </si>
  <si>
    <t>4.2.1</t>
  </si>
  <si>
    <t>Fix error in calculation of Lower Basin inflow share 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</si>
</sst>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s>
  <fonts count="17"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s>
  <fills count="22">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s>
  <borders count="22">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indexed="64"/>
      </left>
      <right style="thin">
        <color indexed="64"/>
      </right>
      <top/>
      <bottom style="thin">
        <color indexed="64"/>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xf numFmtId="0" fontId="5"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cellStyleXfs>
  <cellXfs count="275">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4" fontId="0" fillId="0" borderId="0" xfId="0" applyNumberFormat="1" applyAlignment="1">
      <alignment horizontal="center"/>
    </xf>
    <xf numFmtId="2" fontId="0" fillId="0" borderId="0" xfId="0" applyNumberFormat="1" applyAlignment="1">
      <alignment horizontal="center"/>
    </xf>
    <xf numFmtId="168" fontId="5" fillId="5" borderId="1" xfId="4" applyNumberFormat="1" applyFont="1" applyFill="1" applyBorder="1" applyAlignment="1">
      <alignment horizontal="center"/>
    </xf>
    <xf numFmtId="0" fontId="0" fillId="0" borderId="0" xfId="0" applyFont="1"/>
    <xf numFmtId="168" fontId="4" fillId="3" borderId="1" xfId="4" applyNumberFormat="1" applyFont="1" applyFill="1" applyBorder="1"/>
    <xf numFmtId="168"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2" fontId="4" fillId="3" borderId="1" xfId="3" applyNumberFormat="1" applyAlignment="1">
      <alignment horizontal="center"/>
    </xf>
    <xf numFmtId="0" fontId="1" fillId="0" borderId="9" xfId="0" applyFont="1" applyBorder="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1" fillId="0" borderId="0" xfId="0" applyFont="1" applyAlignment="1">
      <alignment horizontal="left" wrapText="1"/>
    </xf>
    <xf numFmtId="167" fontId="4" fillId="3" borderId="1" xfId="4" applyNumberFormat="1" applyFont="1" applyFill="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9" fontId="5" fillId="5" borderId="1" xfId="6" applyNumberFormat="1" applyBorder="1" applyAlignment="1">
      <alignment horizontal="center"/>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4" fillId="3"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8" fillId="0" borderId="0" xfId="0" applyFont="1"/>
    <xf numFmtId="166" fontId="0" fillId="10" borderId="9" xfId="1" applyNumberFormat="1" applyFont="1" applyFill="1" applyBorder="1" applyAlignment="1">
      <alignment horizontal="center" vertical="top" wrapText="1"/>
    </xf>
    <xf numFmtId="0" fontId="0" fillId="10" borderId="9" xfId="0" applyFont="1" applyFill="1" applyBorder="1" applyAlignment="1">
      <alignment horizontal="center" vertical="top" wrapText="1"/>
    </xf>
    <xf numFmtId="0" fontId="0" fillId="10" borderId="9" xfId="0" applyFont="1" applyFill="1" applyBorder="1" applyAlignment="1">
      <alignment vertical="center" wrapText="1"/>
    </xf>
    <xf numFmtId="166" fontId="2" fillId="10" borderId="9" xfId="1" applyNumberFormat="1" applyFont="1" applyFill="1" applyBorder="1" applyAlignment="1">
      <alignment horizontal="center" vertical="top" wrapText="1"/>
    </xf>
    <xf numFmtId="0" fontId="2" fillId="10" borderId="9" xfId="0" applyFont="1" applyFill="1" applyBorder="1" applyAlignment="1">
      <alignment horizontal="center" vertical="top" wrapText="1"/>
    </xf>
    <xf numFmtId="0" fontId="2" fillId="10" borderId="9" xfId="0" applyFont="1" applyFill="1" applyBorder="1" applyAlignment="1">
      <alignment vertical="center"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7" borderId="9" xfId="1" applyNumberFormat="1" applyFont="1" applyFill="1" applyBorder="1" applyAlignment="1">
      <alignment horizontal="center" vertical="top"/>
    </xf>
    <xf numFmtId="0" fontId="0" fillId="7" borderId="9" xfId="0" applyFill="1" applyBorder="1" applyAlignment="1">
      <alignment horizontal="center" vertical="top"/>
    </xf>
    <xf numFmtId="0" fontId="0" fillId="7" borderId="9" xfId="0" applyFill="1" applyBorder="1" applyAlignment="1">
      <alignment vertical="top" wrapText="1"/>
    </xf>
    <xf numFmtId="166" fontId="0" fillId="11" borderId="9" xfId="1" applyNumberFormat="1" applyFont="1" applyFill="1" applyBorder="1" applyAlignment="1">
      <alignment horizontal="center" vertical="top"/>
    </xf>
    <xf numFmtId="0" fontId="0" fillId="11" borderId="9" xfId="0" applyFill="1" applyBorder="1" applyAlignment="1">
      <alignment horizontal="center" vertical="top"/>
    </xf>
    <xf numFmtId="0" fontId="0" fillId="11" borderId="9" xfId="0" applyFill="1" applyBorder="1" applyAlignment="1">
      <alignment vertical="top" wrapText="1"/>
    </xf>
    <xf numFmtId="0" fontId="0" fillId="11" borderId="9" xfId="0" applyFill="1" applyBorder="1" applyAlignment="1">
      <alignment horizontal="left" vertical="top" wrapText="1"/>
    </xf>
    <xf numFmtId="166" fontId="0" fillId="10" borderId="1" xfId="1" applyNumberFormat="1" applyFont="1" applyFill="1" applyBorder="1" applyAlignment="1">
      <alignment horizontal="center" vertical="top"/>
    </xf>
    <xf numFmtId="0" fontId="5" fillId="5" borderId="9" xfId="6" applyBorder="1" applyAlignment="1">
      <alignment horizontal="center"/>
    </xf>
    <xf numFmtId="164" fontId="4" fillId="3" borderId="15" xfId="3" applyNumberFormat="1" applyBorder="1" applyAlignment="1">
      <alignment horizontal="center"/>
    </xf>
    <xf numFmtId="2" fontId="4" fillId="3" borderId="15" xfId="3" applyNumberFormat="1" applyBorder="1" applyAlignment="1">
      <alignment horizontal="center"/>
    </xf>
    <xf numFmtId="164" fontId="4" fillId="3" borderId="16" xfId="3" applyNumberFormat="1" applyBorder="1" applyAlignment="1">
      <alignment horizontal="center"/>
    </xf>
    <xf numFmtId="164" fontId="5" fillId="5" borderId="9" xfId="6" applyNumberFormat="1" applyBorder="1" applyAlignment="1">
      <alignment horizontal="center"/>
    </xf>
    <xf numFmtId="2" fontId="5" fillId="5" borderId="9" xfId="6" applyNumberFormat="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1" fontId="4" fillId="3" borderId="1" xfId="3" applyNumberFormat="1" applyAlignment="1">
      <alignment horizontal="center"/>
    </xf>
    <xf numFmtId="166" fontId="4" fillId="3"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10" borderId="9" xfId="0" applyFont="1" applyFill="1" applyBorder="1" applyAlignment="1">
      <alignment horizontal="center" vertical="center" wrapText="1"/>
    </xf>
    <xf numFmtId="0" fontId="0" fillId="10" borderId="9" xfId="0" applyFill="1" applyBorder="1" applyAlignment="1">
      <alignment horizontal="center" vertical="top" wrapText="1"/>
    </xf>
    <xf numFmtId="0" fontId="0" fillId="9" borderId="9" xfId="0" applyFill="1" applyBorder="1" applyAlignment="1">
      <alignment horizontal="center" vertical="top" wrapText="1"/>
    </xf>
    <xf numFmtId="0" fontId="0" fillId="7" borderId="9" xfId="0" applyFill="1" applyBorder="1" applyAlignment="1">
      <alignment horizontal="center" vertical="top" wrapText="1"/>
    </xf>
    <xf numFmtId="0" fontId="0" fillId="11" borderId="9" xfId="0" applyFill="1" applyBorder="1" applyAlignment="1">
      <alignment horizontal="center" vertical="top" wrapText="1"/>
    </xf>
    <xf numFmtId="0" fontId="2" fillId="14" borderId="9" xfId="10" applyBorder="1" applyAlignment="1">
      <alignment horizontal="center"/>
    </xf>
    <xf numFmtId="0" fontId="2" fillId="14" borderId="1" xfId="10" applyBorder="1" applyAlignment="1">
      <alignment horizontal="center"/>
    </xf>
    <xf numFmtId="167" fontId="2" fillId="14" borderId="1" xfId="10" applyNumberFormat="1" applyBorder="1" applyAlignment="1">
      <alignment horizontal="center"/>
    </xf>
    <xf numFmtId="164" fontId="2" fillId="14" borderId="1" xfId="10" applyNumberFormat="1" applyBorder="1" applyAlignment="1">
      <alignment horizontal="center"/>
    </xf>
    <xf numFmtId="0" fontId="0" fillId="14" borderId="9" xfId="10" applyFont="1" applyBorder="1" applyAlignment="1">
      <alignment horizontal="center"/>
    </xf>
    <xf numFmtId="9" fontId="5" fillId="5" borderId="9" xfId="5" applyFont="1" applyFill="1" applyBorder="1" applyAlignment="1">
      <alignment horizontal="center"/>
    </xf>
    <xf numFmtId="164" fontId="5" fillId="5" borderId="9" xfId="5" applyNumberFormat="1" applyFont="1" applyFill="1" applyBorder="1" applyAlignment="1">
      <alignment horizontal="center"/>
    </xf>
    <xf numFmtId="164" fontId="2" fillId="16" borderId="1" xfId="12" applyNumberFormat="1" applyBorder="1" applyAlignment="1">
      <alignment horizontal="center"/>
    </xf>
    <xf numFmtId="164" fontId="2" fillId="16" borderId="10" xfId="12" applyNumberFormat="1" applyBorder="1" applyAlignment="1">
      <alignment horizontal="center"/>
    </xf>
    <xf numFmtId="0" fontId="5" fillId="12" borderId="0" xfId="8"/>
    <xf numFmtId="0" fontId="2" fillId="13" borderId="0" xfId="9"/>
    <xf numFmtId="0" fontId="2" fillId="13" borderId="0" xfId="9" applyAlignment="1">
      <alignment horizontal="center"/>
    </xf>
    <xf numFmtId="0" fontId="9" fillId="12" borderId="0" xfId="8" applyFont="1"/>
    <xf numFmtId="0" fontId="1" fillId="15" borderId="9" xfId="11" applyFont="1" applyBorder="1"/>
    <xf numFmtId="0" fontId="1" fillId="15" borderId="9" xfId="11" applyFont="1" applyBorder="1" applyAlignment="1">
      <alignment horizontal="center"/>
    </xf>
    <xf numFmtId="169" fontId="5" fillId="5" borderId="9" xfId="5" applyNumberFormat="1" applyFont="1" applyFill="1" applyBorder="1" applyAlignment="1">
      <alignment horizontal="center"/>
    </xf>
    <xf numFmtId="169" fontId="4" fillId="3" borderId="15" xfId="3" applyNumberFormat="1" applyBorder="1" applyAlignment="1">
      <alignment horizontal="center"/>
    </xf>
    <xf numFmtId="1" fontId="0" fillId="0" borderId="0" xfId="0" applyNumberFormat="1"/>
    <xf numFmtId="167" fontId="2" fillId="14" borderId="1" xfId="4" applyNumberFormat="1" applyFill="1" applyBorder="1" applyAlignment="1">
      <alignment horizontal="center"/>
    </xf>
    <xf numFmtId="0" fontId="7" fillId="0" borderId="0" xfId="7" applyAlignment="1">
      <alignment vertical="top"/>
    </xf>
    <xf numFmtId="0" fontId="2" fillId="14" borderId="9" xfId="10" applyBorder="1" applyAlignment="1">
      <alignment horizontal="center"/>
    </xf>
    <xf numFmtId="0" fontId="1" fillId="0" borderId="0" xfId="0" applyFont="1" applyAlignment="1">
      <alignment horizontal="left" wrapText="1"/>
    </xf>
    <xf numFmtId="0" fontId="1" fillId="8" borderId="9" xfId="0" applyFont="1" applyFill="1" applyBorder="1" applyAlignment="1">
      <alignment vertical="top" wrapText="1"/>
    </xf>
    <xf numFmtId="0" fontId="1" fillId="8"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6" borderId="9" xfId="12" applyNumberFormat="1" applyBorder="1" applyAlignment="1">
      <alignment horizontal="center"/>
    </xf>
    <xf numFmtId="166" fontId="5" fillId="5" borderId="9" xfId="6" applyNumberFormat="1" applyBorder="1" applyAlignment="1">
      <alignment horizontal="center"/>
    </xf>
    <xf numFmtId="164" fontId="0" fillId="0" borderId="0" xfId="0" applyNumberFormat="1" applyAlignment="1">
      <alignment horizontal="left"/>
    </xf>
    <xf numFmtId="167" fontId="5" fillId="5" borderId="1" xfId="6" applyNumberFormat="1" applyBorder="1" applyAlignment="1">
      <alignment horizontal="center"/>
    </xf>
    <xf numFmtId="0" fontId="0" fillId="0" borderId="0" xfId="0" applyFont="1" applyAlignment="1">
      <alignment horizontal="left" vertical="top" wrapText="1"/>
    </xf>
    <xf numFmtId="0" fontId="2" fillId="14" borderId="9" xfId="10" applyBorder="1" applyAlignment="1">
      <alignment horizontal="center"/>
    </xf>
    <xf numFmtId="0" fontId="0" fillId="14" borderId="9" xfId="10" applyFont="1" applyBorder="1" applyAlignment="1">
      <alignment horizontal="center"/>
    </xf>
    <xf numFmtId="0" fontId="5" fillId="5" borderId="9" xfId="6" applyBorder="1" applyAlignment="1">
      <alignment horizontal="center"/>
    </xf>
    <xf numFmtId="164" fontId="2" fillId="16" borderId="17" xfId="12" applyNumberFormat="1" applyBorder="1" applyAlignment="1">
      <alignment horizontal="center"/>
    </xf>
    <xf numFmtId="2" fontId="0" fillId="0" borderId="0" xfId="0" applyNumberFormat="1"/>
    <xf numFmtId="169" fontId="4" fillId="3" borderId="1" xfId="3" applyNumberFormat="1" applyAlignment="1">
      <alignment horizontal="center"/>
    </xf>
    <xf numFmtId="170" fontId="2" fillId="14" borderId="1" xfId="10" applyNumberFormat="1" applyBorder="1" applyAlignment="1">
      <alignment horizontal="center"/>
    </xf>
    <xf numFmtId="0" fontId="1" fillId="13" borderId="0" xfId="9" applyFont="1"/>
    <xf numFmtId="169" fontId="4" fillId="3" borderId="1" xfId="3" applyNumberFormat="1" applyFont="1" applyAlignment="1">
      <alignment horizontal="center"/>
    </xf>
    <xf numFmtId="169" fontId="0" fillId="14" borderId="1" xfId="10" applyNumberFormat="1" applyFont="1" applyBorder="1" applyAlignment="1">
      <alignment horizontal="center"/>
    </xf>
    <xf numFmtId="164" fontId="1"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164" fontId="0" fillId="17" borderId="9" xfId="0" applyNumberFormat="1" applyFont="1" applyFill="1" applyBorder="1" applyAlignment="1">
      <alignment horizontal="center" vertical="center" wrapText="1"/>
    </xf>
    <xf numFmtId="164" fontId="0" fillId="7" borderId="9" xfId="0" applyNumberFormat="1" applyFont="1" applyFill="1" applyBorder="1" applyAlignment="1">
      <alignment horizontal="center" vertical="center" wrapText="1"/>
    </xf>
    <xf numFmtId="164" fontId="0" fillId="11" borderId="9" xfId="0" applyNumberFormat="1" applyFont="1" applyFill="1" applyBorder="1" applyAlignment="1">
      <alignment horizontal="center" vertical="center" wrapText="1"/>
    </xf>
    <xf numFmtId="0" fontId="11" fillId="0" borderId="0" xfId="0" applyFont="1"/>
    <xf numFmtId="0" fontId="12" fillId="0" borderId="0" xfId="0" applyFont="1"/>
    <xf numFmtId="9" fontId="5" fillId="5" borderId="1" xfId="6" applyNumberFormat="1" applyBorder="1" applyAlignment="1">
      <alignment horizontal="center" vertical="center"/>
    </xf>
    <xf numFmtId="0" fontId="1" fillId="6" borderId="9" xfId="0" applyFont="1" applyFill="1" applyBorder="1" applyAlignment="1">
      <alignment horizontal="center"/>
    </xf>
    <xf numFmtId="0" fontId="1" fillId="18" borderId="9" xfId="13" applyFont="1" applyBorder="1" applyAlignment="1">
      <alignment horizontal="center" vertical="top"/>
    </xf>
    <xf numFmtId="14" fontId="0" fillId="0" borderId="0" xfId="0" applyNumberFormat="1"/>
    <xf numFmtId="2" fontId="2" fillId="16" borderId="9" xfId="12" applyNumberFormat="1" applyBorder="1" applyAlignment="1">
      <alignment horizontal="center"/>
    </xf>
    <xf numFmtId="0" fontId="13" fillId="0" borderId="0" xfId="0" applyFont="1"/>
    <xf numFmtId="0" fontId="1" fillId="0" borderId="0" xfId="0" applyFont="1" applyAlignment="1">
      <alignment horizontal="left" wrapText="1"/>
    </xf>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4" fillId="3" borderId="20" xfId="4" applyNumberFormat="1" applyFont="1" applyFill="1" applyBorder="1" applyAlignment="1">
      <alignment horizontal="center"/>
    </xf>
    <xf numFmtId="164" fontId="4" fillId="3" borderId="9" xfId="4" applyNumberFormat="1" applyFont="1" applyFill="1" applyBorder="1" applyAlignment="1">
      <alignment horizontal="center"/>
    </xf>
    <xf numFmtId="0" fontId="11" fillId="0" borderId="0" xfId="0" applyFont="1" applyFill="1"/>
    <xf numFmtId="0" fontId="0" fillId="14" borderId="9" xfId="10" applyFont="1" applyBorder="1" applyAlignment="1">
      <alignment horizontal="center"/>
    </xf>
    <xf numFmtId="0" fontId="14" fillId="21" borderId="0" xfId="14" applyFont="1" applyFill="1" applyAlignment="1">
      <alignment horizontal="center" wrapText="1"/>
    </xf>
    <xf numFmtId="0" fontId="14" fillId="21" borderId="9" xfId="14" applyFont="1" applyFill="1" applyBorder="1" applyAlignment="1">
      <alignment horizontal="center" vertical="top"/>
    </xf>
    <xf numFmtId="0" fontId="16" fillId="20" borderId="0" xfId="7" applyFont="1" applyFill="1" applyAlignment="1">
      <alignment horizontal="center" vertical="top"/>
    </xf>
    <xf numFmtId="164" fontId="16" fillId="20" borderId="0" xfId="7" applyNumberFormat="1" applyFont="1" applyFill="1" applyAlignment="1">
      <alignment horizontal="center" vertical="top"/>
    </xf>
    <xf numFmtId="0" fontId="0" fillId="0" borderId="0" xfId="0" applyFont="1" applyAlignment="1">
      <alignment horizontal="center"/>
    </xf>
    <xf numFmtId="0" fontId="7" fillId="20" borderId="0" xfId="7" applyFont="1" applyFill="1" applyAlignment="1">
      <alignment horizontal="center" vertical="top"/>
    </xf>
    <xf numFmtId="0" fontId="0" fillId="20" borderId="0" xfId="0" applyFont="1" applyFill="1" applyAlignment="1">
      <alignment horizontal="center" vertical="top"/>
    </xf>
    <xf numFmtId="164" fontId="0" fillId="20" borderId="0" xfId="0" applyNumberFormat="1" applyFont="1" applyFill="1" applyAlignment="1">
      <alignment horizontal="center" vertical="top"/>
    </xf>
    <xf numFmtId="164" fontId="7" fillId="20" borderId="0" xfId="7" applyNumberFormat="1" applyFont="1" applyFill="1" applyBorder="1" applyAlignment="1">
      <alignment horizontal="center" vertical="top"/>
    </xf>
    <xf numFmtId="167" fontId="7" fillId="20" borderId="0" xfId="7" applyNumberFormat="1" applyFont="1" applyFill="1" applyBorder="1" applyAlignment="1">
      <alignment horizontal="center" vertical="top"/>
    </xf>
    <xf numFmtId="164" fontId="15" fillId="20" borderId="0" xfId="4" applyNumberFormat="1" applyFont="1" applyFill="1" applyBorder="1" applyAlignment="1">
      <alignment horizontal="center" vertical="top"/>
    </xf>
    <xf numFmtId="167" fontId="15" fillId="20" borderId="0" xfId="4" applyNumberFormat="1" applyFont="1" applyFill="1" applyBorder="1" applyAlignment="1">
      <alignment horizontal="center" vertical="top"/>
    </xf>
    <xf numFmtId="168" fontId="0" fillId="20" borderId="0" xfId="0" applyNumberFormat="1" applyFont="1" applyFill="1" applyAlignment="1">
      <alignment horizontal="center" vertical="top"/>
    </xf>
    <xf numFmtId="49" fontId="1" fillId="6" borderId="9" xfId="0" applyNumberFormat="1" applyFont="1" applyFill="1" applyBorder="1" applyAlignment="1">
      <alignment horizontal="center" vertical="center" wrapText="1"/>
    </xf>
    <xf numFmtId="49" fontId="0" fillId="0" borderId="9" xfId="0" applyNumberFormat="1" applyFont="1" applyFill="1" applyBorder="1" applyAlignment="1">
      <alignment horizontal="center" vertical="center" wrapText="1"/>
    </xf>
    <xf numFmtId="49" fontId="0" fillId="0" borderId="9" xfId="0" applyNumberFormat="1" applyBorder="1" applyAlignment="1">
      <alignment horizontal="center" vertical="top"/>
    </xf>
    <xf numFmtId="164" fontId="5" fillId="5" borderId="0" xfId="5" applyNumberFormat="1" applyFont="1" applyFill="1" applyBorder="1" applyAlignment="1">
      <alignment horizontal="center"/>
    </xf>
    <xf numFmtId="164" fontId="4" fillId="3" borderId="21" xfId="3" applyNumberFormat="1" applyBorder="1" applyAlignment="1">
      <alignment horizontal="center"/>
    </xf>
    <xf numFmtId="164" fontId="4" fillId="3" borderId="9" xfId="3" applyNumberFormat="1" applyBorder="1" applyAlignment="1">
      <alignment horizontal="center"/>
    </xf>
    <xf numFmtId="0" fontId="1" fillId="20" borderId="2" xfId="0" applyFont="1" applyFill="1" applyBorder="1"/>
    <xf numFmtId="0" fontId="1" fillId="20" borderId="3" xfId="0" applyFont="1" applyFill="1" applyBorder="1"/>
    <xf numFmtId="0" fontId="0" fillId="20" borderId="3" xfId="0" applyFill="1" applyBorder="1" applyAlignment="1">
      <alignment horizontal="center"/>
    </xf>
    <xf numFmtId="0" fontId="0" fillId="20" borderId="3" xfId="0" applyFill="1" applyBorder="1"/>
    <xf numFmtId="0" fontId="0" fillId="20" borderId="4" xfId="0" applyFill="1" applyBorder="1"/>
    <xf numFmtId="3" fontId="5" fillId="5" borderId="9" xfId="6" applyNumberFormat="1" applyBorder="1" applyAlignment="1">
      <alignment horizontal="center"/>
    </xf>
    <xf numFmtId="0" fontId="0" fillId="0" borderId="0" xfId="0" applyAlignment="1">
      <alignment horizontal="left" vertical="top" wrapText="1"/>
    </xf>
    <xf numFmtId="0" fontId="0" fillId="20" borderId="5" xfId="0" applyFont="1" applyFill="1" applyBorder="1" applyAlignment="1">
      <alignment horizontal="left" vertical="top" wrapText="1"/>
    </xf>
    <xf numFmtId="0" fontId="0" fillId="20" borderId="0" xfId="0" applyFont="1" applyFill="1" applyBorder="1" applyAlignment="1">
      <alignment horizontal="left" vertical="top" wrapText="1"/>
    </xf>
    <xf numFmtId="0" fontId="0" fillId="20" borderId="6" xfId="0" applyFont="1" applyFill="1" applyBorder="1" applyAlignment="1">
      <alignment horizontal="left" vertical="top" wrapText="1"/>
    </xf>
    <xf numFmtId="0" fontId="1" fillId="20" borderId="5" xfId="0" applyFont="1" applyFill="1" applyBorder="1" applyAlignment="1">
      <alignment horizontal="left" vertical="top" wrapText="1"/>
    </xf>
    <xf numFmtId="0" fontId="1" fillId="20" borderId="0" xfId="0" applyFont="1" applyFill="1" applyBorder="1" applyAlignment="1">
      <alignment horizontal="left" vertical="top" wrapText="1"/>
    </xf>
    <xf numFmtId="0" fontId="1" fillId="20" borderId="6" xfId="0" applyFont="1" applyFill="1" applyBorder="1" applyAlignment="1">
      <alignment horizontal="left" vertical="top" wrapText="1"/>
    </xf>
    <xf numFmtId="0" fontId="10" fillId="6" borderId="0" xfId="0" applyFont="1" applyFill="1" applyAlignment="1">
      <alignment horizontal="center"/>
    </xf>
    <xf numFmtId="0" fontId="0" fillId="20" borderId="19" xfId="0" applyFont="1" applyFill="1" applyBorder="1" applyAlignment="1">
      <alignment horizontal="left" vertical="top" wrapText="1"/>
    </xf>
    <xf numFmtId="0" fontId="0" fillId="20" borderId="7" xfId="0" applyFont="1" applyFill="1" applyBorder="1" applyAlignment="1">
      <alignment horizontal="left" vertical="top" wrapText="1"/>
    </xf>
    <xf numFmtId="0" fontId="0" fillId="20" borderId="8" xfId="0" applyFont="1" applyFill="1" applyBorder="1" applyAlignment="1">
      <alignment horizontal="left" vertical="top" wrapText="1"/>
    </xf>
    <xf numFmtId="0" fontId="0" fillId="0" borderId="0" xfId="0" applyAlignment="1">
      <alignment horizontal="left" wrapText="1"/>
    </xf>
    <xf numFmtId="0" fontId="1" fillId="6" borderId="5" xfId="0" applyFont="1" applyFill="1" applyBorder="1" applyAlignment="1">
      <alignment horizontal="left" vertical="top"/>
    </xf>
    <xf numFmtId="0" fontId="1" fillId="6" borderId="0" xfId="0" applyFont="1" applyFill="1" applyBorder="1" applyAlignment="1">
      <alignment horizontal="left" vertical="top"/>
    </xf>
    <xf numFmtId="0" fontId="1" fillId="6" borderId="6" xfId="0" applyFont="1" applyFill="1" applyBorder="1" applyAlignment="1">
      <alignment horizontal="left" vertical="top"/>
    </xf>
    <xf numFmtId="0" fontId="1" fillId="6" borderId="19" xfId="0" applyFont="1" applyFill="1" applyBorder="1" applyAlignment="1">
      <alignment horizontal="left" vertical="top"/>
    </xf>
    <xf numFmtId="0" fontId="1" fillId="6" borderId="7" xfId="0" applyFont="1" applyFill="1" applyBorder="1" applyAlignment="1">
      <alignment horizontal="left" vertical="top"/>
    </xf>
    <xf numFmtId="0" fontId="1" fillId="6" borderId="8" xfId="0" applyFont="1" applyFill="1" applyBorder="1" applyAlignment="1">
      <alignment horizontal="left" vertical="top"/>
    </xf>
    <xf numFmtId="0" fontId="0" fillId="6" borderId="5" xfId="0" applyFont="1" applyFill="1" applyBorder="1" applyAlignment="1">
      <alignment horizontal="left" vertical="top"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1" fillId="6" borderId="2" xfId="0" applyFont="1" applyFill="1" applyBorder="1" applyAlignment="1">
      <alignment horizontal="left" vertical="top" wrapText="1"/>
    </xf>
    <xf numFmtId="0" fontId="1" fillId="6" borderId="3" xfId="0" applyFont="1" applyFill="1" applyBorder="1" applyAlignment="1">
      <alignment horizontal="left" vertical="top" wrapText="1"/>
    </xf>
    <xf numFmtId="0" fontId="1" fillId="6" borderId="4" xfId="0" applyFont="1" applyFill="1" applyBorder="1" applyAlignment="1">
      <alignment horizontal="left" vertical="top" wrapText="1"/>
    </xf>
    <xf numFmtId="0" fontId="7" fillId="6" borderId="5" xfId="7" applyFill="1" applyBorder="1" applyAlignment="1">
      <alignment horizontal="left" vertical="top" wrapText="1"/>
    </xf>
    <xf numFmtId="0" fontId="9" fillId="5" borderId="11" xfId="6" applyFont="1" applyBorder="1" applyAlignment="1">
      <alignment horizontal="center"/>
    </xf>
    <xf numFmtId="0" fontId="9" fillId="5" borderId="12" xfId="6" applyFont="1" applyBorder="1" applyAlignment="1">
      <alignment horizontal="center"/>
    </xf>
    <xf numFmtId="0" fontId="9" fillId="5" borderId="13" xfId="6" applyFont="1" applyBorder="1" applyAlignment="1">
      <alignment horizontal="center"/>
    </xf>
    <xf numFmtId="0" fontId="4" fillId="3" borderId="11" xfId="3" applyBorder="1" applyAlignment="1">
      <alignment horizontal="center"/>
    </xf>
    <xf numFmtId="0" fontId="4" fillId="3" borderId="12" xfId="3" applyBorder="1" applyAlignment="1">
      <alignment horizontal="center"/>
    </xf>
    <xf numFmtId="0" fontId="4" fillId="3" borderId="13" xfId="3" applyBorder="1" applyAlignment="1">
      <alignment horizontal="center"/>
    </xf>
    <xf numFmtId="0" fontId="11" fillId="0" borderId="0" xfId="0" applyFont="1" applyAlignment="1">
      <alignment horizontal="center" wrapText="1"/>
    </xf>
    <xf numFmtId="0" fontId="11" fillId="0" borderId="18" xfId="0" applyFont="1" applyBorder="1" applyAlignment="1">
      <alignment horizontal="center" wrapText="1"/>
    </xf>
    <xf numFmtId="0" fontId="2" fillId="14" borderId="9" xfId="10" applyBorder="1" applyAlignment="1">
      <alignment horizontal="left"/>
    </xf>
    <xf numFmtId="0" fontId="11" fillId="0" borderId="0" xfId="0" applyFont="1" applyAlignment="1">
      <alignment horizontal="left" wrapText="1"/>
    </xf>
    <xf numFmtId="0" fontId="1" fillId="6" borderId="11" xfId="0" applyFont="1" applyFill="1" applyBorder="1" applyAlignment="1">
      <alignment horizontal="center"/>
    </xf>
    <xf numFmtId="0" fontId="1" fillId="6" borderId="12" xfId="0" applyFont="1" applyFill="1" applyBorder="1" applyAlignment="1">
      <alignment horizontal="center"/>
    </xf>
    <xf numFmtId="0" fontId="1" fillId="6" borderId="13" xfId="0" applyFont="1" applyFill="1" applyBorder="1" applyAlignment="1">
      <alignment horizontal="center"/>
    </xf>
    <xf numFmtId="0" fontId="0" fillId="14" borderId="9" xfId="10" applyFont="1" applyBorder="1" applyAlignment="1">
      <alignment horizontal="left"/>
    </xf>
    <xf numFmtId="0" fontId="2" fillId="14" borderId="9" xfId="10" applyBorder="1" applyAlignment="1">
      <alignment horizontal="center"/>
    </xf>
    <xf numFmtId="0" fontId="5" fillId="5" borderId="9" xfId="6" applyBorder="1" applyAlignment="1">
      <alignment horizontal="left"/>
    </xf>
    <xf numFmtId="0" fontId="0" fillId="16" borderId="11" xfId="12" applyFont="1" applyBorder="1" applyAlignment="1">
      <alignment horizontal="center"/>
    </xf>
    <xf numFmtId="0" fontId="0" fillId="16" borderId="12" xfId="12" applyFont="1" applyBorder="1" applyAlignment="1">
      <alignment horizontal="center"/>
    </xf>
    <xf numFmtId="0" fontId="0" fillId="16" borderId="13" xfId="12" applyFont="1" applyBorder="1" applyAlignment="1">
      <alignment horizontal="center"/>
    </xf>
    <xf numFmtId="0" fontId="1" fillId="14" borderId="11" xfId="10" applyFont="1" applyBorder="1" applyAlignment="1">
      <alignment horizontal="center"/>
    </xf>
    <xf numFmtId="0" fontId="1" fillId="14" borderId="12" xfId="10" applyFont="1" applyBorder="1" applyAlignment="1">
      <alignment horizontal="center"/>
    </xf>
    <xf numFmtId="0" fontId="1" fillId="14" borderId="13" xfId="10" applyFont="1" applyBorder="1" applyAlignment="1">
      <alignment horizontal="center"/>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2" fillId="16" borderId="9" xfId="12" applyBorder="1" applyAlignment="1">
      <alignment horizontal="center"/>
    </xf>
    <xf numFmtId="0" fontId="1" fillId="14" borderId="9" xfId="10" applyFont="1" applyBorder="1" applyAlignment="1">
      <alignment horizontal="center"/>
    </xf>
    <xf numFmtId="0" fontId="0" fillId="14" borderId="9" xfId="10" applyFont="1" applyBorder="1" applyAlignment="1">
      <alignment horizontal="center"/>
    </xf>
    <xf numFmtId="0" fontId="9" fillId="5" borderId="9" xfId="6" applyFont="1" applyBorder="1" applyAlignment="1">
      <alignment horizontal="center"/>
    </xf>
    <xf numFmtId="0" fontId="5" fillId="5" borderId="9" xfId="6" applyBorder="1" applyAlignment="1">
      <alignment horizontal="center"/>
    </xf>
    <xf numFmtId="0" fontId="4" fillId="3" borderId="9" xfId="3" applyBorder="1" applyAlignment="1">
      <alignment horizontal="center"/>
    </xf>
    <xf numFmtId="0" fontId="6" fillId="0" borderId="0" xfId="0" applyFont="1" applyAlignment="1">
      <alignment horizontal="center"/>
    </xf>
    <xf numFmtId="0" fontId="1" fillId="7" borderId="9" xfId="0" applyFont="1" applyFill="1" applyBorder="1" applyAlignment="1">
      <alignment horizontal="center"/>
    </xf>
    <xf numFmtId="0" fontId="3" fillId="2" borderId="1" xfId="2" applyAlignment="1">
      <alignment horizontal="center"/>
    </xf>
    <xf numFmtId="0" fontId="0" fillId="16" borderId="9" xfId="12" applyFont="1" applyBorder="1" applyAlignment="1">
      <alignment horizontal="center" vertical="top"/>
    </xf>
    <xf numFmtId="0" fontId="2" fillId="14" borderId="9" xfId="10" applyFont="1" applyBorder="1" applyAlignment="1">
      <alignment horizontal="center" vertical="top"/>
    </xf>
    <xf numFmtId="0" fontId="9" fillId="5" borderId="9" xfId="6" applyFont="1" applyBorder="1" applyAlignment="1">
      <alignment horizontal="center" vertical="top"/>
    </xf>
    <xf numFmtId="0" fontId="4" fillId="3" borderId="9" xfId="3" applyBorder="1" applyAlignment="1">
      <alignment horizontal="center" vertical="top"/>
    </xf>
    <xf numFmtId="0" fontId="1" fillId="18" borderId="9" xfId="13" applyFont="1" applyBorder="1" applyAlignment="1">
      <alignment horizontal="center" vertical="top"/>
    </xf>
    <xf numFmtId="0" fontId="7" fillId="20" borderId="0" xfId="7" applyFill="1" applyAlignment="1">
      <alignment horizontal="center" vertical="top"/>
    </xf>
  </cellXfs>
  <cellStyles count="15">
    <cellStyle name="20% - Accent1" xfId="13" builtinId="30"/>
    <cellStyle name="20% - Accent4" xfId="14" builtinId="42"/>
    <cellStyle name="40% - Accent1" xfId="9" builtinId="31"/>
    <cellStyle name="40% - Accent2" xfId="10" builtinId="35"/>
    <cellStyle name="40% - Accent5" xfId="11" builtinId="47"/>
    <cellStyle name="60% - Accent6" xfId="12" builtinId="52"/>
    <cellStyle name="Accent1" xfId="8" builtinId="29"/>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3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790-45DA-B283-3A14065CEAE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'Master-LawOfRiver'!$C$114:$G$114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790-45DA-B283-3A14065CEAE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'8.1-Trade'!$C$29:$G$29</c:f>
              <c:numCache>
                <c:formatCode>0.0</c:formatCode>
                <c:ptCount val="5"/>
                <c:pt idx="0">
                  <c:v>21.1</c:v>
                </c:pt>
                <c:pt idx="1">
                  <c:v>19.278102320000027</c:v>
                </c:pt>
                <c:pt idx="2">
                  <c:v>16.611442566000605</c:v>
                </c:pt>
                <c:pt idx="3">
                  <c:v>14.115209246000605</c:v>
                </c:pt>
                <c:pt idx="4">
                  <c:v>13.103063047500005</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'8.1-LawOfRiver'!$C$29:$G$29</c:f>
              <c:numCache>
                <c:formatCode>0.0</c:formatCode>
                <c:ptCount val="5"/>
                <c:pt idx="0">
                  <c:v>21.1</c:v>
                </c:pt>
                <c:pt idx="1">
                  <c:v>18.371768986666694</c:v>
                </c:pt>
                <c:pt idx="2">
                  <c:v>14.310621491237981</c:v>
                </c:pt>
                <c:pt idx="3">
                  <c:v>13.769336675304046</c:v>
                </c:pt>
                <c:pt idx="4">
                  <c:v>13.411908284470714</c:v>
                </c:pt>
              </c:numCache>
            </c:numRef>
          </c:val>
          <c:smooth val="0"/>
          <c:extLst>
            <c:ext xmlns:c16="http://schemas.microsoft.com/office/drawing/2014/chart" uri="{C3380CC4-5D6E-409C-BE32-E72D297353CC}">
              <c16:uniqueId val="{00000001-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3010702972473268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4.9519284043853409</c:v>
                </c:pt>
                <c:pt idx="8">
                  <c:v>6.1848350048055627</c:v>
                </c:pt>
                <c:pt idx="9">
                  <c:v>7.3613409808086034</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5.4519284043853409</c:v>
                </c:pt>
                <c:pt idx="8">
                  <c:v>7.1609068947687797</c:v>
                </c:pt>
                <c:pt idx="9">
                  <c:v>8.7943918761707423</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6.3702888005243183</c:v>
                </c:pt>
                <c:pt idx="7">
                  <c:v>6.3859604978537057</c:v>
                </c:pt>
                <c:pt idx="8">
                  <c:v>6.4093097077066208</c:v>
                </c:pt>
                <c:pt idx="9">
                  <c:v>6.4093240851661299</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0</c:v>
                </c:pt>
                <c:pt idx="8">
                  <c:v>0</c:v>
                </c:pt>
                <c:pt idx="9">
                  <c:v>0</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9.1288800524318425E-2</c:v>
                </c:pt>
                <c:pt idx="8">
                  <c:v>7.9832364543001688E-2</c:v>
                </c:pt>
                <c:pt idx="9">
                  <c:v>8.6083721142300007E-2</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17.162921521073159</c:v>
                </c:pt>
                <c:pt idx="7">
                  <c:v>18.865595442887294</c:v>
                </c:pt>
                <c:pt idx="8">
                  <c:v>20.49333624534794</c:v>
                </c:pt>
                <c:pt idx="9">
                  <c:v>22.034199186849051</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16.754210321597476</c:v>
                </c:pt>
                <c:pt idx="7">
                  <c:v>17.969298338763544</c:v>
                </c:pt>
                <c:pt idx="8">
                  <c:v>19.146197563430782</c:v>
                </c:pt>
                <c:pt idx="9">
                  <c:v>20.286611995596878</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Master!$C$33:$G$33</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4E10-4A59-951C-F12B0F8F994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'Master-LawOfRiver'!$C$30:$G$30</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4E10-4A59-951C-F12B0F8F994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Master!$C$27:$G$27</c:f>
              <c:strCache>
                <c:ptCount val="5"/>
                <c:pt idx="0">
                  <c:v>Year 1</c:v>
                </c:pt>
                <c:pt idx="1">
                  <c:v>Year 2</c:v>
                </c:pt>
                <c:pt idx="2">
                  <c:v>Year 3</c:v>
                </c:pt>
                <c:pt idx="3">
                  <c:v>Year 4</c:v>
                </c:pt>
                <c:pt idx="4">
                  <c:v>Year 5</c:v>
                </c:pt>
              </c:strCache>
            </c:strRef>
          </c:cat>
          <c:val>
            <c:numRef>
              <c:f>Master!$C$119:$G$119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A27-4826-805C-46C790C93CD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Master!$C$27:$G$27</c:f>
              <c:strCache>
                <c:ptCount val="5"/>
                <c:pt idx="0">
                  <c:v>Year 1</c:v>
                </c:pt>
                <c:pt idx="1">
                  <c:v>Year 2</c:v>
                </c:pt>
                <c:pt idx="2">
                  <c:v>Year 3</c:v>
                </c:pt>
                <c:pt idx="3">
                  <c:v>Year 4</c:v>
                </c:pt>
                <c:pt idx="4">
                  <c:v>Year 5</c:v>
                </c:pt>
              </c:strCache>
            </c:strRef>
          </c:cat>
          <c:val>
            <c:numRef>
              <c:f>'Master-LawOfRiver'!$C$115:$G$115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A27-4826-805C-46C790C93CD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DDD-4526-9BBB-EFD8F1C6AD3C}"/>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Master!$C$34:$G$34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DDD-4526-9BBB-EFD8F1C6AD3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Master!$C$32:$G$32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0C86-41FD-8943-36DC692D71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'Master-LawOfRiver'!$C$29:$G$29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0C86-41FD-8943-36DC692D71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'8.1-Trade'!$C$114:$G$114</c:f>
              <c:numCache>
                <c:formatCode>0.0</c:formatCode>
                <c:ptCount val="5"/>
                <c:pt idx="0">
                  <c:v>3.5</c:v>
                </c:pt>
                <c:pt idx="1">
                  <c:v>2.9</c:v>
                </c:pt>
                <c:pt idx="2">
                  <c:v>2</c:v>
                </c:pt>
                <c:pt idx="3">
                  <c:v>0.7</c:v>
                </c:pt>
                <c:pt idx="4">
                  <c:v>0.3</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'8.1-LawOfRiver'!$C$114:$G$114</c:f>
              <c:numCache>
                <c:formatCode>0.0</c:formatCode>
                <c:ptCount val="5"/>
                <c:pt idx="0">
                  <c:v>4.2</c:v>
                </c:pt>
                <c:pt idx="1">
                  <c:v>4.025685122594207</c:v>
                </c:pt>
                <c:pt idx="2">
                  <c:v>0</c:v>
                </c:pt>
                <c:pt idx="3">
                  <c:v>0</c:v>
                </c:pt>
                <c:pt idx="4">
                  <c:v>1.7763568394002505E-15</c:v>
                </c:pt>
              </c:numCache>
            </c:numRef>
          </c:val>
          <c:smooth val="0"/>
          <c:extLst>
            <c:ext xmlns:c16="http://schemas.microsoft.com/office/drawing/2014/chart" uri="{C3380CC4-5D6E-409C-BE32-E72D297353CC}">
              <c16:uniqueId val="{00000000-CC4C-4AEA-B975-7C4A7FB55A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'8.1-Trade'!$C$30:$G$30</c:f>
              <c:numCache>
                <c:formatCode>0.0</c:formatCode>
                <c:ptCount val="5"/>
                <c:pt idx="0">
                  <c:v>5.0734237499999999</c:v>
                </c:pt>
                <c:pt idx="1">
                  <c:v>3.5040452368981807</c:v>
                </c:pt>
                <c:pt idx="2">
                  <c:v>1.8046756171878031</c:v>
                </c:pt>
                <c:pt idx="3">
                  <c:v>1.5073083708761734</c:v>
                </c:pt>
                <c:pt idx="4">
                  <c:v>0.82058243277347986</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'8.1-LawOfRiver'!$C$30:$G$30</c:f>
              <c:numCache>
                <c:formatCode>0.0</c:formatCode>
                <c:ptCount val="5"/>
                <c:pt idx="0">
                  <c:v>5.0734237499999999</c:v>
                </c:pt>
                <c:pt idx="1">
                  <c:v>3.4040452368981802</c:v>
                </c:pt>
                <c:pt idx="2">
                  <c:v>0</c:v>
                </c:pt>
                <c:pt idx="3">
                  <c:v>0</c:v>
                </c:pt>
                <c:pt idx="4">
                  <c:v>0</c:v>
                </c:pt>
              </c:numCache>
            </c:numRef>
          </c:val>
          <c:smooth val="0"/>
          <c:extLst>
            <c:ext xmlns:c16="http://schemas.microsoft.com/office/drawing/2014/chart" uri="{C3380CC4-5D6E-409C-BE32-E72D297353CC}">
              <c16:uniqueId val="{00000001-A243-4D6A-9A25-2CBF47155B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'8.1-Trade'!$C$25:$G$25</c:f>
              <c:strCache>
                <c:ptCount val="5"/>
                <c:pt idx="0">
                  <c:v>Year 1</c:v>
                </c:pt>
                <c:pt idx="1">
                  <c:v>Year 2</c:v>
                </c:pt>
                <c:pt idx="2">
                  <c:v>Year 3</c:v>
                </c:pt>
                <c:pt idx="3">
                  <c:v>Year 4</c:v>
                </c:pt>
                <c:pt idx="4">
                  <c:v>Year 5</c:v>
                </c:pt>
              </c:strCache>
            </c:strRef>
          </c:cat>
          <c:val>
            <c:numRef>
              <c:f>'8.1-Trade'!$C$115:$G$115</c:f>
              <c:numCache>
                <c:formatCode>0.0</c:formatCode>
                <c:ptCount val="5"/>
                <c:pt idx="0">
                  <c:v>7</c:v>
                </c:pt>
                <c:pt idx="1">
                  <c:v>6.8</c:v>
                </c:pt>
                <c:pt idx="2">
                  <c:v>6.7</c:v>
                </c:pt>
                <c:pt idx="3">
                  <c:v>6.6</c:v>
                </c:pt>
                <c:pt idx="4">
                  <c:v>6.6</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'8.1-Trade'!$C$25:$G$25</c:f>
              <c:strCache>
                <c:ptCount val="5"/>
                <c:pt idx="0">
                  <c:v>Year 1</c:v>
                </c:pt>
                <c:pt idx="1">
                  <c:v>Year 2</c:v>
                </c:pt>
                <c:pt idx="2">
                  <c:v>Year 3</c:v>
                </c:pt>
                <c:pt idx="3">
                  <c:v>Year 4</c:v>
                </c:pt>
                <c:pt idx="4">
                  <c:v>Year 5</c:v>
                </c:pt>
              </c:strCache>
            </c:strRef>
          </c:cat>
          <c:val>
            <c:numRef>
              <c:f>'8.1-LawOfRiver'!$C$115:$G$115</c:f>
              <c:numCache>
                <c:formatCode>0.0</c:formatCode>
                <c:ptCount val="5"/>
                <c:pt idx="0">
                  <c:v>7.2590000000000003</c:v>
                </c:pt>
                <c:pt idx="1">
                  <c:v>6.8870000000000005</c:v>
                </c:pt>
                <c:pt idx="2">
                  <c:v>6.4870000000000001</c:v>
                </c:pt>
                <c:pt idx="3">
                  <c:v>6.4290000000000003</c:v>
                </c:pt>
                <c:pt idx="4">
                  <c:v>6.4290000000000003</c:v>
                </c:pt>
              </c:numCache>
            </c:numRef>
          </c:val>
          <c:smooth val="0"/>
          <c:extLst>
            <c:ext xmlns:c16="http://schemas.microsoft.com/office/drawing/2014/chart" uri="{C3380CC4-5D6E-409C-BE32-E72D297353CC}">
              <c16:uniqueId val="{00000001-B987-46E0-BA8D-5A8EF0E19845}"/>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'8.1-LawOfRiver'!$C$31:$G$31</c:f>
              <c:numCache>
                <c:formatCode>0.0</c:formatCode>
                <c:ptCount val="5"/>
                <c:pt idx="0">
                  <c:v>4.2614069999999993</c:v>
                </c:pt>
                <c:pt idx="1">
                  <c:v>3.2109815232907888</c:v>
                </c:pt>
                <c:pt idx="2">
                  <c:v>2.5623520451145225</c:v>
                </c:pt>
                <c:pt idx="3">
                  <c:v>2.2299807300538657</c:v>
                </c:pt>
                <c:pt idx="4">
                  <c:v>1.9695642004172758</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'8.1-Trade'!$C$31:$G$31</c:f>
              <c:numCache>
                <c:formatCode>0.0</c:formatCode>
                <c:ptCount val="5"/>
                <c:pt idx="0">
                  <c:v>4.2614069999999993</c:v>
                </c:pt>
                <c:pt idx="1">
                  <c:v>4.0699815232907888</c:v>
                </c:pt>
                <c:pt idx="2">
                  <c:v>2.8610195042827629</c:v>
                </c:pt>
                <c:pt idx="3">
                  <c:v>0.86795057260783626</c:v>
                </c:pt>
                <c:pt idx="4">
                  <c:v>0.63775738801431459</c:v>
                </c:pt>
              </c:numCache>
            </c:numRef>
          </c:val>
          <c:smooth val="0"/>
          <c:extLst>
            <c:ext xmlns:c16="http://schemas.microsoft.com/office/drawing/2014/chart" uri="{C3380CC4-5D6E-409C-BE32-E72D297353CC}">
              <c16:uniqueId val="{00000001-D877-4E0B-8DD9-991F585A264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F0096542-7355-4ACA-85B0-8B4DEFF55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ADFFAD4E-40F1-478D-A4A3-8D27BC13C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440BD5E5-A7EA-46A4-8A92-AB47B5E2E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01D59FF5-F67A-403D-9601-542EB0A88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FB621D6A-9AE8-4D14-992E-16CBAF96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digitalcommons.usu.edu/water_pubs/170/"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50"/>
  <sheetViews>
    <sheetView zoomScale="150" zoomScaleNormal="150" workbookViewId="0">
      <selection sqref="A1:L1"/>
    </sheetView>
  </sheetViews>
  <sheetFormatPr defaultRowHeight="14.5" x14ac:dyDescent="0.35"/>
  <cols>
    <col min="1" max="1" width="3.54296875" customWidth="1"/>
    <col min="2" max="2" width="35.81640625"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16" t="s">
        <v>198</v>
      </c>
      <c r="B1" s="216"/>
      <c r="C1" s="216"/>
      <c r="D1" s="216"/>
      <c r="E1" s="216"/>
      <c r="F1" s="216"/>
      <c r="G1" s="216"/>
      <c r="H1" s="216"/>
      <c r="I1" s="216"/>
      <c r="J1" s="216"/>
      <c r="K1" s="216"/>
      <c r="L1" s="216"/>
    </row>
    <row r="2" spans="1:18" x14ac:dyDescent="0.35">
      <c r="A2" s="1"/>
      <c r="B2" s="1"/>
      <c r="C2" s="2"/>
      <c r="D2"/>
    </row>
    <row r="3" spans="1:18" x14ac:dyDescent="0.35">
      <c r="A3" s="203" t="s">
        <v>398</v>
      </c>
      <c r="B3" s="204"/>
      <c r="C3" s="205"/>
      <c r="D3" s="206"/>
      <c r="E3" s="206"/>
      <c r="F3" s="206"/>
      <c r="G3" s="206"/>
      <c r="H3" s="206"/>
      <c r="I3" s="206"/>
      <c r="J3" s="206"/>
      <c r="K3" s="206"/>
      <c r="L3" s="207"/>
      <c r="N3" s="1" t="s">
        <v>306</v>
      </c>
    </row>
    <row r="4" spans="1:18" s="77" customFormat="1" ht="66" customHeight="1" x14ac:dyDescent="0.35">
      <c r="A4" s="213" t="s">
        <v>470</v>
      </c>
      <c r="B4" s="214"/>
      <c r="C4" s="214"/>
      <c r="D4" s="214"/>
      <c r="E4" s="214"/>
      <c r="F4" s="214"/>
      <c r="G4" s="214"/>
      <c r="H4" s="214"/>
      <c r="I4" s="214"/>
      <c r="J4" s="214"/>
      <c r="K4" s="214"/>
      <c r="L4" s="215"/>
      <c r="N4" s="209" t="s">
        <v>307</v>
      </c>
      <c r="O4" s="209"/>
      <c r="P4" s="209"/>
      <c r="Q4" s="209"/>
      <c r="R4" s="209"/>
    </row>
    <row r="5" spans="1:18" s="115" customFormat="1" ht="16" customHeight="1" x14ac:dyDescent="0.35">
      <c r="A5" s="213" t="s">
        <v>340</v>
      </c>
      <c r="B5" s="214"/>
      <c r="C5" s="214"/>
      <c r="D5" s="214"/>
      <c r="E5" s="214"/>
      <c r="F5" s="214"/>
      <c r="G5" s="214"/>
      <c r="H5" s="214"/>
      <c r="I5" s="214"/>
      <c r="J5" s="214"/>
      <c r="K5" s="214"/>
      <c r="L5" s="215"/>
    </row>
    <row r="6" spans="1:18" s="115" customFormat="1" ht="32.5" customHeight="1" x14ac:dyDescent="0.35">
      <c r="A6" s="210" t="s">
        <v>222</v>
      </c>
      <c r="B6" s="211"/>
      <c r="C6" s="211"/>
      <c r="D6" s="211"/>
      <c r="E6" s="211"/>
      <c r="F6" s="211"/>
      <c r="G6" s="211"/>
      <c r="H6" s="211"/>
      <c r="I6" s="211"/>
      <c r="J6" s="211"/>
      <c r="K6" s="211"/>
      <c r="L6" s="212"/>
      <c r="N6" s="141" t="s">
        <v>396</v>
      </c>
    </row>
    <row r="7" spans="1:18" s="115" customFormat="1" ht="20.25" customHeight="1" x14ac:dyDescent="0.35">
      <c r="A7" s="210" t="s">
        <v>341</v>
      </c>
      <c r="B7" s="211"/>
      <c r="C7" s="211"/>
      <c r="D7" s="211"/>
      <c r="E7" s="211"/>
      <c r="F7" s="211"/>
      <c r="G7" s="211"/>
      <c r="H7" s="211"/>
      <c r="I7" s="211"/>
      <c r="J7" s="211"/>
      <c r="K7" s="211"/>
      <c r="L7" s="212"/>
    </row>
    <row r="8" spans="1:18" s="115" customFormat="1" ht="16.5" customHeight="1" x14ac:dyDescent="0.35">
      <c r="A8" s="210" t="s">
        <v>342</v>
      </c>
      <c r="B8" s="211"/>
      <c r="C8" s="211"/>
      <c r="D8" s="211"/>
      <c r="E8" s="211"/>
      <c r="F8" s="211"/>
      <c r="G8" s="211"/>
      <c r="H8" s="211"/>
      <c r="I8" s="211"/>
      <c r="J8" s="211"/>
      <c r="K8" s="211"/>
      <c r="L8" s="212"/>
      <c r="N8" s="141" t="s">
        <v>397</v>
      </c>
    </row>
    <row r="9" spans="1:18" s="115" customFormat="1" ht="15" customHeight="1" x14ac:dyDescent="0.35">
      <c r="A9" s="210" t="s">
        <v>343</v>
      </c>
      <c r="B9" s="211"/>
      <c r="C9" s="211"/>
      <c r="D9" s="211"/>
      <c r="E9" s="211"/>
      <c r="F9" s="211"/>
      <c r="G9" s="211"/>
      <c r="H9" s="211"/>
      <c r="I9" s="211"/>
      <c r="J9" s="211"/>
      <c r="K9" s="211"/>
      <c r="L9" s="212"/>
    </row>
    <row r="10" spans="1:18" s="115" customFormat="1" ht="32.15" customHeight="1" x14ac:dyDescent="0.35">
      <c r="A10" s="210" t="s">
        <v>365</v>
      </c>
      <c r="B10" s="211"/>
      <c r="C10" s="211"/>
      <c r="D10" s="211"/>
      <c r="E10" s="211"/>
      <c r="F10" s="211"/>
      <c r="G10" s="211"/>
      <c r="H10" s="211"/>
      <c r="I10" s="211"/>
      <c r="J10" s="211"/>
      <c r="K10" s="211"/>
      <c r="L10" s="212"/>
      <c r="N10" s="115" t="s">
        <v>344</v>
      </c>
    </row>
    <row r="11" spans="1:18" s="83" customFormat="1" ht="15" customHeight="1" x14ac:dyDescent="0.35">
      <c r="A11" s="210" t="s">
        <v>366</v>
      </c>
      <c r="B11" s="211"/>
      <c r="C11" s="211"/>
      <c r="D11" s="211"/>
      <c r="E11" s="211"/>
      <c r="F11" s="211"/>
      <c r="G11" s="211"/>
      <c r="H11" s="211"/>
      <c r="I11" s="211"/>
      <c r="J11" s="211"/>
      <c r="K11" s="211"/>
      <c r="L11" s="212"/>
    </row>
    <row r="12" spans="1:18" s="83" customFormat="1" ht="17.25" customHeight="1" x14ac:dyDescent="0.35">
      <c r="A12" s="217" t="s">
        <v>367</v>
      </c>
      <c r="B12" s="218"/>
      <c r="C12" s="218"/>
      <c r="D12" s="218"/>
      <c r="E12" s="218"/>
      <c r="F12" s="218"/>
      <c r="G12" s="218"/>
      <c r="H12" s="218"/>
      <c r="I12" s="218"/>
      <c r="J12" s="218"/>
      <c r="K12" s="218"/>
      <c r="L12" s="219"/>
    </row>
    <row r="13" spans="1:18" ht="20.25" customHeight="1" x14ac:dyDescent="0.35">
      <c r="A13" s="152"/>
      <c r="B13" s="152"/>
      <c r="C13" s="152"/>
      <c r="D13" s="152"/>
      <c r="E13" s="152"/>
      <c r="F13" s="152"/>
      <c r="G13" s="152"/>
      <c r="H13" s="152"/>
      <c r="I13" s="152"/>
      <c r="J13" s="152"/>
      <c r="K13" s="152"/>
      <c r="L13" s="152"/>
    </row>
    <row r="14" spans="1:18" ht="20.25" customHeight="1" x14ac:dyDescent="0.35">
      <c r="A14" s="230" t="s">
        <v>399</v>
      </c>
      <c r="B14" s="231"/>
      <c r="C14" s="231"/>
      <c r="D14" s="231"/>
      <c r="E14" s="231"/>
      <c r="F14" s="231"/>
      <c r="G14" s="231"/>
      <c r="H14" s="231"/>
      <c r="I14" s="231"/>
      <c r="J14" s="231"/>
      <c r="K14" s="231"/>
      <c r="L14" s="232"/>
      <c r="N14" s="1" t="s">
        <v>403</v>
      </c>
    </row>
    <row r="15" spans="1:18" ht="16.5" customHeight="1" x14ac:dyDescent="0.35">
      <c r="A15" s="227" t="s">
        <v>471</v>
      </c>
      <c r="B15" s="228"/>
      <c r="C15" s="228"/>
      <c r="D15" s="228"/>
      <c r="E15" s="228"/>
      <c r="F15" s="228"/>
      <c r="G15" s="228"/>
      <c r="H15" s="228"/>
      <c r="I15" s="228"/>
      <c r="J15" s="228"/>
      <c r="K15" s="228"/>
      <c r="L15" s="229"/>
      <c r="N15" s="141" t="s">
        <v>404</v>
      </c>
    </row>
    <row r="16" spans="1:18" ht="15" customHeight="1" x14ac:dyDescent="0.35">
      <c r="A16" s="227" t="s">
        <v>400</v>
      </c>
      <c r="B16" s="228"/>
      <c r="C16" s="228"/>
      <c r="D16" s="228"/>
      <c r="E16" s="228"/>
      <c r="F16" s="228"/>
      <c r="G16" s="228"/>
      <c r="H16" s="228"/>
      <c r="I16" s="228"/>
      <c r="J16" s="228"/>
      <c r="K16" s="228"/>
      <c r="L16" s="229"/>
    </row>
    <row r="17" spans="1:12" ht="36.75" customHeight="1" x14ac:dyDescent="0.35">
      <c r="A17" s="233" t="s">
        <v>395</v>
      </c>
      <c r="B17" s="228"/>
      <c r="C17" s="228"/>
      <c r="D17" s="228"/>
      <c r="E17" s="228"/>
      <c r="F17" s="228"/>
      <c r="G17" s="228"/>
      <c r="H17" s="228"/>
      <c r="I17" s="228"/>
      <c r="J17" s="228"/>
      <c r="K17" s="228"/>
      <c r="L17" s="229"/>
    </row>
    <row r="18" spans="1:12" s="82" customFormat="1" ht="20.25" customHeight="1" x14ac:dyDescent="0.35">
      <c r="A18" s="221" t="s">
        <v>401</v>
      </c>
      <c r="B18" s="222"/>
      <c r="C18" s="222"/>
      <c r="D18" s="222"/>
      <c r="E18" s="222"/>
      <c r="F18" s="222"/>
      <c r="G18" s="222"/>
      <c r="H18" s="222"/>
      <c r="I18" s="222"/>
      <c r="J18" s="222"/>
      <c r="K18" s="222"/>
      <c r="L18" s="223"/>
    </row>
    <row r="19" spans="1:12" s="83" customFormat="1" x14ac:dyDescent="0.35">
      <c r="A19" s="224" t="s">
        <v>402</v>
      </c>
      <c r="B19" s="225"/>
      <c r="C19" s="225"/>
      <c r="D19" s="225"/>
      <c r="E19" s="225"/>
      <c r="F19" s="225"/>
      <c r="G19" s="225"/>
      <c r="H19" s="225"/>
      <c r="I19" s="225"/>
      <c r="J19" s="225"/>
      <c r="K19" s="225"/>
      <c r="L19" s="226"/>
    </row>
    <row r="20" spans="1:12" x14ac:dyDescent="0.35">
      <c r="B20" s="176"/>
      <c r="C20" s="176"/>
      <c r="D20" s="176"/>
      <c r="E20" s="176"/>
      <c r="F20" s="176"/>
      <c r="G20" s="176"/>
      <c r="H20" s="176"/>
      <c r="I20" s="176"/>
      <c r="J20" s="176"/>
      <c r="K20" s="176"/>
      <c r="L20" s="176"/>
    </row>
    <row r="21" spans="1:12" x14ac:dyDescent="0.35">
      <c r="A21" s="1" t="s">
        <v>405</v>
      </c>
    </row>
    <row r="22" spans="1:12" x14ac:dyDescent="0.35">
      <c r="B22" s="2" t="s">
        <v>92</v>
      </c>
      <c r="C22" t="s">
        <v>152</v>
      </c>
    </row>
    <row r="23" spans="1:12" x14ac:dyDescent="0.35">
      <c r="B23" s="2" t="s">
        <v>155</v>
      </c>
      <c r="C23" t="s">
        <v>197</v>
      </c>
    </row>
    <row r="24" spans="1:12" x14ac:dyDescent="0.35">
      <c r="B24" s="2" t="s">
        <v>92</v>
      </c>
      <c r="C24" t="s">
        <v>331</v>
      </c>
    </row>
    <row r="25" spans="1:12" x14ac:dyDescent="0.35">
      <c r="B25" s="2" t="s">
        <v>329</v>
      </c>
      <c r="C25" t="s">
        <v>332</v>
      </c>
    </row>
    <row r="26" spans="1:12" x14ac:dyDescent="0.35">
      <c r="B26" s="2" t="s">
        <v>330</v>
      </c>
      <c r="C26" t="s">
        <v>333</v>
      </c>
    </row>
    <row r="27" spans="1:12" x14ac:dyDescent="0.35">
      <c r="B27" s="2" t="s">
        <v>317</v>
      </c>
      <c r="C27" t="s">
        <v>320</v>
      </c>
    </row>
    <row r="28" spans="1:12" x14ac:dyDescent="0.35">
      <c r="B28" s="2" t="s">
        <v>318</v>
      </c>
      <c r="C28" t="s">
        <v>252</v>
      </c>
    </row>
    <row r="29" spans="1:12" x14ac:dyDescent="0.35">
      <c r="B29" s="2" t="s">
        <v>319</v>
      </c>
      <c r="C29" t="s">
        <v>251</v>
      </c>
    </row>
    <row r="30" spans="1:12" x14ac:dyDescent="0.35">
      <c r="B30" s="2" t="s">
        <v>210</v>
      </c>
      <c r="C30" t="s">
        <v>212</v>
      </c>
    </row>
    <row r="31" spans="1:12" x14ac:dyDescent="0.35">
      <c r="B31" s="2" t="s">
        <v>211</v>
      </c>
      <c r="C31" t="s">
        <v>140</v>
      </c>
    </row>
    <row r="32" spans="1:12" x14ac:dyDescent="0.35">
      <c r="B32" s="2" t="s">
        <v>153</v>
      </c>
      <c r="C32" t="s">
        <v>213</v>
      </c>
    </row>
    <row r="33" spans="1:3" x14ac:dyDescent="0.35">
      <c r="B33" s="2" t="s">
        <v>214</v>
      </c>
      <c r="C33" t="s">
        <v>215</v>
      </c>
    </row>
    <row r="34" spans="1:3" x14ac:dyDescent="0.35">
      <c r="B34" s="2" t="s">
        <v>242</v>
      </c>
      <c r="C34" t="s">
        <v>243</v>
      </c>
    </row>
    <row r="35" spans="1:3" x14ac:dyDescent="0.35">
      <c r="B35" s="2" t="s">
        <v>93</v>
      </c>
      <c r="C35" t="s">
        <v>94</v>
      </c>
    </row>
    <row r="36" spans="1:3" x14ac:dyDescent="0.35">
      <c r="B36" s="2" t="s">
        <v>95</v>
      </c>
      <c r="C36" t="s">
        <v>96</v>
      </c>
    </row>
    <row r="37" spans="1:3" x14ac:dyDescent="0.35">
      <c r="B37" s="2" t="s">
        <v>141</v>
      </c>
      <c r="C37" t="s">
        <v>142</v>
      </c>
    </row>
    <row r="38" spans="1:3" x14ac:dyDescent="0.35">
      <c r="B38" s="2" t="s">
        <v>384</v>
      </c>
      <c r="C38" t="s">
        <v>385</v>
      </c>
    </row>
    <row r="40" spans="1:3" x14ac:dyDescent="0.35">
      <c r="A40" s="1" t="s">
        <v>201</v>
      </c>
    </row>
    <row r="41" spans="1:3" x14ac:dyDescent="0.35">
      <c r="A41" t="s">
        <v>202</v>
      </c>
    </row>
    <row r="42" spans="1:3" x14ac:dyDescent="0.35">
      <c r="A42" t="s">
        <v>203</v>
      </c>
    </row>
    <row r="43" spans="1:3" x14ac:dyDescent="0.35">
      <c r="A43" s="67" t="s">
        <v>204</v>
      </c>
    </row>
    <row r="44" spans="1:3" x14ac:dyDescent="0.35">
      <c r="A44" s="67" t="s">
        <v>206</v>
      </c>
    </row>
    <row r="45" spans="1:3" x14ac:dyDescent="0.35">
      <c r="A45" s="67"/>
    </row>
    <row r="46" spans="1:3" x14ac:dyDescent="0.35">
      <c r="A46" s="1" t="s">
        <v>205</v>
      </c>
    </row>
    <row r="47" spans="1:3" x14ac:dyDescent="0.35">
      <c r="A47" t="s">
        <v>224</v>
      </c>
    </row>
    <row r="49" spans="1:12" ht="16" customHeight="1" x14ac:dyDescent="0.35">
      <c r="A49" s="1" t="s">
        <v>49</v>
      </c>
    </row>
    <row r="50" spans="1:12" ht="29.25" customHeight="1" x14ac:dyDescent="0.35">
      <c r="A50" s="220" t="s">
        <v>223</v>
      </c>
      <c r="B50" s="220"/>
      <c r="C50" s="220"/>
      <c r="D50" s="220"/>
      <c r="E50" s="220"/>
      <c r="F50" s="220"/>
      <c r="G50" s="220"/>
      <c r="H50" s="220"/>
      <c r="I50" s="220"/>
      <c r="J50" s="220"/>
      <c r="K50" s="220"/>
      <c r="L50" s="220"/>
    </row>
  </sheetData>
  <mergeCells count="18">
    <mergeCell ref="A1:L1"/>
    <mergeCell ref="A12:L12"/>
    <mergeCell ref="A7:L7"/>
    <mergeCell ref="A50:L50"/>
    <mergeCell ref="A18:L18"/>
    <mergeCell ref="A19:L19"/>
    <mergeCell ref="A11:L11"/>
    <mergeCell ref="A15:L15"/>
    <mergeCell ref="A14:L14"/>
    <mergeCell ref="A16:L16"/>
    <mergeCell ref="A17:L17"/>
    <mergeCell ref="N4:R4"/>
    <mergeCell ref="A10:L10"/>
    <mergeCell ref="A9:L9"/>
    <mergeCell ref="A4:L4"/>
    <mergeCell ref="A5:L5"/>
    <mergeCell ref="A6:L6"/>
    <mergeCell ref="A8:L8"/>
  </mergeCells>
  <hyperlinks>
    <hyperlink ref="A43" r:id="rId1" xr:uid="{6B934EC2-E381-41EE-938C-08FAF5E51BBE}"/>
    <hyperlink ref="A44" r:id="rId2" xr:uid="{785DB934-D308-4A7B-B51A-B3D1C1CB613D}"/>
    <hyperlink ref="N6" r:id="rId3" display="https://github.com/dzeke/ColoradoRiverCoding/raw/main/ModelMusings/PilotFlexAccounting-KeyIdeas.pdf" xr:uid="{131A8731-68D5-4DE1-835C-AA3411740421}"/>
    <hyperlink ref="N8" r:id="rId4" display="https://digitalcommons.usu.edu/water_pubs/170/" xr:uid="{C87F4137-D52B-4051-AAEB-3EA6F92E8E3C}"/>
    <hyperlink ref="A17" r:id="rId5" location="get-started" xr:uid="{0D919A5D-49B0-4CA3-90DD-F2E8DF050F78}"/>
    <hyperlink ref="N15" r:id="rId6" xr:uid="{072649A5-E2A3-441E-B368-B60853092EB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48EB2-B7B4-455D-8E0E-3B2C8F7E8676}">
  <dimension ref="A1:N142"/>
  <sheetViews>
    <sheetView zoomScale="150" zoomScaleNormal="150" workbookViewId="0">
      <selection activeCell="B12" sqref="B12:F15"/>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56" t="s">
        <v>148</v>
      </c>
      <c r="B3" s="256"/>
      <c r="C3" s="256"/>
      <c r="D3" s="256"/>
      <c r="E3" s="256"/>
      <c r="F3" s="256"/>
      <c r="G3" s="256"/>
      <c r="H3" s="112"/>
      <c r="I3" s="112"/>
      <c r="J3" s="112"/>
      <c r="K3" s="112"/>
    </row>
    <row r="4" spans="1:13" x14ac:dyDescent="0.35">
      <c r="A4" s="51" t="s">
        <v>38</v>
      </c>
      <c r="B4" s="51" t="s">
        <v>42</v>
      </c>
      <c r="C4" s="257" t="s">
        <v>43</v>
      </c>
      <c r="D4" s="258"/>
      <c r="E4" s="258"/>
      <c r="F4" s="258"/>
      <c r="G4" s="259"/>
      <c r="M4" s="1" t="s">
        <v>294</v>
      </c>
    </row>
    <row r="5" spans="1:13" x14ac:dyDescent="0.35">
      <c r="A5" s="122" t="s">
        <v>39</v>
      </c>
      <c r="B5" s="122"/>
      <c r="C5" s="247" t="s">
        <v>207</v>
      </c>
      <c r="D5" s="242"/>
      <c r="E5" s="242"/>
      <c r="F5" s="242"/>
      <c r="G5" s="242"/>
      <c r="M5" t="s">
        <v>295</v>
      </c>
    </row>
    <row r="6" spans="1:13" x14ac:dyDescent="0.35">
      <c r="A6" s="122" t="s">
        <v>40</v>
      </c>
      <c r="B6" s="122"/>
      <c r="C6" s="247" t="s">
        <v>208</v>
      </c>
      <c r="D6" s="242"/>
      <c r="E6" s="242"/>
      <c r="F6" s="242"/>
      <c r="G6" s="242"/>
      <c r="M6" t="s">
        <v>300</v>
      </c>
    </row>
    <row r="7" spans="1:13" x14ac:dyDescent="0.35">
      <c r="A7" s="122" t="s">
        <v>41</v>
      </c>
      <c r="B7" s="122"/>
      <c r="C7" s="247" t="s">
        <v>149</v>
      </c>
      <c r="D7" s="242"/>
      <c r="E7" s="242"/>
      <c r="F7" s="242"/>
      <c r="G7" s="242"/>
      <c r="M7" t="s">
        <v>301</v>
      </c>
    </row>
    <row r="8" spans="1:13" x14ac:dyDescent="0.35">
      <c r="A8" s="111" t="s">
        <v>154</v>
      </c>
      <c r="B8" s="111"/>
      <c r="C8" s="249" t="s">
        <v>305</v>
      </c>
      <c r="D8" s="249"/>
      <c r="E8" s="249"/>
      <c r="F8" s="249"/>
      <c r="G8" s="249"/>
    </row>
    <row r="9" spans="1:13" x14ac:dyDescent="0.35">
      <c r="A9" s="122"/>
      <c r="B9" s="122"/>
      <c r="C9" s="248"/>
      <c r="D9" s="248"/>
      <c r="E9" s="248"/>
      <c r="F9" s="248"/>
      <c r="G9" s="248"/>
    </row>
    <row r="10" spans="1:13" x14ac:dyDescent="0.35">
      <c r="A10" s="122"/>
      <c r="B10" s="122"/>
      <c r="C10" s="248"/>
      <c r="D10" s="248"/>
      <c r="E10" s="248"/>
      <c r="F10" s="248"/>
      <c r="G10" s="248"/>
    </row>
    <row r="11" spans="1:13" x14ac:dyDescent="0.35">
      <c r="A11" s="15"/>
      <c r="B11" s="2"/>
      <c r="C11"/>
    </row>
    <row r="12" spans="1:13" x14ac:dyDescent="0.35">
      <c r="A12" s="18" t="s">
        <v>45</v>
      </c>
      <c r="B12" s="260" t="s">
        <v>195</v>
      </c>
      <c r="C12" s="260"/>
      <c r="D12" s="260"/>
      <c r="E12" s="260"/>
      <c r="F12" s="260"/>
    </row>
    <row r="13" spans="1:13" x14ac:dyDescent="0.35">
      <c r="B13" s="261" t="s">
        <v>314</v>
      </c>
      <c r="C13" s="262"/>
      <c r="D13" s="262"/>
      <c r="E13" s="262"/>
      <c r="F13" s="262"/>
    </row>
    <row r="14" spans="1:13" x14ac:dyDescent="0.35">
      <c r="B14" s="263" t="s">
        <v>303</v>
      </c>
      <c r="C14" s="264"/>
      <c r="D14" s="264"/>
      <c r="E14" s="264"/>
      <c r="F14" s="264"/>
    </row>
    <row r="15" spans="1:13" x14ac:dyDescent="0.35">
      <c r="B15" s="265" t="s">
        <v>46</v>
      </c>
      <c r="C15" s="265"/>
      <c r="D15" s="265"/>
      <c r="E15" s="265"/>
      <c r="F15" s="265"/>
    </row>
    <row r="17" spans="1:14" x14ac:dyDescent="0.35">
      <c r="A17" s="1" t="s">
        <v>53</v>
      </c>
      <c r="D17" s="260" t="s">
        <v>151</v>
      </c>
      <c r="E17" s="260"/>
      <c r="F17" s="260"/>
      <c r="G17" s="260"/>
    </row>
    <row r="19" spans="1:14" x14ac:dyDescent="0.35">
      <c r="A19" s="1" t="s">
        <v>32</v>
      </c>
      <c r="B19" s="1" t="s">
        <v>108</v>
      </c>
      <c r="C19" s="13" t="s">
        <v>109</v>
      </c>
    </row>
    <row r="20" spans="1:14" x14ac:dyDescent="0.35">
      <c r="A20" t="s">
        <v>107</v>
      </c>
      <c r="B20" s="129">
        <v>5.73</v>
      </c>
      <c r="C20" s="129">
        <v>6</v>
      </c>
      <c r="D20" s="22" t="s">
        <v>110</v>
      </c>
    </row>
    <row r="21" spans="1:14" x14ac:dyDescent="0.35">
      <c r="A21" t="s">
        <v>139</v>
      </c>
      <c r="B21" s="129">
        <v>11</v>
      </c>
      <c r="C21" s="129">
        <v>10.1</v>
      </c>
      <c r="D21" s="11" t="s">
        <v>34</v>
      </c>
    </row>
    <row r="22" spans="1:14" x14ac:dyDescent="0.35">
      <c r="A22" t="s">
        <v>186</v>
      </c>
      <c r="B22" s="60">
        <v>3525</v>
      </c>
      <c r="C22" s="60">
        <v>1020</v>
      </c>
      <c r="D22" s="11"/>
    </row>
    <row r="23" spans="1:14" x14ac:dyDescent="0.35">
      <c r="A23" t="s">
        <v>172</v>
      </c>
      <c r="B23" s="129">
        <f>VLOOKUP(B22,'Powell-Elevation-Area'!$A$5:$B$689,2)/1000000</f>
        <v>5.9265762500000001</v>
      </c>
      <c r="C23" s="129">
        <f>VLOOKUP(C22,'Mead-Elevation-Area'!$A$5:$B$689,2)/1000000</f>
        <v>5.664593</v>
      </c>
      <c r="D23" s="11"/>
      <c r="E23" s="43"/>
    </row>
    <row r="25" spans="1:14" s="1" customFormat="1" x14ac:dyDescent="0.3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35">
      <c r="A26" s="1" t="s">
        <v>44</v>
      </c>
      <c r="B26" s="1"/>
      <c r="C26" s="130">
        <v>12.4</v>
      </c>
      <c r="D26" s="130">
        <v>12.4</v>
      </c>
      <c r="E26" s="130">
        <v>12.4</v>
      </c>
      <c r="F26" s="130">
        <v>12.4</v>
      </c>
      <c r="G26" s="130">
        <v>12.4</v>
      </c>
      <c r="H26" s="130">
        <v>12.4</v>
      </c>
      <c r="I26" s="130">
        <v>14.4</v>
      </c>
      <c r="J26" s="130">
        <v>14.4</v>
      </c>
      <c r="K26" s="130">
        <v>14.4</v>
      </c>
      <c r="L26" s="130">
        <v>14.4</v>
      </c>
    </row>
    <row r="27" spans="1:14" x14ac:dyDescent="0.3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35">
      <c r="A28" s="1" t="s">
        <v>278</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35">
      <c r="A29" s="1" t="s">
        <v>122</v>
      </c>
      <c r="B29" s="108">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16.754210321597476</v>
      </c>
      <c r="K29" s="14">
        <f t="shared" ca="1" si="2"/>
        <v>17.969298338763544</v>
      </c>
      <c r="L29" s="14">
        <f t="shared" ca="1" si="2"/>
        <v>19.146197563430782</v>
      </c>
    </row>
    <row r="30" spans="1:14" x14ac:dyDescent="0.3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4.9519284043853409</v>
      </c>
      <c r="K30" s="14">
        <f t="shared" ca="1" si="4"/>
        <v>6.1848350048055627</v>
      </c>
      <c r="L30" s="14">
        <f t="shared" ca="1" si="4"/>
        <v>7.3613409808086034</v>
      </c>
      <c r="N30" t="s">
        <v>174</v>
      </c>
    </row>
    <row r="31" spans="1:14" x14ac:dyDescent="0.3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9.1288800524318425E-2</v>
      </c>
      <c r="K31" s="14">
        <f t="shared" ca="1" si="6"/>
        <v>7.9832364543001688E-2</v>
      </c>
      <c r="L31" s="14">
        <f t="shared" ca="1" si="6"/>
        <v>8.6083721142300007E-2</v>
      </c>
      <c r="N31" t="s">
        <v>171</v>
      </c>
    </row>
    <row r="32" spans="1:14" x14ac:dyDescent="0.3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0.14931228563432986</v>
      </c>
      <c r="G32" s="50">
        <f t="shared" ca="1" si="6"/>
        <v>0.14154478800417558</v>
      </c>
      <c r="H32" s="14">
        <f t="shared" ca="1" si="6"/>
        <v>0.13404274739387745</v>
      </c>
      <c r="I32" s="14">
        <f t="shared" ca="1" si="6"/>
        <v>0.1267980923965879</v>
      </c>
      <c r="J32" s="14">
        <f t="shared" ca="1" si="6"/>
        <v>0.11982386668781775</v>
      </c>
      <c r="K32" s="14">
        <f t="shared" ca="1" si="6"/>
        <v>0.11346171941498073</v>
      </c>
      <c r="L32" s="14">
        <f t="shared" ca="1" si="6"/>
        <v>0.10760361147988062</v>
      </c>
      <c r="N32" t="s">
        <v>170</v>
      </c>
    </row>
    <row r="33" spans="1:14" x14ac:dyDescent="0.3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3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193</v>
      </c>
      <c r="C36"/>
    </row>
    <row r="37" spans="1:14" x14ac:dyDescent="0.35">
      <c r="A37" t="s">
        <v>111</v>
      </c>
      <c r="C37" s="14">
        <f>IF(C$26&lt;&gt;"",B21,"")</f>
        <v>11</v>
      </c>
      <c r="D37" s="14">
        <f ca="1">IF(D$26&lt;&gt;"",C129,"")</f>
        <v>9.8858844933333465</v>
      </c>
      <c r="E37" s="14">
        <f t="shared" ref="E37:L38" ca="1" si="7">IF(E$26&lt;&gt;"",D129,"")</f>
        <v>9.2421623911669659</v>
      </c>
      <c r="F37" s="14">
        <f t="shared" ca="1" si="7"/>
        <v>8.8220026852505988</v>
      </c>
      <c r="G37" s="14">
        <f t="shared" ca="1" si="7"/>
        <v>8.415399336583647</v>
      </c>
      <c r="H37" s="14">
        <f t="shared" ca="1" si="7"/>
        <v>8.0217065854166947</v>
      </c>
      <c r="I37" s="14">
        <f t="shared" ca="1" si="7"/>
        <v>7.6812612237148183</v>
      </c>
      <c r="J37" s="14">
        <f t="shared" ca="1" si="7"/>
        <v>8.3771051607987381</v>
      </c>
      <c r="K37" s="14">
        <f t="shared" ca="1" si="7"/>
        <v>8.9846491693817718</v>
      </c>
      <c r="L37" s="14">
        <f t="shared" ca="1" si="7"/>
        <v>9.573098781715391</v>
      </c>
    </row>
    <row r="38" spans="1:14" x14ac:dyDescent="0.35">
      <c r="A38" t="s">
        <v>112</v>
      </c>
      <c r="C38" s="14">
        <f>IF(C$26&lt;&gt;"",C21,"")</f>
        <v>10.1</v>
      </c>
      <c r="D38" s="14">
        <f ca="1">IF(D$26&lt;&gt;"",C130,"")</f>
        <v>9.8858844933333465</v>
      </c>
      <c r="E38" s="14">
        <f t="shared" ca="1" si="7"/>
        <v>9.2421623911669659</v>
      </c>
      <c r="F38" s="14">
        <f t="shared" ca="1" si="7"/>
        <v>8.8220026852505988</v>
      </c>
      <c r="G38" s="14">
        <f t="shared" ca="1" si="7"/>
        <v>8.415399336583647</v>
      </c>
      <c r="H38" s="14">
        <f t="shared" ca="1" si="7"/>
        <v>8.0217065854166947</v>
      </c>
      <c r="I38" s="14">
        <f t="shared" ca="1" si="7"/>
        <v>7.6812612237148183</v>
      </c>
      <c r="J38" s="14">
        <f t="shared" ca="1" si="7"/>
        <v>8.3771051607987381</v>
      </c>
      <c r="K38" s="14">
        <f t="shared" ca="1" si="7"/>
        <v>8.9846491693817718</v>
      </c>
      <c r="L38" s="14">
        <f t="shared" ca="1" si="7"/>
        <v>9.573098781715391</v>
      </c>
    </row>
    <row r="39" spans="1:14" x14ac:dyDescent="0.3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0.88957864950059995</v>
      </c>
      <c r="K39" s="14">
        <f ca="1">IF(K$26&lt;&gt;"",VLOOKUP(K37*1000000,'Powell-Elevation-Area'!$B$5:$D$689,3)*$B$20/1000000 + VLOOKUP(K38*1000000,'Mead-Elevation-Area'!$B$5:$D$676,3)*$C$20/1000000,"")</f>
        <v>0.92776744199942707</v>
      </c>
      <c r="L39" s="14">
        <f ca="1">IF(L$26&lt;&gt;"",VLOOKUP(L37*1000000,'Powell-Elevation-Area'!$B$5:$D$689,3)*$B$20/1000000 + VLOOKUP(L38*1000000,'Mead-Elevation-Area'!$B$5:$D$676,3)*$C$20/1000000,"")</f>
        <v>0.96425223450057307</v>
      </c>
    </row>
    <row r="40" spans="1:14" x14ac:dyDescent="0.35">
      <c r="A40" t="str">
        <f t="shared" ref="A40:A45" si="8">IF(A5="","","    "&amp;A5&amp;" Share")</f>
        <v xml:space="preserve">    Upper Basin Share</v>
      </c>
      <c r="B40" s="1"/>
      <c r="C40" s="14">
        <f t="shared" ref="C40:L45" si="9">IF(OR(C$26="",$A40=""),"",C$39*C30/C$29)</f>
        <v>0.24571184643515467</v>
      </c>
      <c r="D40" s="14">
        <f t="shared" ca="1" si="9"/>
        <v>0.23838539737502931</v>
      </c>
      <c r="E40" s="14">
        <f t="shared" ca="1" si="9"/>
        <v>0.23220325154050594</v>
      </c>
      <c r="F40" s="14">
        <f t="shared" ca="1" si="9"/>
        <v>0.22398638052283681</v>
      </c>
      <c r="G40" s="14">
        <f t="shared" ca="1" si="9"/>
        <v>0.21611072731792424</v>
      </c>
      <c r="H40" s="14">
        <f t="shared" ca="1" si="9"/>
        <v>0.20847104177550577</v>
      </c>
      <c r="I40" s="14">
        <f t="shared" ca="1" si="9"/>
        <v>0.20046003398104176</v>
      </c>
      <c r="J40" s="14">
        <f t="shared" ca="1" si="9"/>
        <v>0.26292673291311247</v>
      </c>
      <c r="K40" s="14">
        <f t="shared" ca="1" si="9"/>
        <v>0.31932735733029216</v>
      </c>
      <c r="L40" s="14">
        <f t="shared" ca="1" si="9"/>
        <v>0.37073625016921746</v>
      </c>
    </row>
    <row r="41" spans="1:14" x14ac:dyDescent="0.35">
      <c r="A41" t="str">
        <f t="shared" si="8"/>
        <v xml:space="preserve">    Lower Basin Share</v>
      </c>
      <c r="B41" s="1"/>
      <c r="C41" s="14">
        <f t="shared" si="9"/>
        <v>0.20638492544244763</v>
      </c>
      <c r="D41" s="14">
        <f t="shared" ca="1" si="9"/>
        <v>0.15933469995544408</v>
      </c>
      <c r="E41" s="14">
        <f t="shared" ca="1" si="9"/>
        <v>0.11215533153819036</v>
      </c>
      <c r="F41" s="14">
        <f t="shared" ca="1" si="9"/>
        <v>8.3125704742465487E-2</v>
      </c>
      <c r="G41" s="14">
        <f t="shared" ca="1" si="9"/>
        <v>5.4093767718670333E-2</v>
      </c>
      <c r="H41" s="14">
        <f t="shared" ca="1" si="9"/>
        <v>2.4916279200049612E-2</v>
      </c>
      <c r="I41" s="14">
        <f t="shared" ca="1" si="9"/>
        <v>0</v>
      </c>
      <c r="J41" s="14">
        <f t="shared" ca="1" si="9"/>
        <v>4.8470543419327078E-3</v>
      </c>
      <c r="K41" s="14">
        <f t="shared" ca="1" si="9"/>
        <v>4.1218008207393846E-3</v>
      </c>
      <c r="L41" s="14">
        <f t="shared" ca="1" si="9"/>
        <v>4.3353997675302999E-3</v>
      </c>
    </row>
    <row r="42" spans="1:14" x14ac:dyDescent="0.35">
      <c r="A42" t="str">
        <f t="shared" si="8"/>
        <v xml:space="preserve">    Mexico Share</v>
      </c>
      <c r="B42" s="1"/>
      <c r="C42" s="14">
        <f t="shared" si="9"/>
        <v>8.4270235222746598E-3</v>
      </c>
      <c r="D42" s="14">
        <f t="shared" ca="1" si="9"/>
        <v>8.2160300009359519E-3</v>
      </c>
      <c r="E42" s="14">
        <f t="shared" ca="1" si="9"/>
        <v>8.0446608424592572E-3</v>
      </c>
      <c r="F42" s="14">
        <f t="shared" ca="1" si="9"/>
        <v>7.767497630154243E-3</v>
      </c>
      <c r="G42" s="14">
        <f t="shared" ca="1" si="9"/>
        <v>7.5020406102980219E-3</v>
      </c>
      <c r="H42" s="14">
        <f t="shared" ca="1" si="9"/>
        <v>7.244654997289551E-3</v>
      </c>
      <c r="I42" s="14">
        <f t="shared" ca="1" si="9"/>
        <v>6.9742257087702306E-3</v>
      </c>
      <c r="J42" s="14">
        <f t="shared" ca="1" si="9"/>
        <v>6.3621472728369963E-3</v>
      </c>
      <c r="K42" s="14">
        <f t="shared" ca="1" si="9"/>
        <v>5.8581079351001921E-3</v>
      </c>
      <c r="L42" s="14">
        <f t="shared" ca="1" si="9"/>
        <v>5.419197334930995E-3</v>
      </c>
    </row>
    <row r="43" spans="1:14" x14ac:dyDescent="0.35">
      <c r="A43" t="str">
        <f t="shared" si="8"/>
        <v xml:space="preserve">    Shared, Reserve Share</v>
      </c>
      <c r="B43" s="1"/>
      <c r="C43" s="14">
        <f t="shared" si="9"/>
        <v>0.56137388460009618</v>
      </c>
      <c r="D43" s="14">
        <f t="shared" ca="1" si="9"/>
        <v>0.57517474366801757</v>
      </c>
      <c r="E43" s="14">
        <f t="shared" ca="1" si="9"/>
        <v>0.59258283457824434</v>
      </c>
      <c r="F43" s="14">
        <f t="shared" ca="1" si="9"/>
        <v>0.60299378110511659</v>
      </c>
      <c r="G43" s="14">
        <f t="shared" ca="1" si="9"/>
        <v>0.61434563335368053</v>
      </c>
      <c r="H43" s="14">
        <f t="shared" ca="1" si="9"/>
        <v>0.62647195662655508</v>
      </c>
      <c r="I43" s="14">
        <f t="shared" ca="1" si="9"/>
        <v>0.63754453280901513</v>
      </c>
      <c r="J43" s="14">
        <f t="shared" ca="1" si="9"/>
        <v>0.61544271497271774</v>
      </c>
      <c r="K43" s="14">
        <f t="shared" ca="1" si="9"/>
        <v>0.59846017591329537</v>
      </c>
      <c r="L43" s="14">
        <f t="shared" ca="1" si="9"/>
        <v>0.58376138722889448</v>
      </c>
    </row>
    <row r="44" spans="1:14" x14ac:dyDescent="0.3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3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3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1.4083333333333332</v>
      </c>
    </row>
    <row r="47" spans="1:14" x14ac:dyDescent="0.35">
      <c r="A47" s="1" t="s">
        <v>279</v>
      </c>
      <c r="B47" s="1"/>
      <c r="C47" s="49">
        <f>IF(C26="","",SUM(C26:C27)-C28)</f>
        <v>12.600000000000001</v>
      </c>
      <c r="D47" s="49">
        <f t="shared" ref="D47:L47" si="10">IF(D26="","",SUM(D26:D27)-D28)</f>
        <v>12.600000000000001</v>
      </c>
      <c r="E47" s="14">
        <f t="shared" si="10"/>
        <v>12.600000000000001</v>
      </c>
      <c r="F47" s="49">
        <f t="shared" si="10"/>
        <v>12.600000000000001</v>
      </c>
      <c r="G47" s="49">
        <f t="shared" si="10"/>
        <v>12.600000000000001</v>
      </c>
      <c r="H47" s="49">
        <f t="shared" si="10"/>
        <v>12.600000000000001</v>
      </c>
      <c r="I47" s="49">
        <f t="shared" si="10"/>
        <v>14.600000000000001</v>
      </c>
      <c r="J47" s="49">
        <f t="shared" si="10"/>
        <v>14.600000000000001</v>
      </c>
      <c r="K47" s="49">
        <f t="shared" si="10"/>
        <v>14.600000000000001</v>
      </c>
      <c r="L47" s="49">
        <f t="shared" si="10"/>
        <v>14.600000000000001</v>
      </c>
      <c r="M47" s="43"/>
      <c r="N47" s="43"/>
    </row>
    <row r="48" spans="1:14" x14ac:dyDescent="0.35">
      <c r="A48" t="str">
        <f t="shared" ref="A48:A53" si="11">IF(A5="","","    To "&amp;A5)</f>
        <v xml:space="preserve">    To Upper Basin</v>
      </c>
      <c r="B48" s="127" t="s">
        <v>144</v>
      </c>
      <c r="C48" s="106">
        <f>IF(OR(C$26="",$A48=""),"",IF(C$26&gt;SUM(MIN($B49,C26-C50/2)+C50/2),C$26-SUM(MIN($B49,C26-C50/2)+C50/2),0))</f>
        <v>4.1763333333333339</v>
      </c>
      <c r="D48" s="106">
        <f t="shared" ref="D48:L48" ca="1" si="12">IF(OR(D$26="",$A48=""),"",IF(D$26&gt;SUM(MIN($B49,D26-D50/2)+D50/2),D$26-SUM(MIN($B49,D26-D50/2)+D50/2),0))</f>
        <v>4.1763333333333339</v>
      </c>
      <c r="E48" s="106">
        <f t="shared" ca="1" si="12"/>
        <v>4.1958333333333346</v>
      </c>
      <c r="F48" s="106">
        <f t="shared" ca="1" si="12"/>
        <v>4.1958333333333346</v>
      </c>
      <c r="G48" s="106">
        <f t="shared" ca="1" si="12"/>
        <v>4.1958333333333346</v>
      </c>
      <c r="H48" s="106">
        <f t="shared" ca="1" si="12"/>
        <v>4.1958333333333346</v>
      </c>
      <c r="I48" s="106">
        <f t="shared" ca="1" si="12"/>
        <v>6.2078333333333333</v>
      </c>
      <c r="J48" s="106">
        <f t="shared" ca="1" si="12"/>
        <v>6.1958333333333346</v>
      </c>
      <c r="K48" s="106">
        <f t="shared" ca="1" si="12"/>
        <v>6.1958333333333346</v>
      </c>
      <c r="L48" s="106">
        <f t="shared" ca="1" si="12"/>
        <v>6.1958333333333346</v>
      </c>
      <c r="M48" s="27"/>
      <c r="N48" s="27"/>
    </row>
    <row r="49" spans="1:14" x14ac:dyDescent="0.35">
      <c r="A49" t="str">
        <f t="shared" si="11"/>
        <v xml:space="preserve">    To Lower Basin</v>
      </c>
      <c r="B49" s="128">
        <f>7.5</f>
        <v>7.5</v>
      </c>
      <c r="C49" s="106">
        <f>IF(OR(C$26="",$A49=""),"",C27-C28-C51-C50/2+MIN($B49,C26-C50/2))</f>
        <v>6.4149594487332369</v>
      </c>
      <c r="D49" s="106">
        <f t="shared" ref="D49:L49" ca="1" si="13">IF(OR(D$26="",$A49=""),"",D27-D28-D51-D50/2+MIN($B49,D26-D50/2))</f>
        <v>6.4011585896653163</v>
      </c>
      <c r="E49" s="106">
        <f t="shared" ca="1" si="13"/>
        <v>6.4032504987550887</v>
      </c>
      <c r="F49" s="106">
        <f t="shared" ca="1" si="13"/>
        <v>6.3928395522282173</v>
      </c>
      <c r="G49" s="106">
        <f t="shared" ca="1" si="13"/>
        <v>6.3814876999796528</v>
      </c>
      <c r="H49" s="106">
        <f t="shared" ca="1" si="13"/>
        <v>6.3693613767067783</v>
      </c>
      <c r="I49" s="106">
        <f t="shared" ca="1" si="13"/>
        <v>6.3702888005243183</v>
      </c>
      <c r="J49" s="106">
        <f t="shared" ca="1" si="13"/>
        <v>6.3803906183606163</v>
      </c>
      <c r="K49" s="106">
        <f t="shared" ca="1" si="13"/>
        <v>6.3973731574200379</v>
      </c>
      <c r="L49" s="106">
        <f t="shared" ca="1" si="13"/>
        <v>6.4120719461044384</v>
      </c>
      <c r="M49" s="27"/>
      <c r="N49" s="27"/>
    </row>
    <row r="50" spans="1:14" x14ac:dyDescent="0.35">
      <c r="A50" t="str">
        <f t="shared" si="11"/>
        <v xml:space="preserve">    To Mexico</v>
      </c>
      <c r="B50" s="128" t="s">
        <v>182</v>
      </c>
      <c r="C50" s="106">
        <f>IF(OR(C$26="",$A50=""),"",IF(C$47&gt;SUM(C51:C52,C46),C46,C$47-SUM(C51:C52)))</f>
        <v>1.4473333333333334</v>
      </c>
      <c r="D50" s="106">
        <f t="shared" ref="D50:L50" ca="1" si="14">IF(OR(D$26="",$A50=""),"",IF(D$47&gt;SUM(D51:D52,D46),D46,D$47-SUM(D51:D52)))</f>
        <v>1.4473333333333334</v>
      </c>
      <c r="E50" s="106">
        <f t="shared" ca="1" si="14"/>
        <v>1.4083333333333332</v>
      </c>
      <c r="F50" s="106">
        <f t="shared" ca="1" si="14"/>
        <v>1.4083333333333332</v>
      </c>
      <c r="G50" s="106">
        <f t="shared" ca="1" si="14"/>
        <v>1.4083333333333332</v>
      </c>
      <c r="H50" s="106">
        <f t="shared" ca="1" si="14"/>
        <v>1.4083333333333332</v>
      </c>
      <c r="I50" s="106">
        <f t="shared" ca="1" si="14"/>
        <v>1.3843333333333332</v>
      </c>
      <c r="J50" s="106">
        <f t="shared" ca="1" si="14"/>
        <v>1.4083333333333332</v>
      </c>
      <c r="K50" s="106">
        <f t="shared" ca="1" si="14"/>
        <v>1.4083333333333332</v>
      </c>
      <c r="L50" s="106">
        <f t="shared" ca="1" si="14"/>
        <v>1.4083333333333332</v>
      </c>
      <c r="M50" s="27"/>
      <c r="N50" s="27"/>
    </row>
    <row r="51" spans="1:14" x14ac:dyDescent="0.35">
      <c r="A51" t="str">
        <f t="shared" si="11"/>
        <v xml:space="preserve">    To Shared, Reserve</v>
      </c>
      <c r="B51" s="128" t="s">
        <v>181</v>
      </c>
      <c r="C51" s="106">
        <f>IF(OR(C$26="",$A51=""),"",IF(C$47&gt;C43,C43,C47))</f>
        <v>0.56137388460009618</v>
      </c>
      <c r="D51" s="106">
        <f t="shared" ref="D51:L51" ca="1" si="15">IF(OR(D$26="",$A51=""),"",IF(D$47&gt;D43,D43,D47))</f>
        <v>0.57517474366801757</v>
      </c>
      <c r="E51" s="106">
        <f t="shared" ca="1" si="15"/>
        <v>0.59258283457824434</v>
      </c>
      <c r="F51" s="106">
        <f t="shared" ca="1" si="15"/>
        <v>0.60299378110511659</v>
      </c>
      <c r="G51" s="106">
        <f t="shared" ca="1" si="15"/>
        <v>0.61434563335368053</v>
      </c>
      <c r="H51" s="106">
        <f t="shared" ca="1" si="15"/>
        <v>0.62647195662655508</v>
      </c>
      <c r="I51" s="106">
        <f t="shared" ca="1" si="15"/>
        <v>0.63754453280901513</v>
      </c>
      <c r="J51" s="106">
        <f t="shared" ca="1" si="15"/>
        <v>0.61544271497271774</v>
      </c>
      <c r="K51" s="106">
        <f t="shared" ca="1" si="15"/>
        <v>0.59846017591329537</v>
      </c>
      <c r="L51" s="106">
        <f t="shared" ca="1" si="15"/>
        <v>0.58376138722889448</v>
      </c>
      <c r="M51" s="27"/>
      <c r="N51" s="27"/>
    </row>
    <row r="52" spans="1:14" x14ac:dyDescent="0.35">
      <c r="A52" t="str">
        <f t="shared" si="11"/>
        <v/>
      </c>
      <c r="B52" s="128"/>
      <c r="C52" s="106"/>
      <c r="D52" s="106"/>
      <c r="E52" s="106"/>
      <c r="F52" s="106"/>
      <c r="G52" s="106"/>
      <c r="H52" s="106"/>
      <c r="I52" s="106"/>
      <c r="J52" s="106"/>
      <c r="K52" s="106"/>
      <c r="L52" s="106"/>
      <c r="M52" s="27"/>
      <c r="N52" s="27"/>
    </row>
    <row r="53" spans="1:14" x14ac:dyDescent="0.35">
      <c r="A53" t="str">
        <f t="shared" si="11"/>
        <v/>
      </c>
      <c r="B53" s="128"/>
      <c r="C53" s="107"/>
      <c r="D53" s="107"/>
      <c r="E53" s="107"/>
      <c r="F53" s="107"/>
      <c r="G53" s="107"/>
      <c r="H53" s="107"/>
      <c r="I53" s="107"/>
      <c r="J53" s="107"/>
      <c r="K53" s="107"/>
      <c r="L53" s="107"/>
      <c r="M53" s="27"/>
      <c r="N53" s="27"/>
    </row>
    <row r="54" spans="1:14" x14ac:dyDescent="0.35">
      <c r="C54" s="43"/>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Sales(+) and Purchases(-) [maf]")</f>
        <v xml:space="preserve">   Volume of Sales(+) and Purchases(-) [maf]</v>
      </c>
      <c r="C57" s="123"/>
      <c r="D57" s="123"/>
      <c r="E57" s="123"/>
      <c r="F57" s="123"/>
      <c r="G57" s="123"/>
      <c r="H57" s="123"/>
      <c r="I57" s="123">
        <v>0.5</v>
      </c>
      <c r="J57" s="123">
        <v>0.5</v>
      </c>
      <c r="K57" s="123">
        <v>0.5</v>
      </c>
      <c r="L57" s="123">
        <v>0.5</v>
      </c>
      <c r="M57" s="65">
        <f>SUM(C57:L57)</f>
        <v>2</v>
      </c>
      <c r="N57" t="str">
        <f>IF(A57="","","Add if multiple transactions, e.g.: 0.5 + 0.25")</f>
        <v>Add if multiple transactions, e.g.: 0.5 + 0.25</v>
      </c>
    </row>
    <row r="58" spans="1:14" x14ac:dyDescent="0.35">
      <c r="A58" s="30" t="str">
        <f>IF(A57="","","   Cash Intake(+) and Payments(-) [$ Mill]")</f>
        <v xml:space="preserve">   Cash Intake(+) and Payments(-) [$ Mill]</v>
      </c>
      <c r="C58" s="124"/>
      <c r="D58" s="124"/>
      <c r="E58" s="124"/>
      <c r="F58" s="123"/>
      <c r="G58" s="124"/>
      <c r="H58" s="124"/>
      <c r="I58" s="124">
        <f>350*I57</f>
        <v>175</v>
      </c>
      <c r="J58" s="124">
        <f t="shared" ref="J58:L58" si="16">350*J57</f>
        <v>175</v>
      </c>
      <c r="K58" s="124">
        <f t="shared" si="16"/>
        <v>175</v>
      </c>
      <c r="L58" s="124">
        <f t="shared" si="16"/>
        <v>175</v>
      </c>
      <c r="M58" s="63">
        <f>SUM(C58:L58)</f>
        <v>700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17">IF(OR(C$26="",$A59=""),"",C$112)</f>
        <v>0</v>
      </c>
      <c r="D59" s="65">
        <f t="shared" ca="1" si="17"/>
        <v>0</v>
      </c>
      <c r="E59" s="65">
        <f t="shared" ca="1" si="17"/>
        <v>0</v>
      </c>
      <c r="F59" s="65">
        <f t="shared" ca="1" si="17"/>
        <v>0</v>
      </c>
      <c r="G59" s="65">
        <f t="shared" ca="1" si="17"/>
        <v>0</v>
      </c>
      <c r="H59" s="65">
        <f t="shared" ca="1" si="17"/>
        <v>0</v>
      </c>
      <c r="I59" s="65">
        <f t="shared" ca="1" si="17"/>
        <v>0</v>
      </c>
      <c r="J59" s="65">
        <f t="shared" ca="1" si="17"/>
        <v>0</v>
      </c>
      <c r="K59" s="65">
        <f t="shared" ca="1" si="17"/>
        <v>0</v>
      </c>
      <c r="L59" s="65">
        <f t="shared" ca="1" si="17"/>
        <v>0</v>
      </c>
      <c r="M59" t="str">
        <f t="shared" si="17"/>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8">IF(OR(D$26="",$A60=""),"",D30+D48-D40-D57)</f>
        <v>8.7419931728564819</v>
      </c>
      <c r="E60" s="14">
        <f t="shared" ca="1" si="18"/>
        <v>8.5056232546493096</v>
      </c>
      <c r="F60" s="14">
        <f t="shared" ca="1" si="18"/>
        <v>8.2774702074598085</v>
      </c>
      <c r="G60" s="14">
        <f t="shared" ca="1" si="18"/>
        <v>8.0571928134752202</v>
      </c>
      <c r="H60" s="14">
        <f t="shared" ca="1" si="18"/>
        <v>7.8445551050330495</v>
      </c>
      <c r="I60" s="14">
        <f t="shared" ca="1" si="18"/>
        <v>9.1519284043853411</v>
      </c>
      <c r="J60" s="14">
        <f t="shared" ca="1" si="18"/>
        <v>10.384835004805563</v>
      </c>
      <c r="K60" s="14">
        <f t="shared" ca="1" si="18"/>
        <v>11.561340980808604</v>
      </c>
      <c r="L60" s="14">
        <f t="shared" ca="1" si="18"/>
        <v>12.686438063972721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f>IF(C60&gt;4.2,4.2,MAX(C60,0))</f>
        <v>4.2</v>
      </c>
      <c r="D61" s="125">
        <f t="shared" ref="D61:L61" ca="1" si="19">IF(D60&gt;4.2,4.2,MAX(D60,0))</f>
        <v>4.2</v>
      </c>
      <c r="E61" s="125">
        <f t="shared" ca="1" si="19"/>
        <v>4.2</v>
      </c>
      <c r="F61" s="125">
        <f t="shared" ca="1" si="19"/>
        <v>4.2</v>
      </c>
      <c r="G61" s="125">
        <f t="shared" ca="1" si="19"/>
        <v>4.2</v>
      </c>
      <c r="H61" s="125">
        <f t="shared" ca="1" si="19"/>
        <v>4.2</v>
      </c>
      <c r="I61" s="125">
        <f t="shared" ca="1" si="19"/>
        <v>4.2</v>
      </c>
      <c r="J61" s="125">
        <f t="shared" ca="1" si="19"/>
        <v>4.2</v>
      </c>
      <c r="K61" s="125">
        <f t="shared" ca="1" si="19"/>
        <v>4.2</v>
      </c>
      <c r="L61" s="125">
        <f t="shared" ca="1" si="19"/>
        <v>4.2</v>
      </c>
      <c r="N61" t="str">
        <f>IF(A61="","","Must be less than Available water")</f>
        <v>Must be less than Available water</v>
      </c>
    </row>
    <row r="62" spans="1:14" x14ac:dyDescent="0.35">
      <c r="A62" s="30" t="str">
        <f>IF(A61="","","   End of Year Balance [maf]")</f>
        <v xml:space="preserve">   End of Year Balance [maf]</v>
      </c>
      <c r="C62" s="64">
        <f>IF(OR(C$26="",$A62=""),"",C60-C61)</f>
        <v>4.8040452368981788</v>
      </c>
      <c r="D62" s="64">
        <f t="shared" ref="D62:L62" ca="1" si="20">IF(OR(D$26="",$A62=""),"",D60-D61)</f>
        <v>4.5419931728564817</v>
      </c>
      <c r="E62" s="64">
        <f t="shared" ca="1" si="20"/>
        <v>4.3056232546493094</v>
      </c>
      <c r="F62" s="64">
        <f t="shared" ca="1" si="20"/>
        <v>4.0774702074598084</v>
      </c>
      <c r="G62" s="64">
        <f t="shared" ca="1" si="20"/>
        <v>3.85719281347522</v>
      </c>
      <c r="H62" s="64">
        <f t="shared" ca="1" si="20"/>
        <v>3.6445551050330494</v>
      </c>
      <c r="I62" s="64">
        <f t="shared" ca="1" si="20"/>
        <v>4.9519284043853409</v>
      </c>
      <c r="J62" s="64">
        <f t="shared" ca="1" si="20"/>
        <v>6.1848350048055627</v>
      </c>
      <c r="K62" s="64">
        <f t="shared" ca="1" si="20"/>
        <v>7.3613409808086034</v>
      </c>
      <c r="L62" s="64">
        <f t="shared" ca="1" si="20"/>
        <v>8.4864380639727202</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   Volume of Sales(+) and Purchases(-) [maf]")</f>
        <v xml:space="preserve">   Volume of Sales(+) and Purchases(-) [maf]</v>
      </c>
      <c r="C65" s="123"/>
      <c r="D65" s="123"/>
      <c r="E65" s="123"/>
      <c r="F65" s="123"/>
      <c r="G65" s="123"/>
      <c r="H65" s="123"/>
      <c r="I65" s="123">
        <f>-I57</f>
        <v>-0.5</v>
      </c>
      <c r="J65" s="123">
        <f t="shared" ref="J65:L65" si="21">-J57</f>
        <v>-0.5</v>
      </c>
      <c r="K65" s="123">
        <f t="shared" si="21"/>
        <v>-0.5</v>
      </c>
      <c r="L65" s="123">
        <f t="shared" si="21"/>
        <v>-0.5</v>
      </c>
      <c r="M65" s="65">
        <f>SUM(C65:L65)</f>
        <v>-2</v>
      </c>
      <c r="N65" t="str">
        <f>IF(A65="","",N57)</f>
        <v>Add if multiple transactions, e.g.: 0.5 + 0.25</v>
      </c>
    </row>
    <row r="66" spans="1:14" x14ac:dyDescent="0.35">
      <c r="A66" s="30" t="str">
        <f>IF(A65="","","   Cash Intake(+) and Payments(-) [$ Mill]")</f>
        <v xml:space="preserve">   Cash Intake(+) and Payments(-) [$ Mill]</v>
      </c>
      <c r="C66" s="124"/>
      <c r="D66" s="124"/>
      <c r="E66" s="124"/>
      <c r="F66" s="124"/>
      <c r="G66" s="124"/>
      <c r="H66" s="124"/>
      <c r="I66" s="123">
        <f>-I58</f>
        <v>-175</v>
      </c>
      <c r="J66" s="123">
        <f t="shared" ref="J66:L66" si="22">-J58</f>
        <v>-175</v>
      </c>
      <c r="K66" s="123">
        <f t="shared" si="22"/>
        <v>-175</v>
      </c>
      <c r="L66" s="123">
        <f t="shared" si="22"/>
        <v>-175</v>
      </c>
      <c r="M66" s="63">
        <f>SUM(C66:L66)</f>
        <v>-700</v>
      </c>
      <c r="N66" t="str">
        <f t="shared" ref="N66:N70" si="23">IF(A66="","",N58)</f>
        <v>Add if multiple transactions, e.g.: $350*0.5 + $450*0.25</v>
      </c>
    </row>
    <row r="67" spans="1:14" x14ac:dyDescent="0.35">
      <c r="A67" s="30" t="str">
        <f>IF(A66="","","   Volume all players (should be zero)")</f>
        <v xml:space="preserve">   Volume all players (should be zero)</v>
      </c>
      <c r="C67" s="65">
        <f t="shared" ref="C67:M67" ca="1" si="24">IF(OR(C$26="",$A67=""),"",C$112)</f>
        <v>0</v>
      </c>
      <c r="D67" s="65">
        <f t="shared" ca="1" si="24"/>
        <v>0</v>
      </c>
      <c r="E67" s="65">
        <f t="shared" ca="1" si="24"/>
        <v>0</v>
      </c>
      <c r="F67" s="65">
        <f t="shared" ca="1" si="24"/>
        <v>0</v>
      </c>
      <c r="G67" s="65">
        <f t="shared" ca="1" si="24"/>
        <v>0</v>
      </c>
      <c r="H67" s="65">
        <f t="shared" ca="1" si="24"/>
        <v>0</v>
      </c>
      <c r="I67" s="65">
        <f t="shared" ca="1" si="24"/>
        <v>0</v>
      </c>
      <c r="J67" s="65">
        <f t="shared" ca="1" si="24"/>
        <v>0</v>
      </c>
      <c r="K67" s="65">
        <f t="shared" ca="1" si="24"/>
        <v>0</v>
      </c>
      <c r="L67" s="65">
        <f t="shared" ca="1" si="24"/>
        <v>0</v>
      </c>
      <c r="M67" t="str">
        <f t="shared" si="24"/>
        <v/>
      </c>
      <c r="N67" t="str">
        <f t="shared" si="23"/>
        <v>If non-zero, players need to change amount(s)</v>
      </c>
    </row>
    <row r="68" spans="1:14" x14ac:dyDescent="0.35">
      <c r="A68" s="1" t="str">
        <f>IF(A66="","","   Available Water [maf]")</f>
        <v xml:space="preserve">   Available Water [maf]</v>
      </c>
      <c r="C68" s="14">
        <f t="shared" ref="C68:L68" si="25">IF(OR(C$26="",$A68=""),"",C31+C49-C41-C65)</f>
        <v>10.469981523290789</v>
      </c>
      <c r="D68" s="14">
        <f t="shared" ca="1" si="25"/>
        <v>9.4528054130006609</v>
      </c>
      <c r="E68" s="14">
        <f t="shared" ca="1" si="25"/>
        <v>8.484900580217559</v>
      </c>
      <c r="F68" s="14">
        <f t="shared" ca="1" si="25"/>
        <v>7.9076144277033107</v>
      </c>
      <c r="G68" s="14">
        <f t="shared" ca="1" si="25"/>
        <v>7.3480083599642931</v>
      </c>
      <c r="H68" s="14">
        <f t="shared" ca="1" si="25"/>
        <v>6.805453457471021</v>
      </c>
      <c r="I68" s="14">
        <f t="shared" ca="1" si="25"/>
        <v>6.8702888005243183</v>
      </c>
      <c r="J68" s="14">
        <f t="shared" ca="1" si="25"/>
        <v>6.9668323645430021</v>
      </c>
      <c r="K68" s="14">
        <f t="shared" ca="1" si="25"/>
        <v>6.9730837211423005</v>
      </c>
      <c r="L68" s="14">
        <f t="shared" ca="1" si="25"/>
        <v>6.993820267479208</v>
      </c>
      <c r="N68" t="str">
        <f t="shared" si="23"/>
        <v>Available water = Account Balance + Available Inflow - Evaporation + Sales - Purchases</v>
      </c>
    </row>
    <row r="69" spans="1:14" x14ac:dyDescent="0.3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6.805453457471021</v>
      </c>
      <c r="I69" s="125">
        <f ca="1">IF(I27&lt;&gt;"",MIN(7.5-VLOOKUP(I38,MandatoryConservation!$C$5:$P$13,14),I68),"")</f>
        <v>6.7789999999999999</v>
      </c>
      <c r="J69" s="125">
        <f ca="1">IF(J27&lt;&gt;"",MIN(7.5-VLOOKUP(J38,MandatoryConservation!$C$5:$P$13,14),J68),"")</f>
        <v>6.8870000000000005</v>
      </c>
      <c r="K69" s="125">
        <f ca="1">IF(K27&lt;&gt;"",MIN(7.5-VLOOKUP(K38,MandatoryConservation!$C$5:$P$13,14),K68),"")</f>
        <v>6.8870000000000005</v>
      </c>
      <c r="L69" s="125">
        <f ca="1">IF(L27&lt;&gt;"",MIN(7.5-VLOOKUP(L38,MandatoryConservation!$C$5:$P$13,14),L68),"")</f>
        <v>6.8870000000000005</v>
      </c>
      <c r="N69" t="str">
        <f t="shared" si="23"/>
        <v>Must be less than Available water</v>
      </c>
    </row>
    <row r="70" spans="1:14" x14ac:dyDescent="0.35">
      <c r="A70" s="30" t="str">
        <f>IF(A69="","","   End of Year Balance [maf]")</f>
        <v xml:space="preserve">   End of Year Balance [maf]</v>
      </c>
      <c r="C70" s="64">
        <f>IF(OR(C$26="",$A70=""),"",C68-C69)</f>
        <v>3.2109815232907888</v>
      </c>
      <c r="D70" s="64">
        <f t="shared" ref="D70:L70" ca="1" si="26">IF(OR(D$26="",$A70=""),"",D68-D69)</f>
        <v>2.1938054130006606</v>
      </c>
      <c r="E70" s="64">
        <f t="shared" ca="1" si="26"/>
        <v>1.5979005802175585</v>
      </c>
      <c r="F70" s="64">
        <f t="shared" ca="1" si="26"/>
        <v>1.0206144277033102</v>
      </c>
      <c r="G70" s="64">
        <f t="shared" ca="1" si="26"/>
        <v>0.46100835996429268</v>
      </c>
      <c r="H70" s="64">
        <f t="shared" ca="1" si="26"/>
        <v>0</v>
      </c>
      <c r="I70" s="64">
        <f t="shared" ca="1" si="26"/>
        <v>9.1288800524318425E-2</v>
      </c>
      <c r="J70" s="64">
        <f t="shared" ca="1" si="26"/>
        <v>7.9832364543001688E-2</v>
      </c>
      <c r="K70" s="64">
        <f t="shared" ca="1" si="26"/>
        <v>8.6083721142300007E-2</v>
      </c>
      <c r="L70" s="64">
        <f t="shared" ca="1" si="26"/>
        <v>0.10682026747920759</v>
      </c>
      <c r="N70" t="str">
        <f t="shared" si="23"/>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   Volume of Sales(+) and Purchases(-) [maf]")</f>
        <v xml:space="preserve">   Volume of Sales(+) and Purchases(-) [maf]</v>
      </c>
      <c r="C73" s="123"/>
      <c r="D73" s="123"/>
      <c r="E73" s="123"/>
      <c r="F73" s="123"/>
      <c r="G73" s="123"/>
      <c r="H73" s="123"/>
      <c r="I73" s="123"/>
      <c r="J73" s="123"/>
      <c r="K73" s="123"/>
      <c r="L73" s="123"/>
      <c r="M73" s="65">
        <f>SUM(C73:L73)</f>
        <v>0</v>
      </c>
      <c r="N73" t="str">
        <f>IF(A73="","",N65)</f>
        <v>Add if multiple transactions, e.g.: 0.5 + 0.25</v>
      </c>
    </row>
    <row r="74" spans="1:14" x14ac:dyDescent="0.35">
      <c r="A74" s="30" t="str">
        <f>IF(A73="","","   Cash Intake(+) and Payments(-) [$ Mill]")</f>
        <v xml:space="preserve">   Cash Intake(+) and Payments(-) [$ Mill]</v>
      </c>
      <c r="C74" s="124"/>
      <c r="D74" s="124"/>
      <c r="E74" s="124"/>
      <c r="F74" s="124"/>
      <c r="G74" s="124"/>
      <c r="H74" s="124"/>
      <c r="I74" s="124"/>
      <c r="J74" s="124"/>
      <c r="K74" s="124"/>
      <c r="L74" s="124"/>
      <c r="M74" s="63">
        <f>SUM(C74:L74)</f>
        <v>0</v>
      </c>
      <c r="N74" t="str">
        <f t="shared" ref="N74:N78" si="27">IF(A74="","",N66)</f>
        <v>Add if multiple transactions, e.g.: $350*0.5 + $450*0.25</v>
      </c>
    </row>
    <row r="75" spans="1:14" x14ac:dyDescent="0.35">
      <c r="A75" s="30" t="str">
        <f>IF(A74="","","   Volume all players (should be zero)")</f>
        <v xml:space="preserve">   Volume all players (should be zero)</v>
      </c>
      <c r="C75" s="65">
        <f t="shared" ref="C75:M75" ca="1" si="28">IF(OR(C$26="",$A75=""),"",C$112)</f>
        <v>0</v>
      </c>
      <c r="D75" s="65">
        <f t="shared" ca="1" si="28"/>
        <v>0</v>
      </c>
      <c r="E75" s="65">
        <f t="shared" ca="1" si="28"/>
        <v>0</v>
      </c>
      <c r="F75" s="65">
        <f t="shared" ca="1" si="28"/>
        <v>0</v>
      </c>
      <c r="G75" s="65">
        <f t="shared" ca="1" si="28"/>
        <v>0</v>
      </c>
      <c r="H75" s="65">
        <f t="shared" ca="1" si="28"/>
        <v>0</v>
      </c>
      <c r="I75" s="65">
        <f t="shared" ca="1" si="28"/>
        <v>0</v>
      </c>
      <c r="J75" s="65">
        <f t="shared" ca="1" si="28"/>
        <v>0</v>
      </c>
      <c r="K75" s="65">
        <f t="shared" ca="1" si="28"/>
        <v>0</v>
      </c>
      <c r="L75" s="65">
        <f t="shared" ca="1" si="28"/>
        <v>0</v>
      </c>
      <c r="M75" t="str">
        <f t="shared" si="28"/>
        <v/>
      </c>
      <c r="N75" t="str">
        <f t="shared" si="27"/>
        <v>If non-zero, players need to change amount(s)</v>
      </c>
    </row>
    <row r="76" spans="1:14" x14ac:dyDescent="0.35">
      <c r="A76" s="1" t="str">
        <f>IF(A74="","","   Available Water [maf]")</f>
        <v xml:space="preserve">   Available Water [maf]</v>
      </c>
      <c r="C76" s="14">
        <f t="shared" ref="C76:L76" si="29">IF(OR(C$26="",$A76=""),"",C32+C50-C42-C73)</f>
        <v>1.6129063098110585</v>
      </c>
      <c r="D76" s="14">
        <f t="shared" ca="1" si="29"/>
        <v>1.6046902798101226</v>
      </c>
      <c r="E76" s="14">
        <f t="shared" ca="1" si="29"/>
        <v>1.5576456189676631</v>
      </c>
      <c r="F76" s="14">
        <f ca="1">IF(OR(F$26="",$A76=""),"",F32+F50-F42-F73)</f>
        <v>1.5498781213375088</v>
      </c>
      <c r="G76" s="14">
        <f t="shared" ca="1" si="29"/>
        <v>1.5423760807272107</v>
      </c>
      <c r="H76" s="14">
        <f t="shared" ca="1" si="29"/>
        <v>1.5351314257299211</v>
      </c>
      <c r="I76" s="14">
        <f t="shared" ca="1" si="29"/>
        <v>1.5041572000211509</v>
      </c>
      <c r="J76" s="14">
        <f t="shared" ca="1" si="29"/>
        <v>1.5217950527483139</v>
      </c>
      <c r="K76" s="14">
        <f t="shared" ca="1" si="29"/>
        <v>1.5159369448132138</v>
      </c>
      <c r="L76" s="14">
        <f t="shared" ca="1" si="29"/>
        <v>1.5105177474782829</v>
      </c>
      <c r="N76" t="str">
        <f t="shared" si="27"/>
        <v>Available water = Account Balance + Available Inflow - Evaporation + Sales - Purchases</v>
      </c>
    </row>
    <row r="77" spans="1:14" x14ac:dyDescent="0.35">
      <c r="A77" s="1" t="str">
        <f>IF(A76="","","   Account Withdraw [maf]")</f>
        <v xml:space="preserve">   Account Withdraw [maf]</v>
      </c>
      <c r="C77" s="125">
        <f>MIN(C46,C76)</f>
        <v>1.4473333333333334</v>
      </c>
      <c r="D77" s="125">
        <f t="shared" ref="D77:L77" ca="1" si="30">MIN(D46,D76)</f>
        <v>1.4473333333333334</v>
      </c>
      <c r="E77" s="125">
        <f t="shared" ca="1" si="30"/>
        <v>1.4083333333333332</v>
      </c>
      <c r="F77" s="125">
        <f t="shared" ca="1" si="30"/>
        <v>1.4083333333333332</v>
      </c>
      <c r="G77" s="125">
        <f t="shared" ca="1" si="30"/>
        <v>1.4083333333333332</v>
      </c>
      <c r="H77" s="125">
        <f t="shared" ca="1" si="30"/>
        <v>1.4083333333333332</v>
      </c>
      <c r="I77" s="125">
        <f t="shared" ca="1" si="30"/>
        <v>1.3843333333333332</v>
      </c>
      <c r="J77" s="125">
        <f t="shared" ca="1" si="30"/>
        <v>1.4083333333333332</v>
      </c>
      <c r="K77" s="125">
        <f t="shared" ca="1" si="30"/>
        <v>1.4083333333333332</v>
      </c>
      <c r="L77" s="125">
        <f t="shared" ca="1" si="30"/>
        <v>1.4083333333333332</v>
      </c>
      <c r="N77" t="str">
        <f t="shared" si="27"/>
        <v>Must be less than Available water</v>
      </c>
    </row>
    <row r="78" spans="1:14" x14ac:dyDescent="0.35">
      <c r="A78" s="30" t="str">
        <f>IF(A77="","","   End of Year Balance [maf]")</f>
        <v xml:space="preserve">   End of Year Balance [maf]</v>
      </c>
      <c r="C78" s="64">
        <f>IF(OR(C$26="",$A78=""),"",C76-C77)</f>
        <v>0.16557297647772518</v>
      </c>
      <c r="D78" s="64">
        <f t="shared" ref="D78:L78" ca="1" si="31">IF(OR(D$26="",$A78=""),"",D76-D77)</f>
        <v>0.15735694647678922</v>
      </c>
      <c r="E78" s="64">
        <f t="shared" ca="1" si="31"/>
        <v>0.14931228563432986</v>
      </c>
      <c r="F78" s="64">
        <f t="shared" ca="1" si="31"/>
        <v>0.14154478800417558</v>
      </c>
      <c r="G78" s="64">
        <f t="shared" ca="1" si="31"/>
        <v>0.13404274739387745</v>
      </c>
      <c r="H78" s="64">
        <f t="shared" ca="1" si="31"/>
        <v>0.1267980923965879</v>
      </c>
      <c r="I78" s="64">
        <f t="shared" ca="1" si="31"/>
        <v>0.11982386668781775</v>
      </c>
      <c r="J78" s="64">
        <f t="shared" ca="1" si="31"/>
        <v>0.11346171941498073</v>
      </c>
      <c r="K78" s="64">
        <f t="shared" ca="1" si="31"/>
        <v>0.10760361147988062</v>
      </c>
      <c r="L78" s="64">
        <f t="shared" ca="1" si="31"/>
        <v>0.10218441414494972</v>
      </c>
      <c r="N78" t="str">
        <f t="shared" si="27"/>
        <v>Available water - Account Withdraw</v>
      </c>
    </row>
    <row r="79" spans="1:14" x14ac:dyDescent="0.35">
      <c r="C79"/>
    </row>
    <row r="80" spans="1:14" x14ac:dyDescent="0.35">
      <c r="A80" s="132" t="str">
        <f>IF(A$8="","[Unused]",A8)</f>
        <v>Shared, Reserve</v>
      </c>
      <c r="B80" s="132"/>
      <c r="C80" s="132"/>
      <c r="D80" s="132"/>
      <c r="E80" s="132"/>
      <c r="F80" s="132"/>
      <c r="G80" s="132"/>
      <c r="H80" s="132"/>
      <c r="I80" s="132"/>
      <c r="J80" s="132"/>
      <c r="K80" s="132"/>
      <c r="L80" s="132"/>
      <c r="M80" s="133" t="s">
        <v>105</v>
      </c>
      <c r="N80" s="132" t="s">
        <v>169</v>
      </c>
    </row>
    <row r="81" spans="1:14" x14ac:dyDescent="0.3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2">IF(A82="","",N74)</f>
        <v>Add if multiple transactions, e.g.: $350*0.5 + $450*0.25</v>
      </c>
    </row>
    <row r="83" spans="1:14" x14ac:dyDescent="0.35">
      <c r="A83" s="30" t="str">
        <f>IF(A82="","","   Volume all players (should be zero)")</f>
        <v xml:space="preserve">   Volume all players (should be zero)</v>
      </c>
      <c r="C83" s="65">
        <f t="shared" ref="C83:M83" ca="1" si="33">IF(OR(C$26="",$A83=""),"",C$112)</f>
        <v>0</v>
      </c>
      <c r="D83" s="65">
        <f t="shared" ca="1" si="33"/>
        <v>0</v>
      </c>
      <c r="E83" s="65">
        <f t="shared" ca="1" si="33"/>
        <v>0</v>
      </c>
      <c r="F83" s="65">
        <f t="shared" ca="1" si="33"/>
        <v>0</v>
      </c>
      <c r="G83" s="65">
        <f t="shared" ca="1" si="33"/>
        <v>0</v>
      </c>
      <c r="H83" s="65">
        <f t="shared" ca="1" si="33"/>
        <v>0</v>
      </c>
      <c r="I83" s="65">
        <f t="shared" ca="1" si="33"/>
        <v>0</v>
      </c>
      <c r="J83" s="65">
        <f t="shared" ca="1" si="33"/>
        <v>0</v>
      </c>
      <c r="K83" s="65">
        <f t="shared" ca="1" si="33"/>
        <v>0</v>
      </c>
      <c r="L83" s="65">
        <f t="shared" ca="1" si="33"/>
        <v>0</v>
      </c>
      <c r="M83" t="str">
        <f t="shared" si="33"/>
        <v/>
      </c>
      <c r="N83" t="str">
        <f t="shared" si="32"/>
        <v>If non-zero, players need to change amount(s)</v>
      </c>
    </row>
    <row r="84" spans="1:14" x14ac:dyDescent="0.35">
      <c r="A84" s="1" t="str">
        <f>IF(A82="","","   Available Water [maf]")</f>
        <v xml:space="preserve">   Available Water [maf]</v>
      </c>
      <c r="C84" s="14">
        <f t="shared" ref="C84:L84" si="34">IF(OR(C$26="",$A84=""),"",C33+C51-C43-C81)</f>
        <v>11.59116925</v>
      </c>
      <c r="D84" s="14">
        <f t="shared" ca="1" si="34"/>
        <v>11.59116925</v>
      </c>
      <c r="E84" s="14">
        <f t="shared" ca="1" si="34"/>
        <v>11.59116925</v>
      </c>
      <c r="F84" s="14">
        <f t="shared" ca="1" si="34"/>
        <v>11.59116925</v>
      </c>
      <c r="G84" s="14">
        <f t="shared" ca="1" si="34"/>
        <v>11.59116925</v>
      </c>
      <c r="H84" s="14">
        <f t="shared" ca="1" si="34"/>
        <v>11.59116925</v>
      </c>
      <c r="I84" s="14">
        <f t="shared" ca="1" si="34"/>
        <v>11.59116925</v>
      </c>
      <c r="J84" s="14">
        <f t="shared" ca="1" si="34"/>
        <v>11.59116925</v>
      </c>
      <c r="K84" s="14">
        <f t="shared" ca="1" si="34"/>
        <v>11.59116925</v>
      </c>
      <c r="L84" s="14">
        <f t="shared" ca="1" si="34"/>
        <v>11.59116925</v>
      </c>
      <c r="N84" t="str">
        <f t="shared" si="32"/>
        <v>Available water = Account Balance + Available Inflow - Evaporation + Sales - Purchases</v>
      </c>
    </row>
    <row r="85" spans="1:14" x14ac:dyDescent="0.35">
      <c r="A85" s="1" t="str">
        <f>IF(A84="","","   Account Withdraw [maf]")</f>
        <v xml:space="preserve">   Account Withdraw [maf]</v>
      </c>
      <c r="C85" s="125"/>
      <c r="D85" s="125"/>
      <c r="E85" s="125"/>
      <c r="F85" s="125"/>
      <c r="G85" s="125"/>
      <c r="H85" s="125"/>
      <c r="I85" s="125"/>
      <c r="J85" s="125"/>
      <c r="K85" s="125"/>
      <c r="L85" s="125"/>
      <c r="N85" t="str">
        <f t="shared" si="32"/>
        <v>Must be less than Available water</v>
      </c>
    </row>
    <row r="86" spans="1:14" x14ac:dyDescent="0.35">
      <c r="A86" s="30" t="str">
        <f>IF(A85="","","   End of Year Balance [maf]")</f>
        <v xml:space="preserve">   End of Year Balance [maf]</v>
      </c>
      <c r="C86" s="64">
        <f>IF(OR(C$26="",$A86=""),"",C84-C85)</f>
        <v>11.59116925</v>
      </c>
      <c r="D86" s="64">
        <f t="shared" ref="D86:L86" ca="1" si="35">IF(OR(D$26="",$A86=""),"",D84-D85)</f>
        <v>11.59116925</v>
      </c>
      <c r="E86" s="64">
        <f t="shared" ca="1" si="35"/>
        <v>11.59116925</v>
      </c>
      <c r="F86" s="64">
        <f t="shared" ca="1" si="35"/>
        <v>11.59116925</v>
      </c>
      <c r="G86" s="64">
        <f t="shared" ca="1" si="35"/>
        <v>11.59116925</v>
      </c>
      <c r="H86" s="64">
        <f t="shared" ca="1" si="35"/>
        <v>11.59116925</v>
      </c>
      <c r="I86" s="64">
        <f t="shared" ca="1" si="35"/>
        <v>11.59116925</v>
      </c>
      <c r="J86" s="64">
        <f t="shared" ca="1" si="35"/>
        <v>11.59116925</v>
      </c>
      <c r="K86" s="64">
        <f t="shared" ca="1" si="35"/>
        <v>11.59116925</v>
      </c>
      <c r="L86" s="64">
        <f t="shared" ca="1" si="35"/>
        <v>11.59116925</v>
      </c>
      <c r="N86" t="str">
        <f t="shared" si="32"/>
        <v>Available water - Account Withdraw</v>
      </c>
    </row>
    <row r="87" spans="1:14" x14ac:dyDescent="0.35">
      <c r="C87"/>
    </row>
    <row r="88" spans="1:14" x14ac:dyDescent="0.35">
      <c r="A88" s="132" t="str">
        <f>IF(A$9="","[Unused]",A9)</f>
        <v>[Unused]</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35">
      <c r="A90" s="30" t="str">
        <f>IF(A89="","","   Cash Intake(+) and Payments(-) [$ Mill]")</f>
        <v/>
      </c>
      <c r="C90" s="124"/>
      <c r="D90" s="124"/>
      <c r="E90" s="124"/>
      <c r="F90" s="124"/>
      <c r="G90" s="124"/>
      <c r="H90" s="124"/>
      <c r="I90" s="124"/>
      <c r="J90" s="124"/>
      <c r="K90" s="124"/>
      <c r="L90" s="124"/>
      <c r="M90" s="63">
        <f>SUM(C90:L90)</f>
        <v>0</v>
      </c>
      <c r="N90" t="str">
        <f t="shared" ref="N90:N94" si="36">IF(A90="","",N82)</f>
        <v/>
      </c>
    </row>
    <row r="91" spans="1:14" x14ac:dyDescent="0.35">
      <c r="A91" s="30" t="str">
        <f>IF(A90="","","   Volume all players (should be zero)")</f>
        <v/>
      </c>
      <c r="C91" s="65" t="str">
        <f t="shared" ref="C91:M91" si="37">IF(OR(C$26="",$A91=""),"",C$112)</f>
        <v/>
      </c>
      <c r="D91" s="65" t="str">
        <f t="shared" si="37"/>
        <v/>
      </c>
      <c r="E91" s="65" t="str">
        <f t="shared" si="37"/>
        <v/>
      </c>
      <c r="F91" s="65" t="str">
        <f t="shared" si="37"/>
        <v/>
      </c>
      <c r="G91" s="65" t="str">
        <f t="shared" si="37"/>
        <v/>
      </c>
      <c r="H91" s="65" t="str">
        <f t="shared" si="37"/>
        <v/>
      </c>
      <c r="I91" s="65" t="str">
        <f t="shared" si="37"/>
        <v/>
      </c>
      <c r="J91" s="65" t="str">
        <f t="shared" si="37"/>
        <v/>
      </c>
      <c r="K91" s="65" t="str">
        <f t="shared" si="37"/>
        <v/>
      </c>
      <c r="L91" s="65" t="str">
        <f t="shared" si="37"/>
        <v/>
      </c>
      <c r="M91" t="str">
        <f t="shared" si="37"/>
        <v/>
      </c>
      <c r="N91" t="str">
        <f t="shared" si="36"/>
        <v/>
      </c>
    </row>
    <row r="92" spans="1:14" x14ac:dyDescent="0.35">
      <c r="A92" s="1" t="str">
        <f>IF(A90="","","   Available Water [maf]")</f>
        <v/>
      </c>
      <c r="C92" s="14" t="str">
        <f t="shared" ref="C92:L92" si="38">IF(OR(C$26="",$A92=""),"",C34+C52-C44-C89)</f>
        <v/>
      </c>
      <c r="D92" s="14" t="str">
        <f t="shared" si="38"/>
        <v/>
      </c>
      <c r="E92" s="14" t="str">
        <f t="shared" si="38"/>
        <v/>
      </c>
      <c r="F92" s="14" t="str">
        <f t="shared" si="38"/>
        <v/>
      </c>
      <c r="G92" s="14" t="str">
        <f t="shared" si="38"/>
        <v/>
      </c>
      <c r="H92" s="14" t="str">
        <f t="shared" si="38"/>
        <v/>
      </c>
      <c r="I92" s="14" t="str">
        <f t="shared" si="38"/>
        <v/>
      </c>
      <c r="J92" s="14" t="str">
        <f t="shared" si="38"/>
        <v/>
      </c>
      <c r="K92" s="14" t="str">
        <f t="shared" si="38"/>
        <v/>
      </c>
      <c r="L92" s="14" t="str">
        <f t="shared" si="38"/>
        <v/>
      </c>
      <c r="N92" t="str">
        <f t="shared" si="36"/>
        <v/>
      </c>
    </row>
    <row r="93" spans="1:14" x14ac:dyDescent="0.35">
      <c r="A93" s="1" t="str">
        <f>IF(A92="","","   Account Withdraw [maf]")</f>
        <v/>
      </c>
      <c r="C93" s="125"/>
      <c r="D93" s="125"/>
      <c r="E93" s="125"/>
      <c r="F93" s="125"/>
      <c r="G93" s="125"/>
      <c r="H93" s="125"/>
      <c r="I93" s="125"/>
      <c r="J93" s="125"/>
      <c r="K93" s="125"/>
      <c r="L93" s="125"/>
      <c r="N93" t="str">
        <f t="shared" si="36"/>
        <v/>
      </c>
    </row>
    <row r="94" spans="1:14" x14ac:dyDescent="0.35">
      <c r="A94" s="30" t="str">
        <f>IF(A93="","","   End of Year Balance [maf]")</f>
        <v/>
      </c>
      <c r="C94" s="64" t="str">
        <f>IF(OR(C$26="",$A94=""),"",C92-C93)</f>
        <v/>
      </c>
      <c r="D94" s="64" t="str">
        <f t="shared" ref="D94:L94" si="39">IF(OR(D$26="",$A94=""),"",D92-D93)</f>
        <v/>
      </c>
      <c r="E94" s="64" t="str">
        <f t="shared" si="39"/>
        <v/>
      </c>
      <c r="F94" s="64" t="str">
        <f t="shared" si="39"/>
        <v/>
      </c>
      <c r="G94" s="64" t="str">
        <f t="shared" si="39"/>
        <v/>
      </c>
      <c r="H94" s="64" t="str">
        <f t="shared" si="39"/>
        <v/>
      </c>
      <c r="I94" s="64" t="str">
        <f t="shared" si="39"/>
        <v/>
      </c>
      <c r="J94" s="64" t="str">
        <f t="shared" si="39"/>
        <v/>
      </c>
      <c r="K94" s="64" t="str">
        <f t="shared" si="39"/>
        <v/>
      </c>
      <c r="L94" s="64" t="str">
        <f t="shared" si="39"/>
        <v/>
      </c>
      <c r="N94" t="str">
        <f t="shared" si="36"/>
        <v/>
      </c>
    </row>
    <row r="95" spans="1:14" x14ac:dyDescent="0.35">
      <c r="C95"/>
    </row>
    <row r="96" spans="1:14" x14ac:dyDescent="0.35">
      <c r="A96" s="132" t="str">
        <f>IF(A$10="","[Unused]",A10)</f>
        <v>[Unused]</v>
      </c>
      <c r="B96" s="132"/>
      <c r="C96" s="132"/>
      <c r="D96" s="132"/>
      <c r="E96" s="132"/>
      <c r="F96" s="132"/>
      <c r="G96" s="132"/>
      <c r="H96" s="132"/>
      <c r="I96" s="132"/>
      <c r="J96" s="132"/>
      <c r="K96" s="132"/>
      <c r="L96" s="132"/>
      <c r="M96" s="133" t="s">
        <v>105</v>
      </c>
      <c r="N96" s="132" t="s">
        <v>169</v>
      </c>
    </row>
    <row r="97" spans="1:14" x14ac:dyDescent="0.3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35">
      <c r="A98" s="30" t="str">
        <f>IF(A97="","","   Cash Intake(+) and Payments(-) [$ Mill]")</f>
        <v/>
      </c>
      <c r="C98" s="124"/>
      <c r="D98" s="124"/>
      <c r="E98" s="124"/>
      <c r="F98" s="124"/>
      <c r="G98" s="124"/>
      <c r="H98" s="124"/>
      <c r="I98" s="124"/>
      <c r="J98" s="124"/>
      <c r="K98" s="124"/>
      <c r="L98" s="124"/>
      <c r="M98" s="63">
        <f>SUM(C98:L98)</f>
        <v>0</v>
      </c>
      <c r="N98" t="str">
        <f t="shared" ref="N98:N102" si="40">IF(A98="","",N90)</f>
        <v/>
      </c>
    </row>
    <row r="99" spans="1:14" x14ac:dyDescent="0.35">
      <c r="A99" s="30" t="str">
        <f>IF(A98="","","   Volume all players (should be zero)")</f>
        <v/>
      </c>
      <c r="C99" s="65" t="str">
        <f t="shared" ref="C99:M99" si="41">IF(OR(C$26="",$A99=""),"",C$112)</f>
        <v/>
      </c>
      <c r="D99" s="65" t="str">
        <f t="shared" si="41"/>
        <v/>
      </c>
      <c r="E99" s="65" t="str">
        <f t="shared" si="41"/>
        <v/>
      </c>
      <c r="F99" s="65" t="str">
        <f t="shared" si="41"/>
        <v/>
      </c>
      <c r="G99" s="65" t="str">
        <f t="shared" si="41"/>
        <v/>
      </c>
      <c r="H99" s="65" t="str">
        <f t="shared" si="41"/>
        <v/>
      </c>
      <c r="I99" s="65" t="str">
        <f t="shared" si="41"/>
        <v/>
      </c>
      <c r="J99" s="65" t="str">
        <f t="shared" si="41"/>
        <v/>
      </c>
      <c r="K99" s="65" t="str">
        <f t="shared" si="41"/>
        <v/>
      </c>
      <c r="L99" s="65" t="str">
        <f t="shared" si="41"/>
        <v/>
      </c>
      <c r="M99" t="str">
        <f t="shared" si="41"/>
        <v/>
      </c>
      <c r="N99" t="str">
        <f t="shared" si="40"/>
        <v/>
      </c>
    </row>
    <row r="100" spans="1:14" x14ac:dyDescent="0.35">
      <c r="A100" s="1" t="str">
        <f>IF(A98="","","   Available Water [maf]")</f>
        <v/>
      </c>
      <c r="C100" s="14" t="str">
        <f t="shared" ref="C100:L100" si="42">IF(OR(C$26="",$A100=""),"",C35+C53-C45-C97)</f>
        <v/>
      </c>
      <c r="D100" s="14" t="str">
        <f t="shared" si="42"/>
        <v/>
      </c>
      <c r="E100" s="14" t="str">
        <f t="shared" si="42"/>
        <v/>
      </c>
      <c r="F100" s="14" t="str">
        <f t="shared" si="42"/>
        <v/>
      </c>
      <c r="G100" s="14" t="str">
        <f t="shared" si="42"/>
        <v/>
      </c>
      <c r="H100" s="14" t="str">
        <f t="shared" si="42"/>
        <v/>
      </c>
      <c r="I100" s="14" t="str">
        <f t="shared" si="42"/>
        <v/>
      </c>
      <c r="J100" s="14" t="str">
        <f t="shared" si="42"/>
        <v/>
      </c>
      <c r="K100" s="14" t="str">
        <f t="shared" si="42"/>
        <v/>
      </c>
      <c r="L100" s="14" t="str">
        <f t="shared" si="42"/>
        <v/>
      </c>
      <c r="N100" t="str">
        <f t="shared" si="40"/>
        <v/>
      </c>
    </row>
    <row r="101" spans="1:14" x14ac:dyDescent="0.35">
      <c r="A101" s="1" t="str">
        <f>IF(A100="","","   Account Withdraw [maf]")</f>
        <v/>
      </c>
      <c r="C101" s="125"/>
      <c r="D101" s="125"/>
      <c r="E101" s="125"/>
      <c r="F101" s="125"/>
      <c r="G101" s="125"/>
      <c r="H101" s="125"/>
      <c r="I101" s="125"/>
      <c r="J101" s="125"/>
      <c r="K101" s="125"/>
      <c r="L101" s="125"/>
      <c r="N101" t="str">
        <f t="shared" si="40"/>
        <v/>
      </c>
    </row>
    <row r="102" spans="1:14" x14ac:dyDescent="0.35">
      <c r="A102" s="30" t="str">
        <f>IF(A101="","","   End of Year Balance [maf]")</f>
        <v/>
      </c>
      <c r="C102" s="64" t="str">
        <f>IF(OR(C$26="",$A102=""),"",C100-C101)</f>
        <v/>
      </c>
      <c r="D102" s="64" t="str">
        <f t="shared" ref="D102:L102" si="43">IF(OR(D$26="",$A102=""),"",D100-D101)</f>
        <v/>
      </c>
      <c r="E102" s="64" t="str">
        <f t="shared" si="43"/>
        <v/>
      </c>
      <c r="F102" s="64" t="str">
        <f t="shared" si="43"/>
        <v/>
      </c>
      <c r="G102" s="64" t="str">
        <f t="shared" si="43"/>
        <v/>
      </c>
      <c r="H102" s="64" t="str">
        <f t="shared" si="43"/>
        <v/>
      </c>
      <c r="I102" s="64" t="str">
        <f t="shared" si="43"/>
        <v/>
      </c>
      <c r="J102" s="64" t="str">
        <f t="shared" si="43"/>
        <v/>
      </c>
      <c r="K102" s="64" t="str">
        <f t="shared" si="43"/>
        <v/>
      </c>
      <c r="L102" s="64" t="str">
        <f t="shared" si="43"/>
        <v/>
      </c>
      <c r="N102" t="str">
        <f t="shared" si="40"/>
        <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146</v>
      </c>
      <c r="C105"/>
      <c r="M105" t="s">
        <v>179</v>
      </c>
      <c r="N105" t="s">
        <v>147</v>
      </c>
    </row>
    <row r="106" spans="1:14" x14ac:dyDescent="0.35">
      <c r="A106" t="str">
        <f t="shared" ref="A106:A111" si="44">IF(A5="","","    "&amp;A5)</f>
        <v xml:space="preserve">    Upper Basin</v>
      </c>
      <c r="B106" s="1"/>
      <c r="C106" s="65">
        <f t="shared" ref="C106:L111" ca="1" si="45">IF(OR(C$26="",$A106=""),"",OFFSET(C$57,8*(ROW(B106)-ROW(B$106)),0))</f>
        <v>0</v>
      </c>
      <c r="D106" s="65">
        <f t="shared" ca="1" si="45"/>
        <v>0</v>
      </c>
      <c r="E106" s="65">
        <f t="shared" ca="1" si="45"/>
        <v>0</v>
      </c>
      <c r="F106" s="65">
        <f t="shared" ca="1" si="45"/>
        <v>0</v>
      </c>
      <c r="G106" s="65">
        <f t="shared" ca="1" si="45"/>
        <v>0</v>
      </c>
      <c r="H106" s="65">
        <f t="shared" ca="1" si="45"/>
        <v>0</v>
      </c>
      <c r="I106" s="65">
        <f t="shared" ca="1" si="45"/>
        <v>0.5</v>
      </c>
      <c r="J106" s="65">
        <f t="shared" ca="1" si="45"/>
        <v>0.5</v>
      </c>
      <c r="K106" s="65">
        <f t="shared" ca="1" si="45"/>
        <v>0.5</v>
      </c>
      <c r="L106" s="65">
        <f t="shared" ca="1" si="45"/>
        <v>0.5</v>
      </c>
      <c r="M106" s="65">
        <f ca="1">IF(OR($A106=""),"",SUM(C106:L106))</f>
        <v>2</v>
      </c>
      <c r="N106" s="63">
        <f>IF(OR($A106=""),"",M58)</f>
        <v>700</v>
      </c>
    </row>
    <row r="107" spans="1:14" x14ac:dyDescent="0.35">
      <c r="A107" t="str">
        <f t="shared" si="44"/>
        <v xml:space="preserve">    Lower Basin</v>
      </c>
      <c r="B107" s="1"/>
      <c r="C107" s="65">
        <f t="shared" ca="1" si="45"/>
        <v>0</v>
      </c>
      <c r="D107" s="65">
        <f t="shared" ca="1" si="45"/>
        <v>0</v>
      </c>
      <c r="E107" s="65">
        <f t="shared" ca="1" si="45"/>
        <v>0</v>
      </c>
      <c r="F107" s="65">
        <f t="shared" ca="1" si="45"/>
        <v>0</v>
      </c>
      <c r="G107" s="65">
        <f t="shared" ca="1" si="45"/>
        <v>0</v>
      </c>
      <c r="H107" s="65">
        <f t="shared" ca="1" si="45"/>
        <v>0</v>
      </c>
      <c r="I107" s="65">
        <f t="shared" ca="1" si="45"/>
        <v>-0.5</v>
      </c>
      <c r="J107" s="65">
        <f t="shared" ca="1" si="45"/>
        <v>-0.5</v>
      </c>
      <c r="K107" s="65">
        <f t="shared" ca="1" si="45"/>
        <v>-0.5</v>
      </c>
      <c r="L107" s="65">
        <f t="shared" ca="1" si="45"/>
        <v>-0.5</v>
      </c>
      <c r="M107" s="65">
        <f t="shared" ref="M107:M111" ca="1" si="46">IF(OR($A107=""),"",SUM(C107:L107))</f>
        <v>-2</v>
      </c>
      <c r="N107" s="63">
        <f>IF(OR($A107=""),"",M66)</f>
        <v>-700</v>
      </c>
    </row>
    <row r="108" spans="1:14" x14ac:dyDescent="0.35">
      <c r="A108" t="str">
        <f t="shared" si="44"/>
        <v xml:space="preserve">    Mexico</v>
      </c>
      <c r="B108" s="1"/>
      <c r="C108" s="65">
        <f t="shared" ca="1" si="45"/>
        <v>0</v>
      </c>
      <c r="D108" s="65">
        <f t="shared" ca="1" si="45"/>
        <v>0</v>
      </c>
      <c r="E108" s="65">
        <f t="shared" ca="1" si="45"/>
        <v>0</v>
      </c>
      <c r="F108" s="65">
        <f t="shared" ca="1" si="45"/>
        <v>0</v>
      </c>
      <c r="G108" s="65">
        <f t="shared" ca="1" si="45"/>
        <v>0</v>
      </c>
      <c r="H108" s="65">
        <f t="shared" ca="1" si="45"/>
        <v>0</v>
      </c>
      <c r="I108" s="65">
        <f t="shared" ca="1" si="45"/>
        <v>0</v>
      </c>
      <c r="J108" s="65">
        <f t="shared" ca="1" si="45"/>
        <v>0</v>
      </c>
      <c r="K108" s="65">
        <f t="shared" ca="1" si="45"/>
        <v>0</v>
      </c>
      <c r="L108" s="65">
        <f t="shared" ca="1" si="45"/>
        <v>0</v>
      </c>
      <c r="M108" s="65">
        <f t="shared" ca="1" si="46"/>
        <v>0</v>
      </c>
      <c r="N108" s="63">
        <f>IF(OR($A108=""),"",M74)</f>
        <v>0</v>
      </c>
    </row>
    <row r="109" spans="1:14" x14ac:dyDescent="0.35">
      <c r="A109" t="str">
        <f t="shared" si="44"/>
        <v xml:space="preserve">    Shared, Reserve</v>
      </c>
      <c r="B109" s="1"/>
      <c r="C109" s="65">
        <f t="shared" ca="1" si="45"/>
        <v>0</v>
      </c>
      <c r="D109" s="65">
        <f t="shared" ca="1" si="45"/>
        <v>0</v>
      </c>
      <c r="E109" s="65">
        <f t="shared" ca="1" si="45"/>
        <v>0</v>
      </c>
      <c r="F109" s="65">
        <f t="shared" ca="1" si="45"/>
        <v>0</v>
      </c>
      <c r="G109" s="65">
        <f t="shared" ca="1" si="45"/>
        <v>0</v>
      </c>
      <c r="H109" s="65">
        <f t="shared" ca="1" si="45"/>
        <v>0</v>
      </c>
      <c r="I109" s="65">
        <f t="shared" ca="1" si="45"/>
        <v>0</v>
      </c>
      <c r="J109" s="65">
        <f t="shared" ca="1" si="45"/>
        <v>0</v>
      </c>
      <c r="K109" s="65">
        <f t="shared" ca="1" si="45"/>
        <v>0</v>
      </c>
      <c r="L109" s="65">
        <f t="shared" ca="1" si="45"/>
        <v>0</v>
      </c>
      <c r="M109" s="65">
        <f t="shared" ca="1" si="46"/>
        <v>0</v>
      </c>
      <c r="N109" s="63">
        <f>IF(OR($A109=""),"",M82)</f>
        <v>0</v>
      </c>
    </row>
    <row r="110" spans="1:14" x14ac:dyDescent="0.35">
      <c r="A110" t="str">
        <f t="shared" si="44"/>
        <v/>
      </c>
      <c r="B110" s="1"/>
      <c r="C110" s="65" t="str">
        <f t="shared" ca="1" si="45"/>
        <v/>
      </c>
      <c r="D110" s="65" t="str">
        <f t="shared" ca="1" si="45"/>
        <v/>
      </c>
      <c r="E110" s="65" t="str">
        <f t="shared" ca="1" si="45"/>
        <v/>
      </c>
      <c r="F110" s="65" t="str">
        <f t="shared" ca="1" si="45"/>
        <v/>
      </c>
      <c r="G110" s="65" t="str">
        <f t="shared" ca="1" si="45"/>
        <v/>
      </c>
      <c r="H110" s="65" t="str">
        <f t="shared" ca="1" si="45"/>
        <v/>
      </c>
      <c r="I110" s="65" t="str">
        <f t="shared" ca="1" si="45"/>
        <v/>
      </c>
      <c r="J110" s="65" t="str">
        <f t="shared" ca="1" si="45"/>
        <v/>
      </c>
      <c r="K110" s="65" t="str">
        <f t="shared" ca="1" si="45"/>
        <v/>
      </c>
      <c r="L110" s="65" t="str">
        <f t="shared" ca="1" si="45"/>
        <v/>
      </c>
      <c r="M110" s="65" t="str">
        <f t="shared" si="46"/>
        <v/>
      </c>
      <c r="N110" s="63" t="str">
        <f>IF(OR($A110=""),"",M90)</f>
        <v/>
      </c>
    </row>
    <row r="111" spans="1:14" x14ac:dyDescent="0.35">
      <c r="A111" t="str">
        <f t="shared" si="44"/>
        <v/>
      </c>
      <c r="B111" s="1"/>
      <c r="C111" s="65" t="str">
        <f t="shared" ca="1" si="45"/>
        <v/>
      </c>
      <c r="D111" s="65" t="str">
        <f t="shared" ca="1" si="45"/>
        <v/>
      </c>
      <c r="E111" s="65" t="str">
        <f t="shared" ca="1" si="45"/>
        <v/>
      </c>
      <c r="F111" s="65" t="str">
        <f t="shared" ca="1" si="45"/>
        <v/>
      </c>
      <c r="G111" s="65" t="str">
        <f t="shared" ca="1" si="45"/>
        <v/>
      </c>
      <c r="H111" s="65" t="str">
        <f t="shared" ca="1" si="45"/>
        <v/>
      </c>
      <c r="I111" s="65" t="str">
        <f t="shared" ca="1" si="45"/>
        <v/>
      </c>
      <c r="J111" s="65" t="str">
        <f t="shared" ca="1" si="45"/>
        <v/>
      </c>
      <c r="K111" s="65" t="str">
        <f t="shared" ca="1" si="45"/>
        <v/>
      </c>
      <c r="L111" s="65" t="str">
        <f t="shared" ca="1" si="45"/>
        <v/>
      </c>
      <c r="M111" s="65" t="str">
        <f t="shared" si="46"/>
        <v/>
      </c>
      <c r="N111" s="63" t="str">
        <f>IF(OR($A111=""),"",M98)</f>
        <v/>
      </c>
    </row>
    <row r="112" spans="1:14" x14ac:dyDescent="0.35">
      <c r="A112" t="s">
        <v>143</v>
      </c>
      <c r="B112" s="1"/>
      <c r="C112" s="49">
        <f ca="1">IF(C$26&lt;&gt;"",SUM(C106:C111),"")</f>
        <v>0</v>
      </c>
      <c r="D112" s="49">
        <f t="shared" ref="D112:L112" ca="1" si="47">IF(D$26&lt;&gt;"",SUM(D106:D111),"")</f>
        <v>0</v>
      </c>
      <c r="E112" s="113">
        <f t="shared" ca="1" si="47"/>
        <v>0</v>
      </c>
      <c r="F112" s="49">
        <f t="shared" ca="1" si="47"/>
        <v>0</v>
      </c>
      <c r="G112" s="49">
        <f t="shared" ca="1" si="47"/>
        <v>0</v>
      </c>
      <c r="H112" s="49">
        <f t="shared" ca="1" si="47"/>
        <v>0</v>
      </c>
      <c r="I112" s="49">
        <f t="shared" ca="1" si="47"/>
        <v>0</v>
      </c>
      <c r="J112" s="49">
        <f t="shared" ca="1" si="47"/>
        <v>0</v>
      </c>
      <c r="K112" s="49">
        <f t="shared" ca="1" si="47"/>
        <v>0</v>
      </c>
      <c r="L112" s="49">
        <f t="shared" ca="1" si="47"/>
        <v>0</v>
      </c>
      <c r="M112" s="32"/>
    </row>
    <row r="113" spans="1:12" x14ac:dyDescent="0.35">
      <c r="A113" s="1" t="s">
        <v>132</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9" ca="1" si="48">IF(OR(C$26="",$A114=""),"",OFFSET(C$61,8*(ROW(B114)-ROW(B$114)),0))</f>
        <v>4.2</v>
      </c>
      <c r="D114" s="65">
        <f t="shared" ca="1" si="48"/>
        <v>4.2</v>
      </c>
      <c r="E114" s="65">
        <f t="shared" ca="1" si="48"/>
        <v>4.2</v>
      </c>
      <c r="F114" s="65">
        <f t="shared" ca="1" si="48"/>
        <v>4.2</v>
      </c>
      <c r="G114" s="65">
        <f t="shared" ca="1" si="48"/>
        <v>4.2</v>
      </c>
      <c r="H114" s="65">
        <f t="shared" ca="1" si="48"/>
        <v>4.2</v>
      </c>
      <c r="I114" s="65">
        <f t="shared" ca="1" si="48"/>
        <v>4.2</v>
      </c>
      <c r="J114" s="65">
        <f t="shared" ca="1" si="48"/>
        <v>4.2</v>
      </c>
      <c r="K114" s="65">
        <f t="shared" ca="1" si="48"/>
        <v>4.2</v>
      </c>
      <c r="L114" s="65">
        <f t="shared" ca="1" si="48"/>
        <v>4.2</v>
      </c>
    </row>
    <row r="115" spans="1:12" x14ac:dyDescent="0.35">
      <c r="A115" t="str">
        <f>IF(A6="","","    "&amp;A6&amp;" - Release from Mead")</f>
        <v xml:space="preserve">    Lower Basin - Release from Mead</v>
      </c>
      <c r="C115" s="65">
        <f t="shared" ca="1" si="48"/>
        <v>7.2590000000000003</v>
      </c>
      <c r="D115" s="65">
        <f t="shared" ca="1" si="48"/>
        <v>7.2590000000000003</v>
      </c>
      <c r="E115" s="65">
        <f t="shared" ca="1" si="48"/>
        <v>6.8870000000000005</v>
      </c>
      <c r="F115" s="65">
        <f t="shared" ca="1" si="48"/>
        <v>6.8870000000000005</v>
      </c>
      <c r="G115" s="65">
        <f t="shared" ca="1" si="48"/>
        <v>6.8870000000000005</v>
      </c>
      <c r="H115" s="65">
        <f t="shared" ca="1" si="48"/>
        <v>6.805453457471021</v>
      </c>
      <c r="I115" s="65">
        <f t="shared" ca="1" si="48"/>
        <v>6.7789999999999999</v>
      </c>
      <c r="J115" s="65">
        <f t="shared" ca="1" si="48"/>
        <v>6.8870000000000005</v>
      </c>
      <c r="K115" s="65">
        <f t="shared" ca="1" si="48"/>
        <v>6.8870000000000005</v>
      </c>
      <c r="L115" s="65">
        <f t="shared" ca="1" si="48"/>
        <v>6.8870000000000005</v>
      </c>
    </row>
    <row r="116" spans="1:12" x14ac:dyDescent="0.35">
      <c r="A116" t="str">
        <f>IF(A7="","","    "&amp;A7&amp;" - Release from Mead")</f>
        <v xml:space="preserve">    Mexico - Release from Mead</v>
      </c>
      <c r="C116" s="65">
        <f t="shared" ca="1" si="48"/>
        <v>1.4473333333333334</v>
      </c>
      <c r="D116" s="65">
        <f t="shared" ca="1" si="48"/>
        <v>1.4473333333333334</v>
      </c>
      <c r="E116" s="65">
        <f t="shared" ca="1" si="48"/>
        <v>1.4083333333333332</v>
      </c>
      <c r="F116" s="65">
        <f t="shared" ca="1" si="48"/>
        <v>1.4083333333333332</v>
      </c>
      <c r="G116" s="65">
        <f t="shared" ca="1" si="48"/>
        <v>1.4083333333333332</v>
      </c>
      <c r="H116" s="65">
        <f t="shared" ca="1" si="48"/>
        <v>1.4083333333333332</v>
      </c>
      <c r="I116" s="65">
        <f t="shared" ca="1" si="48"/>
        <v>1.3843333333333332</v>
      </c>
      <c r="J116" s="65">
        <f t="shared" ca="1" si="48"/>
        <v>1.4083333333333332</v>
      </c>
      <c r="K116" s="65">
        <f t="shared" ca="1" si="48"/>
        <v>1.4083333333333332</v>
      </c>
      <c r="L116" s="65">
        <f t="shared" ca="1" si="48"/>
        <v>1.4083333333333332</v>
      </c>
    </row>
    <row r="117" spans="1:12" x14ac:dyDescent="0.35">
      <c r="A117" t="str">
        <f>IF(A8="","","    "&amp;A8&amp;" - Release from Mead")</f>
        <v xml:space="preserve">    Shared, Reserve - Release from Mead</v>
      </c>
      <c r="C117" s="65">
        <f t="shared" ca="1" si="48"/>
        <v>0</v>
      </c>
      <c r="D117" s="65">
        <f t="shared" ca="1" si="48"/>
        <v>0</v>
      </c>
      <c r="E117" s="65">
        <f t="shared" ca="1" si="48"/>
        <v>0</v>
      </c>
      <c r="F117" s="65">
        <f t="shared" ca="1" si="48"/>
        <v>0</v>
      </c>
      <c r="G117" s="65">
        <f t="shared" ca="1" si="48"/>
        <v>0</v>
      </c>
      <c r="H117" s="65">
        <f t="shared" ca="1" si="48"/>
        <v>0</v>
      </c>
      <c r="I117" s="65">
        <f t="shared" ca="1" si="48"/>
        <v>0</v>
      </c>
      <c r="J117" s="65">
        <f t="shared" ca="1" si="48"/>
        <v>0</v>
      </c>
      <c r="K117" s="65">
        <f t="shared" ca="1" si="48"/>
        <v>0</v>
      </c>
      <c r="L117" s="65">
        <f t="shared" ca="1" si="48"/>
        <v>0</v>
      </c>
    </row>
    <row r="118" spans="1:12" x14ac:dyDescent="0.35">
      <c r="A118" t="str">
        <f>IF(A9="","","    "&amp;A9&amp;" - Release from Mead")</f>
        <v/>
      </c>
      <c r="C118" s="65" t="str">
        <f t="shared" ca="1" si="48"/>
        <v/>
      </c>
      <c r="D118" s="65" t="str">
        <f t="shared" ca="1" si="48"/>
        <v/>
      </c>
      <c r="E118" s="65" t="str">
        <f t="shared" ca="1" si="48"/>
        <v/>
      </c>
      <c r="F118" s="65" t="str">
        <f t="shared" ca="1" si="48"/>
        <v/>
      </c>
      <c r="G118" s="65" t="str">
        <f t="shared" ca="1" si="48"/>
        <v/>
      </c>
      <c r="H118" s="65" t="str">
        <f t="shared" ca="1" si="48"/>
        <v/>
      </c>
      <c r="I118" s="65" t="str">
        <f t="shared" ca="1" si="48"/>
        <v/>
      </c>
      <c r="J118" s="65" t="str">
        <f t="shared" ca="1" si="48"/>
        <v/>
      </c>
      <c r="K118" s="65" t="str">
        <f t="shared" ca="1" si="48"/>
        <v/>
      </c>
      <c r="L118" s="65" t="str">
        <f t="shared" ca="1" si="48"/>
        <v/>
      </c>
    </row>
    <row r="119" spans="1:12" x14ac:dyDescent="0.35">
      <c r="A119" t="str">
        <f>IF(A10="","","    "&amp;A10&amp;" - Release from Mead")</f>
        <v/>
      </c>
      <c r="C119" s="65" t="str">
        <f t="shared" ca="1" si="48"/>
        <v/>
      </c>
      <c r="D119" s="65" t="str">
        <f t="shared" ca="1" si="48"/>
        <v/>
      </c>
      <c r="E119" s="65" t="str">
        <f t="shared" ca="1" si="48"/>
        <v/>
      </c>
      <c r="F119" s="65" t="str">
        <f t="shared" ca="1" si="48"/>
        <v/>
      </c>
      <c r="G119" s="65" t="str">
        <f t="shared" ca="1" si="48"/>
        <v/>
      </c>
      <c r="H119" s="65" t="str">
        <f t="shared" ca="1" si="48"/>
        <v/>
      </c>
      <c r="I119" s="65" t="str">
        <f t="shared" ca="1" si="48"/>
        <v/>
      </c>
      <c r="J119" s="65" t="str">
        <f t="shared" ca="1" si="48"/>
        <v/>
      </c>
      <c r="K119" s="65" t="str">
        <f t="shared" ca="1" si="48"/>
        <v/>
      </c>
      <c r="L119" s="65" t="str">
        <f t="shared" ca="1" si="48"/>
        <v/>
      </c>
    </row>
    <row r="120" spans="1:12" x14ac:dyDescent="0.35">
      <c r="A120" s="1" t="s">
        <v>137</v>
      </c>
      <c r="B120" s="1"/>
      <c r="D120" s="2"/>
      <c r="E120" s="2"/>
      <c r="F120" s="2"/>
      <c r="G120" s="2"/>
      <c r="H120" s="2"/>
      <c r="I120" s="2"/>
      <c r="J120" s="2"/>
      <c r="K120" s="2"/>
      <c r="L120" s="2"/>
    </row>
    <row r="121" spans="1:12" x14ac:dyDescent="0.35">
      <c r="A121" t="str">
        <f t="shared" ref="A121:A126" si="49">IF(A5="","","    "&amp;A5)</f>
        <v xml:space="preserve">    Upper Basin</v>
      </c>
      <c r="C121" s="65">
        <f t="shared" ref="C121:L126" ca="1" si="50">IF(OR(C$26="",$A121=""),"",OFFSET(C$62,8*(ROW(B121)-ROW(B$121)),0))</f>
        <v>4.8040452368981788</v>
      </c>
      <c r="D121" s="65">
        <f t="shared" ca="1" si="50"/>
        <v>4.5419931728564817</v>
      </c>
      <c r="E121" s="65">
        <f t="shared" ca="1" si="50"/>
        <v>4.3056232546493094</v>
      </c>
      <c r="F121" s="65">
        <f t="shared" ca="1" si="50"/>
        <v>4.0774702074598084</v>
      </c>
      <c r="G121" s="65">
        <f t="shared" ca="1" si="50"/>
        <v>3.85719281347522</v>
      </c>
      <c r="H121" s="65">
        <f t="shared" ca="1" si="50"/>
        <v>3.6445551050330494</v>
      </c>
      <c r="I121" s="65">
        <f t="shared" ca="1" si="50"/>
        <v>4.9519284043853409</v>
      </c>
      <c r="J121" s="65">
        <f t="shared" ca="1" si="50"/>
        <v>6.1848350048055627</v>
      </c>
      <c r="K121" s="65">
        <f t="shared" ca="1" si="50"/>
        <v>7.3613409808086034</v>
      </c>
      <c r="L121" s="65">
        <f t="shared" ca="1" si="50"/>
        <v>8.4864380639727202</v>
      </c>
    </row>
    <row r="122" spans="1:12" x14ac:dyDescent="0.35">
      <c r="A122" t="str">
        <f t="shared" si="49"/>
        <v xml:space="preserve">    Lower Basin</v>
      </c>
      <c r="C122" s="65">
        <f t="shared" ca="1" si="50"/>
        <v>3.2109815232907888</v>
      </c>
      <c r="D122" s="65">
        <f t="shared" ca="1" si="50"/>
        <v>2.1938054130006606</v>
      </c>
      <c r="E122" s="65">
        <f t="shared" ca="1" si="50"/>
        <v>1.5979005802175585</v>
      </c>
      <c r="F122" s="65">
        <f t="shared" ca="1" si="50"/>
        <v>1.0206144277033102</v>
      </c>
      <c r="G122" s="65">
        <f t="shared" ca="1" si="50"/>
        <v>0.46100835996429268</v>
      </c>
      <c r="H122" s="65">
        <f t="shared" ca="1" si="50"/>
        <v>0</v>
      </c>
      <c r="I122" s="65">
        <f t="shared" ca="1" si="50"/>
        <v>9.1288800524318425E-2</v>
      </c>
      <c r="J122" s="65">
        <f t="shared" ca="1" si="50"/>
        <v>7.9832364543001688E-2</v>
      </c>
      <c r="K122" s="65">
        <f t="shared" ca="1" si="50"/>
        <v>8.6083721142300007E-2</v>
      </c>
      <c r="L122" s="65">
        <f t="shared" ca="1" si="50"/>
        <v>0.10682026747920759</v>
      </c>
    </row>
    <row r="123" spans="1:12" x14ac:dyDescent="0.35">
      <c r="A123" t="str">
        <f t="shared" si="49"/>
        <v xml:space="preserve">    Mexico</v>
      </c>
      <c r="C123" s="65">
        <f t="shared" ca="1" si="50"/>
        <v>0.16557297647772518</v>
      </c>
      <c r="D123" s="65">
        <f t="shared" ca="1" si="50"/>
        <v>0.15735694647678922</v>
      </c>
      <c r="E123" s="65">
        <f t="shared" ca="1" si="50"/>
        <v>0.14931228563432986</v>
      </c>
      <c r="F123" s="65">
        <f t="shared" ca="1" si="50"/>
        <v>0.14154478800417558</v>
      </c>
      <c r="G123" s="65">
        <f t="shared" ca="1" si="50"/>
        <v>0.13404274739387745</v>
      </c>
      <c r="H123" s="65">
        <f t="shared" ca="1" si="50"/>
        <v>0.1267980923965879</v>
      </c>
      <c r="I123" s="65">
        <f t="shared" ca="1" si="50"/>
        <v>0.11982386668781775</v>
      </c>
      <c r="J123" s="65">
        <f t="shared" ca="1" si="50"/>
        <v>0.11346171941498073</v>
      </c>
      <c r="K123" s="65">
        <f t="shared" ca="1" si="50"/>
        <v>0.10760361147988062</v>
      </c>
      <c r="L123" s="65">
        <f t="shared" ca="1" si="50"/>
        <v>0.10218441414494972</v>
      </c>
    </row>
    <row r="124" spans="1:12" x14ac:dyDescent="0.35">
      <c r="A124" t="str">
        <f t="shared" si="49"/>
        <v xml:space="preserve">    Shared, Reserve</v>
      </c>
      <c r="C124" s="65">
        <f t="shared" ca="1" si="50"/>
        <v>11.59116925</v>
      </c>
      <c r="D124" s="65">
        <f t="shared" ca="1" si="50"/>
        <v>11.59116925</v>
      </c>
      <c r="E124" s="65">
        <f t="shared" ca="1" si="50"/>
        <v>11.59116925</v>
      </c>
      <c r="F124" s="65">
        <f t="shared" ca="1" si="50"/>
        <v>11.59116925</v>
      </c>
      <c r="G124" s="65">
        <f t="shared" ca="1" si="50"/>
        <v>11.59116925</v>
      </c>
      <c r="H124" s="65">
        <f t="shared" ca="1" si="50"/>
        <v>11.59116925</v>
      </c>
      <c r="I124" s="65">
        <f t="shared" ca="1" si="50"/>
        <v>11.59116925</v>
      </c>
      <c r="J124" s="65">
        <f t="shared" ca="1" si="50"/>
        <v>11.59116925</v>
      </c>
      <c r="K124" s="65">
        <f t="shared" ca="1" si="50"/>
        <v>11.59116925</v>
      </c>
      <c r="L124" s="65">
        <f t="shared" ca="1" si="50"/>
        <v>11.59116925</v>
      </c>
    </row>
    <row r="125" spans="1:12" x14ac:dyDescent="0.35">
      <c r="A125" t="str">
        <f t="shared" si="49"/>
        <v/>
      </c>
      <c r="C125" s="65" t="str">
        <f t="shared" ca="1" si="50"/>
        <v/>
      </c>
      <c r="D125" s="65" t="str">
        <f t="shared" ca="1" si="50"/>
        <v/>
      </c>
      <c r="E125" s="65" t="str">
        <f t="shared" ca="1" si="50"/>
        <v/>
      </c>
      <c r="F125" s="65" t="str">
        <f t="shared" ca="1" si="50"/>
        <v/>
      </c>
      <c r="G125" s="65" t="str">
        <f t="shared" ca="1" si="50"/>
        <v/>
      </c>
      <c r="H125" s="65" t="str">
        <f t="shared" ca="1" si="50"/>
        <v/>
      </c>
      <c r="I125" s="65" t="str">
        <f t="shared" ca="1" si="50"/>
        <v/>
      </c>
      <c r="J125" s="65" t="str">
        <f t="shared" ca="1" si="50"/>
        <v/>
      </c>
      <c r="K125" s="65" t="str">
        <f t="shared" ca="1" si="50"/>
        <v/>
      </c>
      <c r="L125" s="65" t="str">
        <f t="shared" ca="1" si="50"/>
        <v/>
      </c>
    </row>
    <row r="126" spans="1:12" x14ac:dyDescent="0.35">
      <c r="A126" t="str">
        <f t="shared" si="49"/>
        <v/>
      </c>
      <c r="C126" s="65" t="str">
        <f t="shared" ca="1" si="50"/>
        <v/>
      </c>
      <c r="D126" s="65" t="str">
        <f t="shared" ca="1" si="50"/>
        <v/>
      </c>
      <c r="E126" s="65" t="str">
        <f t="shared" ca="1" si="50"/>
        <v/>
      </c>
      <c r="F126" s="65" t="str">
        <f t="shared" ca="1" si="50"/>
        <v/>
      </c>
      <c r="G126" s="65" t="str">
        <f t="shared" ca="1" si="50"/>
        <v/>
      </c>
      <c r="H126" s="65" t="str">
        <f t="shared" ca="1" si="50"/>
        <v/>
      </c>
      <c r="I126" s="65" t="str">
        <f t="shared" ca="1" si="50"/>
        <v/>
      </c>
      <c r="J126" s="65" t="str">
        <f t="shared" ca="1" si="50"/>
        <v/>
      </c>
      <c r="K126" s="65" t="str">
        <f t="shared" ca="1" si="50"/>
        <v/>
      </c>
      <c r="L126" s="65" t="str">
        <f t="shared" ca="1" si="50"/>
        <v/>
      </c>
    </row>
    <row r="127" spans="1:12" x14ac:dyDescent="0.35">
      <c r="A127" s="1" t="s">
        <v>121</v>
      </c>
      <c r="B127" s="1"/>
      <c r="C127" s="14">
        <f ca="1">IF(C$26&lt;&gt;"",SUM(C121:C126),"")</f>
        <v>19.771768986666693</v>
      </c>
      <c r="D127" s="14">
        <f t="shared" ref="D127:L127" ca="1" si="51">IF(D$26&lt;&gt;"",SUM(D121:D126),"")</f>
        <v>18.484324782333932</v>
      </c>
      <c r="E127" s="14">
        <f t="shared" ca="1" si="51"/>
        <v>17.644005370501198</v>
      </c>
      <c r="F127" s="14">
        <f t="shared" ca="1" si="51"/>
        <v>16.830798673167294</v>
      </c>
      <c r="G127" s="14">
        <f t="shared" ca="1" si="51"/>
        <v>16.043413170833389</v>
      </c>
      <c r="H127" s="14">
        <f t="shared" ca="1" si="51"/>
        <v>15.362522447429637</v>
      </c>
      <c r="I127" s="14">
        <f t="shared" ca="1" si="51"/>
        <v>16.754210321597476</v>
      </c>
      <c r="J127" s="14">
        <f t="shared" ca="1" si="51"/>
        <v>17.969298338763544</v>
      </c>
      <c r="K127" s="14">
        <f t="shared" ca="1" si="51"/>
        <v>19.146197563430782</v>
      </c>
      <c r="L127" s="14">
        <f t="shared" ca="1" si="51"/>
        <v>20.286611995596878</v>
      </c>
    </row>
    <row r="128" spans="1:12" x14ac:dyDescent="0.35">
      <c r="A128" s="1" t="s">
        <v>194</v>
      </c>
      <c r="B128" s="1"/>
      <c r="C128" s="66">
        <v>0.5</v>
      </c>
      <c r="D128" s="66">
        <v>0.5</v>
      </c>
      <c r="E128" s="66">
        <v>0.5</v>
      </c>
      <c r="F128" s="66">
        <v>0.5</v>
      </c>
      <c r="G128" s="66">
        <v>0.5</v>
      </c>
      <c r="H128" s="66">
        <v>0.5</v>
      </c>
      <c r="I128" s="66">
        <v>0.5</v>
      </c>
      <c r="J128" s="66">
        <v>0.5</v>
      </c>
      <c r="K128" s="66">
        <v>0.5</v>
      </c>
      <c r="L128" s="66">
        <v>0.5</v>
      </c>
    </row>
    <row r="129" spans="1:14" x14ac:dyDescent="0.35">
      <c r="A129" s="1" t="s">
        <v>190</v>
      </c>
      <c r="B129" s="1"/>
      <c r="C129" s="14">
        <f ca="1">IF(C26="","",C$128*C$127)</f>
        <v>9.8858844933333465</v>
      </c>
      <c r="D129" s="14">
        <f t="shared" ref="D129:L129" ca="1" si="52">IF(D26="","",D$128*D$127)</f>
        <v>9.2421623911669659</v>
      </c>
      <c r="E129" s="14">
        <f t="shared" ca="1" si="52"/>
        <v>8.8220026852505988</v>
      </c>
      <c r="F129" s="14">
        <f t="shared" ca="1" si="52"/>
        <v>8.415399336583647</v>
      </c>
      <c r="G129" s="14">
        <f t="shared" ca="1" si="52"/>
        <v>8.0217065854166947</v>
      </c>
      <c r="H129" s="14">
        <f t="shared" ca="1" si="52"/>
        <v>7.6812612237148183</v>
      </c>
      <c r="I129" s="14">
        <f t="shared" ca="1" si="52"/>
        <v>8.3771051607987381</v>
      </c>
      <c r="J129" s="14">
        <f t="shared" ca="1" si="52"/>
        <v>8.9846491693817718</v>
      </c>
      <c r="K129" s="14">
        <f t="shared" ca="1" si="52"/>
        <v>9.573098781715391</v>
      </c>
      <c r="L129" s="14">
        <f t="shared" ca="1" si="52"/>
        <v>10.143305997798439</v>
      </c>
    </row>
    <row r="130" spans="1:14" x14ac:dyDescent="0.35">
      <c r="A130" s="1" t="s">
        <v>191</v>
      </c>
      <c r="B130" s="1"/>
      <c r="C130" s="14">
        <f ca="1">IF(C27="","",(1-C$128)*C$127)</f>
        <v>9.8858844933333465</v>
      </c>
      <c r="D130" s="14">
        <f t="shared" ref="D130:L130" ca="1" si="53">IF(D27="","",(1-D$128)*D$127)</f>
        <v>9.2421623911669659</v>
      </c>
      <c r="E130" s="14">
        <f t="shared" ca="1" si="53"/>
        <v>8.8220026852505988</v>
      </c>
      <c r="F130" s="14">
        <f t="shared" ca="1" si="53"/>
        <v>8.415399336583647</v>
      </c>
      <c r="G130" s="14">
        <f t="shared" ca="1" si="53"/>
        <v>8.0217065854166947</v>
      </c>
      <c r="H130" s="14">
        <f t="shared" ca="1" si="53"/>
        <v>7.6812612237148183</v>
      </c>
      <c r="I130" s="14">
        <f t="shared" ca="1" si="53"/>
        <v>8.3771051607987381</v>
      </c>
      <c r="J130" s="14">
        <f t="shared" ca="1" si="53"/>
        <v>8.9846491693817718</v>
      </c>
      <c r="K130" s="14">
        <f t="shared" ca="1" si="53"/>
        <v>9.573098781715391</v>
      </c>
      <c r="L130" s="14">
        <f t="shared" ca="1" si="53"/>
        <v>10.143305997798439</v>
      </c>
    </row>
    <row r="131" spans="1:14" x14ac:dyDescent="0.35">
      <c r="A131" s="30" t="s">
        <v>255</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3560.5</v>
      </c>
      <c r="J131" s="81">
        <f ca="1">IF(J$26&lt;&gt;"",VLOOKUP(J129*1000000,'Powell-Elevation-Area'!$B$5:$H$689,7),"")</f>
        <v>3568</v>
      </c>
      <c r="K131" s="81">
        <f ca="1">IF(K$26&lt;&gt;"",VLOOKUP(K129*1000000,'Powell-Elevation-Area'!$B$5:$H$689,7),"")</f>
        <v>3575.5</v>
      </c>
      <c r="L131" s="81">
        <f ca="1">IF(L$26&lt;&gt;"",VLOOKUP(L129*1000000,'Powell-Elevation-Area'!$B$5:$H$689,7),"")</f>
        <v>3582</v>
      </c>
    </row>
    <row r="132" spans="1:14" x14ac:dyDescent="0.35">
      <c r="A132" s="30" t="s">
        <v>256</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1059</v>
      </c>
      <c r="J132" s="81">
        <f ca="1">IF(J$26&lt;&gt;"",VLOOKUP(J130*1000000,'Mead-Elevation-Area'!$B$5:$H$689,7),"")</f>
        <v>1067</v>
      </c>
      <c r="K132" s="81">
        <f ca="1">IF(K$26&lt;&gt;"",VLOOKUP(K130*1000000,'Mead-Elevation-Area'!$B$5:$H$689,7),"")</f>
        <v>1074.5</v>
      </c>
      <c r="L132" s="81">
        <f ca="1">IF(L$26&lt;&gt;"",VLOOKUP(L130*1000000,'Mead-Elevation-Area'!$B$5:$H$689,7),"")</f>
        <v>1081.5</v>
      </c>
    </row>
    <row r="133" spans="1:14" x14ac:dyDescent="0.35">
      <c r="A133" s="1" t="s">
        <v>268</v>
      </c>
      <c r="B133" s="1"/>
    </row>
    <row r="134" spans="1:14" x14ac:dyDescent="0.35">
      <c r="A134" s="30" t="s">
        <v>269</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9.0914112704166534</v>
      </c>
      <c r="J134" s="14">
        <f ca="1">IF(J$26&lt;&gt;"",-J129+J37+J26-J61-VLOOKUP(J37*1000000,'Powell-Elevation-Area'!$B$5:$D$689,3)*$B$20/1000000,"")</f>
        <v>9.1556973419169658</v>
      </c>
      <c r="K134" s="14">
        <f ca="1">IF(K$26&lt;&gt;"",-K129+K37+K26-K61-VLOOKUP(K37*1000000,'Powell-Elevation-Area'!$B$5:$D$689,3)*$B$20/1000000,"")</f>
        <v>9.1539789456669531</v>
      </c>
      <c r="L134" s="14">
        <f ca="1">IF(L$26&lt;&gt;"",-L129+L37+L26-L61-VLOOKUP(L37*1000000,'Powell-Elevation-Area'!$B$5:$D$689,3)*$B$20/1000000,"")</f>
        <v>9.1514085494163773</v>
      </c>
      <c r="N134" t="s">
        <v>192</v>
      </c>
    </row>
    <row r="135" spans="1:14" x14ac:dyDescent="0.3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274</v>
      </c>
    </row>
    <row r="136" spans="1:14" s="83" customFormat="1" ht="62.5" customHeight="1" x14ac:dyDescent="0.3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5" customHeight="1" x14ac:dyDescent="0.3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35">
      <c r="C138" s="27"/>
    </row>
    <row r="139" spans="1:14" x14ac:dyDescent="0.35">
      <c r="A139" s="1" t="s">
        <v>123</v>
      </c>
      <c r="C139" s="129">
        <f>IF(C$26&lt;&gt;"",0.2,"")</f>
        <v>0.2</v>
      </c>
      <c r="D139" s="129">
        <f t="shared" ref="D139:L139" si="54">IF(D$26&lt;&gt;"",0.2,"")</f>
        <v>0.2</v>
      </c>
      <c r="E139" s="129">
        <f t="shared" si="54"/>
        <v>0.2</v>
      </c>
      <c r="F139" s="129">
        <f t="shared" si="54"/>
        <v>0.2</v>
      </c>
      <c r="G139" s="129">
        <f t="shared" si="54"/>
        <v>0.2</v>
      </c>
      <c r="H139" s="129">
        <f t="shared" si="54"/>
        <v>0.2</v>
      </c>
      <c r="I139" s="129">
        <f t="shared" si="54"/>
        <v>0.2</v>
      </c>
      <c r="J139" s="129">
        <f t="shared" si="54"/>
        <v>0.2</v>
      </c>
      <c r="K139" s="129">
        <f t="shared" si="54"/>
        <v>0.2</v>
      </c>
      <c r="L139" s="129">
        <f t="shared" si="54"/>
        <v>0.2</v>
      </c>
    </row>
    <row r="140" spans="1:14" x14ac:dyDescent="0.35">
      <c r="A140" t="s">
        <v>124</v>
      </c>
      <c r="C140" s="14">
        <f t="shared" ref="C140:L140" ca="1" si="55">IF(C$26&lt;&gt;"",C115+C139,"")</f>
        <v>7.4590000000000005</v>
      </c>
      <c r="D140" s="14">
        <f t="shared" ca="1" si="55"/>
        <v>7.4590000000000005</v>
      </c>
      <c r="E140" s="14">
        <f t="shared" ca="1" si="55"/>
        <v>7.0870000000000006</v>
      </c>
      <c r="F140" s="14">
        <f t="shared" ca="1" si="55"/>
        <v>7.0870000000000006</v>
      </c>
      <c r="G140" s="14">
        <f t="shared" ca="1" si="55"/>
        <v>7.0870000000000006</v>
      </c>
      <c r="H140" s="14">
        <f t="shared" ca="1" si="55"/>
        <v>7.0054534574710212</v>
      </c>
      <c r="I140" s="14">
        <f t="shared" ca="1" si="55"/>
        <v>6.9790000000000001</v>
      </c>
      <c r="J140" s="14">
        <f t="shared" ca="1" si="55"/>
        <v>7.0870000000000006</v>
      </c>
      <c r="K140" s="14">
        <f t="shared" ca="1" si="55"/>
        <v>7.0870000000000006</v>
      </c>
      <c r="L140" s="14">
        <f t="shared" ca="1" si="55"/>
        <v>7.0870000000000006</v>
      </c>
    </row>
    <row r="142" spans="1:14" x14ac:dyDescent="0.35">
      <c r="D142" s="17"/>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96" priority="36" operator="greaterThan">
      <formula>$C$76</formula>
    </cfRule>
  </conditionalFormatting>
  <conditionalFormatting sqref="C85:L85">
    <cfRule type="cellIs" dxfId="95" priority="35" operator="greaterThan">
      <formula>$C$84</formula>
    </cfRule>
  </conditionalFormatting>
  <conditionalFormatting sqref="C93">
    <cfRule type="cellIs" dxfId="94" priority="34" operator="greaterThan">
      <formula>$C$92</formula>
    </cfRule>
  </conditionalFormatting>
  <conditionalFormatting sqref="D93">
    <cfRule type="cellIs" dxfId="93" priority="33" operator="greaterThan">
      <formula>$D$92</formula>
    </cfRule>
  </conditionalFormatting>
  <conditionalFormatting sqref="E93">
    <cfRule type="cellIs" dxfId="92" priority="32" operator="greaterThan">
      <formula>$E$92</formula>
    </cfRule>
  </conditionalFormatting>
  <conditionalFormatting sqref="F93">
    <cfRule type="cellIs" dxfId="91" priority="31" operator="greaterThan">
      <formula>$F$92</formula>
    </cfRule>
  </conditionalFormatting>
  <conditionalFormatting sqref="G93">
    <cfRule type="cellIs" dxfId="90" priority="30" operator="greaterThan">
      <formula>$G$92</formula>
    </cfRule>
  </conditionalFormatting>
  <conditionalFormatting sqref="H93">
    <cfRule type="cellIs" dxfId="89" priority="29" operator="greaterThan">
      <formula>$H$92</formula>
    </cfRule>
  </conditionalFormatting>
  <conditionalFormatting sqref="I93">
    <cfRule type="cellIs" dxfId="88" priority="28" operator="greaterThan">
      <formula>$I$92</formula>
    </cfRule>
  </conditionalFormatting>
  <conditionalFormatting sqref="J93">
    <cfRule type="cellIs" dxfId="87" priority="27" operator="greaterThan">
      <formula>$J$92</formula>
    </cfRule>
  </conditionalFormatting>
  <conditionalFormatting sqref="K93">
    <cfRule type="cellIs" dxfId="86" priority="26" operator="greaterThan">
      <formula>$K$92</formula>
    </cfRule>
  </conditionalFormatting>
  <conditionalFormatting sqref="L93">
    <cfRule type="cellIs" dxfId="85" priority="25" operator="greaterThan">
      <formula>$L$92</formula>
    </cfRule>
  </conditionalFormatting>
  <conditionalFormatting sqref="C101">
    <cfRule type="cellIs" dxfId="84" priority="24" operator="greaterThan">
      <formula>$C$100</formula>
    </cfRule>
  </conditionalFormatting>
  <conditionalFormatting sqref="D101">
    <cfRule type="cellIs" dxfId="83" priority="23" operator="greaterThan">
      <formula>$D$100</formula>
    </cfRule>
  </conditionalFormatting>
  <conditionalFormatting sqref="E101">
    <cfRule type="cellIs" dxfId="82" priority="22" operator="greaterThan">
      <formula>$E$100</formula>
    </cfRule>
  </conditionalFormatting>
  <conditionalFormatting sqref="F101">
    <cfRule type="cellIs" dxfId="81" priority="21" operator="greaterThan">
      <formula>$F$100</formula>
    </cfRule>
  </conditionalFormatting>
  <conditionalFormatting sqref="G101">
    <cfRule type="cellIs" dxfId="80" priority="20" operator="greaterThan">
      <formula>$G$100</formula>
    </cfRule>
  </conditionalFormatting>
  <conditionalFormatting sqref="H101">
    <cfRule type="cellIs" dxfId="79" priority="19" operator="greaterThan">
      <formula>$H$100</formula>
    </cfRule>
  </conditionalFormatting>
  <conditionalFormatting sqref="I101">
    <cfRule type="cellIs" dxfId="78" priority="18" operator="greaterThan">
      <formula>$I$100</formula>
    </cfRule>
  </conditionalFormatting>
  <conditionalFormatting sqref="J101">
    <cfRule type="cellIs" dxfId="77" priority="17" operator="greaterThan">
      <formula>$J$100</formula>
    </cfRule>
  </conditionalFormatting>
  <conditionalFormatting sqref="K101">
    <cfRule type="cellIs" dxfId="76" priority="16" operator="greaterThan">
      <formula>$K$100</formula>
    </cfRule>
  </conditionalFormatting>
  <conditionalFormatting sqref="L101">
    <cfRule type="cellIs" dxfId="75" priority="15" operator="greaterThan">
      <formula>$L$100</formula>
    </cfRule>
  </conditionalFormatting>
  <conditionalFormatting sqref="C61:L61">
    <cfRule type="cellIs" dxfId="74" priority="3" operator="greaterThan">
      <formula>$C$60</formula>
    </cfRule>
  </conditionalFormatting>
  <conditionalFormatting sqref="C69:L69">
    <cfRule type="cellIs" dxfId="7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25C1294A-CF5A-4318-BAB7-F59DD90071C6}">
            <xm:f>PowellReleaseTemperature!$B$10</xm:f>
            <x14:dxf>
              <font>
                <color auto="1"/>
              </font>
              <fill>
                <patternFill>
                  <bgColor theme="4"/>
                </patternFill>
              </fill>
            </x14:dxf>
          </x14:cfRule>
          <x14:cfRule type="cellIs" priority="12" operator="equal" id="{2191574A-0448-44CA-B9DC-ACF8A5329CBA}">
            <xm:f>PowellReleaseTemperature!$B$9</xm:f>
            <x14:dxf>
              <font>
                <color theme="4" tint="-0.24994659260841701"/>
              </font>
              <fill>
                <patternFill>
                  <bgColor theme="8" tint="0.59996337778862885"/>
                </patternFill>
              </fill>
            </x14:dxf>
          </x14:cfRule>
          <x14:cfRule type="cellIs" priority="13" operator="equal" id="{D4E5ED0F-51C7-4BFC-9ED1-FCB0A74F6D78}">
            <xm:f>PowellReleaseTemperature!$B$8</xm:f>
            <x14:dxf>
              <font>
                <color rgb="FF9C0006"/>
              </font>
              <fill>
                <patternFill>
                  <bgColor rgb="FFFFC7CE"/>
                </patternFill>
              </fill>
            </x14:dxf>
          </x14:cfRule>
          <x14:cfRule type="cellIs" priority="14" operator="equal" id="{CC9A7311-B807-46ED-AD32-6035AE1A73A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B8480D3A-C4E5-4FD9-BF8D-B8D8978678D9}">
            <xm:f>PowellReleaseTemperature!$E$5</xm:f>
            <x14:dxf>
              <font>
                <color auto="1"/>
              </font>
              <fill>
                <patternFill>
                  <bgColor rgb="FFFF0000"/>
                </patternFill>
              </fill>
            </x14:dxf>
          </x14:cfRule>
          <x14:cfRule type="cellIs" priority="8" operator="equal" id="{54778BD9-DD77-4733-80D8-B710626BCB63}">
            <xm:f>PowellReleaseTemperature!$E$8</xm:f>
            <x14:dxf>
              <font>
                <color rgb="FF9C0006"/>
              </font>
              <fill>
                <patternFill>
                  <bgColor rgb="FFFFC7CE"/>
                </patternFill>
              </fill>
            </x14:dxf>
          </x14:cfRule>
          <x14:cfRule type="cellIs" priority="9" operator="equal" id="{2507592C-E6C9-4CE8-BE51-80054EE1866F}">
            <xm:f>PowellReleaseTemperature!$E$9</xm:f>
            <x14:dxf>
              <font>
                <color theme="4" tint="-0.24994659260841701"/>
              </font>
              <fill>
                <patternFill>
                  <bgColor theme="8" tint="0.59996337778862885"/>
                </patternFill>
              </fill>
            </x14:dxf>
          </x14:cfRule>
          <x14:cfRule type="cellIs" priority="10" operator="equal" id="{7A208BAE-4749-4C79-BF99-4B984821357B}">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5234A522-BB5F-4D98-B860-B00DAD49BFDD}">
            <xm:f>PowellReleaseTemperature!$F$10</xm:f>
            <x14:dxf>
              <font>
                <color auto="1"/>
              </font>
              <fill>
                <patternFill>
                  <bgColor theme="4"/>
                </patternFill>
              </fill>
            </x14:dxf>
          </x14:cfRule>
          <x14:cfRule type="cellIs" priority="5" operator="equal" id="{7CCFB6FD-321C-414F-AA5C-2EA8D27ED11C}">
            <xm:f>PowellReleaseTemperature!$F$9</xm:f>
            <x14:dxf>
              <font>
                <color theme="4" tint="-0.24994659260841701"/>
              </font>
              <fill>
                <patternFill>
                  <bgColor theme="8" tint="0.59996337778862885"/>
                </patternFill>
              </fill>
            </x14:dxf>
          </x14:cfRule>
          <x14:cfRule type="cellIs" priority="6" operator="equal" id="{A78864F4-1B22-44D5-A00D-91E078A209BD}">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4515D44D-C5CF-423C-B5B2-BEA374F72A61}">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zoomScale="50" zoomScaleNormal="50" workbookViewId="0">
      <selection activeCell="AB30" sqref="AB30"/>
    </sheetView>
  </sheetViews>
  <sheetFormatPr defaultRowHeight="14.5" x14ac:dyDescent="0.35"/>
  <cols>
    <col min="7" max="7" width="7.81640625" customWidth="1"/>
  </cols>
  <sheetData>
    <row r="1" spans="7:36" ht="36" x14ac:dyDescent="0.8">
      <c r="G1" s="45" t="s">
        <v>39</v>
      </c>
      <c r="P1" s="266" t="s">
        <v>40</v>
      </c>
      <c r="Q1" s="266"/>
      <c r="R1" s="266"/>
      <c r="S1" s="266"/>
      <c r="T1" s="266"/>
      <c r="U1" s="266"/>
      <c r="V1" s="266"/>
      <c r="W1" s="266"/>
      <c r="X1" s="266"/>
      <c r="Y1" s="266"/>
      <c r="AA1" s="266" t="s">
        <v>200</v>
      </c>
      <c r="AB1" s="266"/>
      <c r="AC1" s="266"/>
      <c r="AD1" s="266"/>
      <c r="AE1" s="266"/>
      <c r="AF1" s="266"/>
      <c r="AG1" s="266"/>
      <c r="AH1" s="266"/>
      <c r="AI1" s="266"/>
      <c r="AJ1" s="266"/>
    </row>
  </sheetData>
  <mergeCells count="2">
    <mergeCell ref="P1:Y1"/>
    <mergeCell ref="AA1:AJ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591BC-5A67-4114-9D7C-335F9B235457}">
  <dimension ref="A1:N142"/>
  <sheetViews>
    <sheetView topLeftCell="A36" zoomScale="150" zoomScaleNormal="150" workbookViewId="0">
      <selection activeCell="C52" sqref="C52"/>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56" t="s">
        <v>148</v>
      </c>
      <c r="B3" s="256"/>
      <c r="C3" s="256"/>
      <c r="D3" s="256"/>
      <c r="E3" s="256"/>
      <c r="F3" s="256"/>
      <c r="G3" s="256"/>
      <c r="H3" s="112"/>
      <c r="I3" s="112"/>
      <c r="J3" s="112"/>
      <c r="K3" s="112"/>
    </row>
    <row r="4" spans="1:13" x14ac:dyDescent="0.35">
      <c r="A4" s="51" t="s">
        <v>38</v>
      </c>
      <c r="B4" s="51" t="s">
        <v>42</v>
      </c>
      <c r="C4" s="257" t="s">
        <v>43</v>
      </c>
      <c r="D4" s="258"/>
      <c r="E4" s="258"/>
      <c r="F4" s="258"/>
      <c r="G4" s="259"/>
      <c r="M4" s="1" t="s">
        <v>294</v>
      </c>
    </row>
    <row r="5" spans="1:13" x14ac:dyDescent="0.35">
      <c r="A5" s="122" t="s">
        <v>39</v>
      </c>
      <c r="B5" s="122"/>
      <c r="C5" s="247" t="s">
        <v>207</v>
      </c>
      <c r="D5" s="242"/>
      <c r="E5" s="242"/>
      <c r="F5" s="242"/>
      <c r="G5" s="242"/>
      <c r="M5" t="s">
        <v>295</v>
      </c>
    </row>
    <row r="6" spans="1:13" x14ac:dyDescent="0.35">
      <c r="A6" s="122" t="s">
        <v>40</v>
      </c>
      <c r="B6" s="122"/>
      <c r="C6" s="247" t="s">
        <v>208</v>
      </c>
      <c r="D6" s="242"/>
      <c r="E6" s="242"/>
      <c r="F6" s="242"/>
      <c r="G6" s="242"/>
      <c r="M6" t="s">
        <v>300</v>
      </c>
    </row>
    <row r="7" spans="1:13" x14ac:dyDescent="0.35">
      <c r="A7" s="122" t="s">
        <v>41</v>
      </c>
      <c r="B7" s="122"/>
      <c r="C7" s="247" t="s">
        <v>149</v>
      </c>
      <c r="D7" s="242"/>
      <c r="E7" s="242"/>
      <c r="F7" s="242"/>
      <c r="G7" s="242"/>
      <c r="M7" t="s">
        <v>301</v>
      </c>
    </row>
    <row r="8" spans="1:13" x14ac:dyDescent="0.35">
      <c r="A8" s="111" t="s">
        <v>154</v>
      </c>
      <c r="B8" s="111"/>
      <c r="C8" s="249" t="s">
        <v>305</v>
      </c>
      <c r="D8" s="249"/>
      <c r="E8" s="249"/>
      <c r="F8" s="249"/>
      <c r="G8" s="249"/>
    </row>
    <row r="9" spans="1:13" x14ac:dyDescent="0.35">
      <c r="A9" s="126" t="s">
        <v>145</v>
      </c>
      <c r="B9" s="122"/>
      <c r="C9" s="242" t="s">
        <v>209</v>
      </c>
      <c r="D9" s="242"/>
      <c r="E9" s="242"/>
      <c r="F9" s="242"/>
      <c r="G9" s="242"/>
    </row>
    <row r="10" spans="1:13" x14ac:dyDescent="0.35">
      <c r="A10" s="122"/>
      <c r="B10" s="122"/>
      <c r="C10" s="248"/>
      <c r="D10" s="248"/>
      <c r="E10" s="248"/>
      <c r="F10" s="248"/>
      <c r="G10" s="248"/>
    </row>
    <row r="11" spans="1:13" x14ac:dyDescent="0.35">
      <c r="A11" s="15"/>
      <c r="B11" s="2"/>
      <c r="C11"/>
    </row>
    <row r="12" spans="1:13" x14ac:dyDescent="0.35">
      <c r="A12" s="18" t="s">
        <v>45</v>
      </c>
      <c r="B12" s="260" t="s">
        <v>195</v>
      </c>
      <c r="C12" s="260"/>
      <c r="D12" s="260"/>
      <c r="E12" s="260"/>
      <c r="F12" s="260"/>
    </row>
    <row r="13" spans="1:13" x14ac:dyDescent="0.35">
      <c r="B13" s="261" t="s">
        <v>302</v>
      </c>
      <c r="C13" s="262"/>
      <c r="D13" s="262"/>
      <c r="E13" s="262"/>
      <c r="F13" s="262"/>
    </row>
    <row r="14" spans="1:13" x14ac:dyDescent="0.35">
      <c r="B14" s="263" t="s">
        <v>303</v>
      </c>
      <c r="C14" s="264"/>
      <c r="D14" s="264"/>
      <c r="E14" s="264"/>
      <c r="F14" s="264"/>
    </row>
    <row r="15" spans="1:13" x14ac:dyDescent="0.35">
      <c r="B15" s="265" t="s">
        <v>46</v>
      </c>
      <c r="C15" s="265"/>
      <c r="D15" s="265"/>
      <c r="E15" s="265"/>
      <c r="F15" s="265"/>
    </row>
    <row r="17" spans="1:14" x14ac:dyDescent="0.35">
      <c r="A17" s="1" t="s">
        <v>53</v>
      </c>
      <c r="D17" s="260" t="s">
        <v>151</v>
      </c>
      <c r="E17" s="260"/>
      <c r="F17" s="260"/>
      <c r="G17" s="260"/>
    </row>
    <row r="19" spans="1:14" x14ac:dyDescent="0.35">
      <c r="A19" s="1" t="s">
        <v>32</v>
      </c>
      <c r="B19" s="1" t="s">
        <v>108</v>
      </c>
      <c r="C19" s="13" t="s">
        <v>109</v>
      </c>
    </row>
    <row r="20" spans="1:14" x14ac:dyDescent="0.35">
      <c r="A20" t="s">
        <v>107</v>
      </c>
      <c r="B20" s="129">
        <v>5.73</v>
      </c>
      <c r="C20" s="129">
        <v>6</v>
      </c>
      <c r="D20" s="22" t="s">
        <v>110</v>
      </c>
    </row>
    <row r="21" spans="1:14" x14ac:dyDescent="0.35">
      <c r="A21" t="s">
        <v>139</v>
      </c>
      <c r="B21" s="129">
        <v>11</v>
      </c>
      <c r="C21" s="129">
        <v>10.1</v>
      </c>
      <c r="D21" s="11" t="s">
        <v>34</v>
      </c>
    </row>
    <row r="22" spans="1:14" x14ac:dyDescent="0.35">
      <c r="A22" t="s">
        <v>186</v>
      </c>
      <c r="B22" s="60">
        <v>3525</v>
      </c>
      <c r="C22" s="60">
        <v>1020</v>
      </c>
      <c r="D22" s="11"/>
    </row>
    <row r="23" spans="1:14" x14ac:dyDescent="0.35">
      <c r="A23" t="s">
        <v>172</v>
      </c>
      <c r="B23" s="129">
        <f>VLOOKUP(B22,'Powell-Elevation-Area'!$A$5:$B$689,2)/1000000</f>
        <v>5.9265762500000001</v>
      </c>
      <c r="C23" s="129">
        <f>VLOOKUP(C22,'Mead-Elevation-Area'!$A$5:$B$689,2)/1000000</f>
        <v>5.664593</v>
      </c>
      <c r="D23" s="11"/>
      <c r="E23" s="43"/>
    </row>
    <row r="25" spans="1:14" s="1" customFormat="1" x14ac:dyDescent="0.3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35">
      <c r="A26" s="1" t="s">
        <v>44</v>
      </c>
      <c r="B26" s="1"/>
      <c r="C26" s="130">
        <v>12.4</v>
      </c>
      <c r="D26" s="130">
        <v>12.4</v>
      </c>
      <c r="E26" s="130">
        <v>12.4</v>
      </c>
      <c r="F26" s="130">
        <v>12.4</v>
      </c>
      <c r="G26" s="130">
        <v>12.4</v>
      </c>
      <c r="H26" s="130">
        <v>12.4</v>
      </c>
      <c r="I26" s="130">
        <v>14.4</v>
      </c>
      <c r="J26" s="130">
        <v>14.4</v>
      </c>
      <c r="K26" s="130">
        <v>14.4</v>
      </c>
      <c r="L26" s="130">
        <v>14.4</v>
      </c>
    </row>
    <row r="27" spans="1:14" x14ac:dyDescent="0.3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35">
      <c r="A28" s="1" t="s">
        <v>278</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35">
      <c r="A29" s="1" t="s">
        <v>122</v>
      </c>
      <c r="B29" s="108">
        <f>SUM(B30:B35)-SUM(B21:C21)</f>
        <v>0</v>
      </c>
      <c r="C29" s="14">
        <f>IF(C$26&lt;&gt;"",SUM(B21:C21),"")</f>
        <v>21.1</v>
      </c>
      <c r="D29" s="14">
        <f ca="1">IF(D$26&lt;&gt;"",C127,"")</f>
        <v>19.771768986666689</v>
      </c>
      <c r="E29" s="14">
        <f t="shared" ref="E29:L29" ca="1" si="2">IF(E$26&lt;&gt;"",D127,"")</f>
        <v>18.485096677082968</v>
      </c>
      <c r="F29" s="14">
        <f t="shared" ca="1" si="2"/>
        <v>17.64557248875921</v>
      </c>
      <c r="G29" s="14">
        <f t="shared" ca="1" si="2"/>
        <v>16.818007223232012</v>
      </c>
      <c r="H29" s="14">
        <f t="shared" ca="1" si="2"/>
        <v>16.031446810749074</v>
      </c>
      <c r="I29" s="14">
        <f t="shared" ca="1" si="2"/>
        <v>15.364196731471313</v>
      </c>
      <c r="J29" s="14">
        <f t="shared" ca="1" si="2"/>
        <v>17.150261778614144</v>
      </c>
      <c r="K29" s="14">
        <f t="shared" ca="1" si="2"/>
        <v>18.854555983711691</v>
      </c>
      <c r="L29" s="14">
        <f t="shared" ca="1" si="2"/>
        <v>20.503427785401154</v>
      </c>
    </row>
    <row r="30" spans="1:14" x14ac:dyDescent="0.3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4.3056329509183469</v>
      </c>
      <c r="G30" s="14">
        <f t="shared" ca="1" si="4"/>
        <v>4.0774992917764452</v>
      </c>
      <c r="H30" s="14">
        <f t="shared" ca="1" si="4"/>
        <v>3.8570559854908533</v>
      </c>
      <c r="I30" s="14">
        <f t="shared" ca="1" si="4"/>
        <v>3.6442700686244685</v>
      </c>
      <c r="J30" s="14">
        <f t="shared" ca="1" si="4"/>
        <v>5.4516808887639714</v>
      </c>
      <c r="K30" s="14">
        <f t="shared" ca="1" si="4"/>
        <v>7.1608058802111989</v>
      </c>
      <c r="L30" s="14">
        <f t="shared" ca="1" si="4"/>
        <v>8.7940838188319255</v>
      </c>
      <c r="N30" t="s">
        <v>174</v>
      </c>
    </row>
    <row r="31" spans="1:14" x14ac:dyDescent="0.35">
      <c r="A31" t="str">
        <f t="shared" si="3"/>
        <v xml:space="preserve">    Lower Basin Balance</v>
      </c>
      <c r="B31" s="109">
        <f>C21-C23-B32</f>
        <v>4.2614069999999993</v>
      </c>
      <c r="C31" s="106">
        <f t="shared" ref="C31:C35" si="5">IF(OR(C$26="",$A31=""),"",B31)</f>
        <v>4.2614069999999993</v>
      </c>
      <c r="D31" s="14">
        <f t="shared" ref="D31:L35" ca="1" si="6">IF(OR(D$26="",$A31=""),"",C122)</f>
        <v>3.1954259677352326</v>
      </c>
      <c r="E31" s="14">
        <f t="shared" ca="1" si="6"/>
        <v>2.1790217521941422</v>
      </c>
      <c r="F31" s="14">
        <f t="shared" ca="1" si="6"/>
        <v>1.5839021107246065</v>
      </c>
      <c r="G31" s="14">
        <f t="shared" ca="1" si="6"/>
        <v>1.0074050543230886</v>
      </c>
      <c r="H31" s="14">
        <f t="shared" ca="1" si="6"/>
        <v>0.44799122939848157</v>
      </c>
      <c r="I31" s="14">
        <f t="shared" ca="1" si="6"/>
        <v>0</v>
      </c>
      <c r="J31" s="14">
        <f t="shared" ca="1" si="6"/>
        <v>0</v>
      </c>
      <c r="K31" s="14">
        <f t="shared" ca="1" si="6"/>
        <v>0</v>
      </c>
      <c r="L31" s="14">
        <f t="shared" ca="1" si="6"/>
        <v>0</v>
      </c>
      <c r="N31" t="s">
        <v>171</v>
      </c>
    </row>
    <row r="32" spans="1:14" x14ac:dyDescent="0.3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0.13331262156070189</v>
      </c>
      <c r="G32" s="50">
        <f t="shared" ca="1" si="6"/>
        <v>0.12637807157692516</v>
      </c>
      <c r="H32" s="14">
        <f t="shared" ca="1" si="6"/>
        <v>0.1196747903041846</v>
      </c>
      <c r="I32" s="14">
        <f t="shared" ca="1" si="6"/>
        <v>9.7201857291289606E-2</v>
      </c>
      <c r="J32" s="14">
        <f t="shared" ca="1" si="6"/>
        <v>9.1856084294618778E-2</v>
      </c>
      <c r="K32" s="14">
        <f t="shared" ca="1" si="6"/>
        <v>8.7025297944937297E-2</v>
      </c>
      <c r="L32" s="14">
        <f t="shared" ca="1" si="6"/>
        <v>6.6619161013673489E-2</v>
      </c>
      <c r="N32" t="s">
        <v>170</v>
      </c>
    </row>
    <row r="33" spans="1:14" x14ac:dyDescent="0.35">
      <c r="A33" t="str">
        <f t="shared" si="3"/>
        <v xml:space="preserve">    Shared, Reserve Balance</v>
      </c>
      <c r="B33" s="109">
        <f>SUM(B23:C23)</f>
        <v>11.59116925</v>
      </c>
      <c r="C33" s="106">
        <f>IF(OR(C$26="",$A33=""),"",B33)</f>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xml:space="preserve">    Colorado River Delta Balance</v>
      </c>
      <c r="B34" s="128">
        <v>0</v>
      </c>
      <c r="C34" s="106">
        <f>IF(OR(C$26="",$A34=""),"",$B34)</f>
        <v>0</v>
      </c>
      <c r="D34" s="106">
        <f t="shared" ref="D34:L34" si="7">IF(OR(D$26="",$A34=""),"",$B34)</f>
        <v>0</v>
      </c>
      <c r="E34" s="106">
        <f t="shared" si="7"/>
        <v>0</v>
      </c>
      <c r="F34" s="106">
        <f t="shared" si="7"/>
        <v>0</v>
      </c>
      <c r="G34" s="106">
        <f t="shared" si="7"/>
        <v>0</v>
      </c>
      <c r="H34" s="106">
        <f t="shared" si="7"/>
        <v>0</v>
      </c>
      <c r="I34" s="106">
        <f t="shared" si="7"/>
        <v>0</v>
      </c>
      <c r="J34" s="106">
        <f t="shared" si="7"/>
        <v>0</v>
      </c>
      <c r="K34" s="106">
        <f t="shared" si="7"/>
        <v>0</v>
      </c>
      <c r="L34" s="106">
        <f t="shared" si="7"/>
        <v>0</v>
      </c>
      <c r="N34" t="s">
        <v>173</v>
      </c>
    </row>
    <row r="35" spans="1:14" x14ac:dyDescent="0.3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193</v>
      </c>
      <c r="C36"/>
    </row>
    <row r="37" spans="1:14" x14ac:dyDescent="0.35">
      <c r="A37" t="s">
        <v>111</v>
      </c>
      <c r="C37" s="14">
        <f>IF(C$26&lt;&gt;"",B21,"")</f>
        <v>11</v>
      </c>
      <c r="D37" s="14">
        <f ca="1">IF(D$26&lt;&gt;"",C129,"")</f>
        <v>9.8858844933333447</v>
      </c>
      <c r="E37" s="14">
        <f t="shared" ref="E37:L38" ca="1" si="8">IF(E$26&lt;&gt;"",D129,"")</f>
        <v>9.2425483385414839</v>
      </c>
      <c r="F37" s="14">
        <f t="shared" ca="1" si="8"/>
        <v>8.8227862443796052</v>
      </c>
      <c r="G37" s="14">
        <f t="shared" ca="1" si="8"/>
        <v>8.4090036116160061</v>
      </c>
      <c r="H37" s="14">
        <f t="shared" ca="1" si="8"/>
        <v>8.015723405374537</v>
      </c>
      <c r="I37" s="14">
        <f t="shared" ca="1" si="8"/>
        <v>7.6820983657356567</v>
      </c>
      <c r="J37" s="14">
        <f t="shared" ca="1" si="8"/>
        <v>8.5751308893070721</v>
      </c>
      <c r="K37" s="14">
        <f t="shared" ca="1" si="8"/>
        <v>9.4272779918558456</v>
      </c>
      <c r="L37" s="14">
        <f t="shared" ca="1" si="8"/>
        <v>10.251713892700577</v>
      </c>
    </row>
    <row r="38" spans="1:14" x14ac:dyDescent="0.35">
      <c r="A38" t="s">
        <v>112</v>
      </c>
      <c r="C38" s="14">
        <f>IF(C$26&lt;&gt;"",C21,"")</f>
        <v>10.1</v>
      </c>
      <c r="D38" s="14">
        <f ca="1">IF(D$26&lt;&gt;"",C130,"")</f>
        <v>9.8858844933333447</v>
      </c>
      <c r="E38" s="14">
        <f t="shared" ca="1" si="8"/>
        <v>9.2425483385414839</v>
      </c>
      <c r="F38" s="14">
        <f t="shared" ca="1" si="8"/>
        <v>8.8227862443796052</v>
      </c>
      <c r="G38" s="14">
        <f t="shared" ca="1" si="8"/>
        <v>8.4090036116160061</v>
      </c>
      <c r="H38" s="14">
        <f t="shared" ca="1" si="8"/>
        <v>8.015723405374537</v>
      </c>
      <c r="I38" s="14">
        <f t="shared" ca="1" si="8"/>
        <v>7.6820983657356567</v>
      </c>
      <c r="J38" s="14">
        <f t="shared" ca="1" si="8"/>
        <v>8.5751308893070721</v>
      </c>
      <c r="K38" s="14">
        <f t="shared" ca="1" si="8"/>
        <v>9.4272779918558456</v>
      </c>
      <c r="L38" s="14">
        <f t="shared" ca="1" si="8"/>
        <v>10.251713892700577</v>
      </c>
    </row>
    <row r="39" spans="1:14" x14ac:dyDescent="0.3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0.90194624699942705</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9">IF(A5="","","    "&amp;A5&amp;" Share")</f>
        <v xml:space="preserve">    Upper Basin Share</v>
      </c>
      <c r="B40" s="1"/>
      <c r="C40" s="14">
        <f t="shared" ref="C40:L45" si="10">IF(OR(C$26="",$A40=""),"",C$39*C30/C$29)</f>
        <v>0.24571184643515467</v>
      </c>
      <c r="D40" s="14">
        <f t="shared" ca="1" si="10"/>
        <v>0.23838539737502934</v>
      </c>
      <c r="E40" s="14">
        <f t="shared" ca="1" si="10"/>
        <v>0.23219355527146801</v>
      </c>
      <c r="F40" s="14">
        <f t="shared" ca="1" si="10"/>
        <v>0.22396699247523441</v>
      </c>
      <c r="G40" s="14">
        <f t="shared" ca="1" si="10"/>
        <v>0.21627663961892804</v>
      </c>
      <c r="H40" s="14">
        <f t="shared" ca="1" si="10"/>
        <v>0.20861925019972055</v>
      </c>
      <c r="I40" s="14">
        <f t="shared" ca="1" si="10"/>
        <v>0.20042251319383075</v>
      </c>
      <c r="J40" s="14">
        <f t="shared" ca="1" si="10"/>
        <v>0.28670834188610861</v>
      </c>
      <c r="K40" s="14">
        <f t="shared" ca="1" si="10"/>
        <v>0.36255539471260589</v>
      </c>
      <c r="L40" s="14">
        <f t="shared" ca="1" si="10"/>
        <v>0.42997151857234828</v>
      </c>
    </row>
    <row r="41" spans="1:14" x14ac:dyDescent="0.35">
      <c r="A41" t="str">
        <f t="shared" si="9"/>
        <v xml:space="preserve">    Lower Basin Share</v>
      </c>
      <c r="B41" s="1"/>
      <c r="C41" s="14">
        <f t="shared" si="10"/>
        <v>0.20638492544244763</v>
      </c>
      <c r="D41" s="14">
        <f t="shared" ca="1" si="10"/>
        <v>0.15856280520640656</v>
      </c>
      <c r="E41" s="14">
        <f t="shared" ca="1" si="10"/>
        <v>0.11139488510891446</v>
      </c>
      <c r="F41" s="14">
        <f t="shared" ca="1" si="10"/>
        <v>8.2390161018835353E-2</v>
      </c>
      <c r="G41" s="14">
        <f t="shared" ca="1" si="10"/>
        <v>5.3434265537100366E-2</v>
      </c>
      <c r="H41" s="14">
        <f t="shared" ca="1" si="10"/>
        <v>2.4230810940969127E-2</v>
      </c>
      <c r="I41" s="14">
        <f t="shared" ca="1" si="10"/>
        <v>0</v>
      </c>
      <c r="J41" s="14">
        <f t="shared" ca="1" si="10"/>
        <v>0</v>
      </c>
      <c r="K41" s="14">
        <f t="shared" ca="1" si="10"/>
        <v>0</v>
      </c>
      <c r="L41" s="14">
        <f t="shared" ca="1" si="10"/>
        <v>0</v>
      </c>
    </row>
    <row r="42" spans="1:14" x14ac:dyDescent="0.35">
      <c r="A42" t="str">
        <f t="shared" si="9"/>
        <v xml:space="preserve">    Mexico Share</v>
      </c>
      <c r="B42" s="1"/>
      <c r="C42" s="14">
        <f t="shared" si="10"/>
        <v>8.4270235222746598E-3</v>
      </c>
      <c r="D42" s="14">
        <f t="shared" ca="1" si="10"/>
        <v>8.2160300009359536E-3</v>
      </c>
      <c r="E42" s="14">
        <f t="shared" ca="1" si="10"/>
        <v>8.0443249160872966E-3</v>
      </c>
      <c r="F42" s="14">
        <f t="shared" ca="1" si="10"/>
        <v>6.934549983776757E-3</v>
      </c>
      <c r="G42" s="14">
        <f t="shared" ca="1" si="10"/>
        <v>6.7032812727405092E-3</v>
      </c>
      <c r="H42" s="14">
        <f t="shared" ca="1" si="10"/>
        <v>6.4729330128949414E-3</v>
      </c>
      <c r="I42" s="14">
        <f t="shared" ca="1" si="10"/>
        <v>5.3457729966708053E-3</v>
      </c>
      <c r="J42" s="14">
        <f t="shared" ca="1" si="10"/>
        <v>4.8307863496815494E-3</v>
      </c>
      <c r="K42" s="14">
        <f t="shared" ca="1" si="10"/>
        <v>4.4061369312637065E-3</v>
      </c>
      <c r="L42" s="14">
        <f t="shared" ca="1" si="10"/>
        <v>3.2572286570347539E-3</v>
      </c>
    </row>
    <row r="43" spans="1:14" x14ac:dyDescent="0.35">
      <c r="A43" t="str">
        <f t="shared" si="9"/>
        <v xml:space="preserve">    Shared, Reserve Share</v>
      </c>
      <c r="B43" s="1"/>
      <c r="C43" s="14">
        <f t="shared" si="10"/>
        <v>0.56137388460009618</v>
      </c>
      <c r="D43" s="14">
        <f t="shared" ca="1" si="10"/>
        <v>0.57517474366801769</v>
      </c>
      <c r="E43" s="14">
        <f t="shared" ca="1" si="10"/>
        <v>0.59255808969395352</v>
      </c>
      <c r="F43" s="14">
        <f t="shared" ca="1" si="10"/>
        <v>0.60294022871601494</v>
      </c>
      <c r="G43" s="14">
        <f t="shared" ca="1" si="10"/>
        <v>0.6148128927208395</v>
      </c>
      <c r="H43" s="14">
        <f t="shared" ca="1" si="10"/>
        <v>0.62693957437211578</v>
      </c>
      <c r="I43" s="14">
        <f t="shared" ca="1" si="10"/>
        <v>0.63747505760925061</v>
      </c>
      <c r="J43" s="14">
        <f t="shared" ca="1" si="10"/>
        <v>0.6095890394168354</v>
      </c>
      <c r="K43" s="14">
        <f t="shared" ca="1" si="10"/>
        <v>0.58686703883815161</v>
      </c>
      <c r="L43" s="14">
        <f t="shared" ca="1" si="10"/>
        <v>0.56673017304872475</v>
      </c>
    </row>
    <row r="44" spans="1:14" x14ac:dyDescent="0.35">
      <c r="A44" t="str">
        <f t="shared" si="9"/>
        <v xml:space="preserve">    Colorado River Delta Share</v>
      </c>
      <c r="B44" s="1"/>
      <c r="C44" s="14">
        <f t="shared" si="10"/>
        <v>0</v>
      </c>
      <c r="D44" s="14">
        <f t="shared" ca="1" si="10"/>
        <v>0</v>
      </c>
      <c r="E44" s="14">
        <f t="shared" ca="1" si="10"/>
        <v>0</v>
      </c>
      <c r="F44" s="14">
        <f t="shared" ca="1" si="10"/>
        <v>0</v>
      </c>
      <c r="G44" s="14">
        <f t="shared" ca="1" si="10"/>
        <v>0</v>
      </c>
      <c r="H44" s="14">
        <f t="shared" ca="1" si="10"/>
        <v>0</v>
      </c>
      <c r="I44" s="14">
        <f t="shared" ca="1" si="10"/>
        <v>0</v>
      </c>
      <c r="J44" s="14">
        <f t="shared" ca="1" si="10"/>
        <v>0</v>
      </c>
      <c r="K44" s="14">
        <f t="shared" ca="1" si="10"/>
        <v>0</v>
      </c>
      <c r="L44" s="14">
        <f t="shared" ca="1" si="10"/>
        <v>0</v>
      </c>
    </row>
    <row r="45" spans="1:14" x14ac:dyDescent="0.35">
      <c r="A45" t="str">
        <f t="shared" si="9"/>
        <v/>
      </c>
      <c r="B45" s="1"/>
      <c r="C45" s="14" t="str">
        <f t="shared" si="10"/>
        <v/>
      </c>
      <c r="D45" s="14" t="str">
        <f t="shared" si="10"/>
        <v/>
      </c>
      <c r="E45" s="14" t="str">
        <f t="shared" si="10"/>
        <v/>
      </c>
      <c r="F45" s="14" t="str">
        <f t="shared" si="10"/>
        <v/>
      </c>
      <c r="G45" s="14" t="str">
        <f t="shared" si="10"/>
        <v/>
      </c>
      <c r="H45" s="14" t="str">
        <f t="shared" si="10"/>
        <v/>
      </c>
      <c r="I45" s="14" t="str">
        <f t="shared" si="10"/>
        <v/>
      </c>
      <c r="J45" s="14" t="str">
        <f t="shared" si="10"/>
        <v/>
      </c>
      <c r="K45" s="14" t="str">
        <f t="shared" si="10"/>
        <v/>
      </c>
      <c r="L45" s="14" t="str">
        <f t="shared" si="10"/>
        <v/>
      </c>
    </row>
    <row r="46" spans="1:14" x14ac:dyDescent="0.3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1.4473333333333334</v>
      </c>
    </row>
    <row r="47" spans="1:14" x14ac:dyDescent="0.35">
      <c r="A47" s="1" t="s">
        <v>279</v>
      </c>
      <c r="B47" s="1"/>
      <c r="C47" s="49">
        <f>IF(C26="","",SUM(C26:C27)-C28)</f>
        <v>12.600000000000001</v>
      </c>
      <c r="D47" s="49">
        <f t="shared" ref="D47:L47" si="11">IF(D26="","",SUM(D26:D27)-D28)</f>
        <v>12.600000000000001</v>
      </c>
      <c r="E47" s="14">
        <f t="shared" si="11"/>
        <v>12.600000000000001</v>
      </c>
      <c r="F47" s="49">
        <f t="shared" si="11"/>
        <v>12.600000000000001</v>
      </c>
      <c r="G47" s="49">
        <f t="shared" si="11"/>
        <v>12.600000000000001</v>
      </c>
      <c r="H47" s="49">
        <f t="shared" si="11"/>
        <v>12.600000000000001</v>
      </c>
      <c r="I47" s="49">
        <f t="shared" si="11"/>
        <v>14.600000000000001</v>
      </c>
      <c r="J47" s="49">
        <f t="shared" si="11"/>
        <v>14.600000000000001</v>
      </c>
      <c r="K47" s="49">
        <f t="shared" si="11"/>
        <v>14.600000000000001</v>
      </c>
      <c r="L47" s="49">
        <f t="shared" si="11"/>
        <v>14.600000000000001</v>
      </c>
      <c r="M47" s="43"/>
      <c r="N47" s="43"/>
    </row>
    <row r="48" spans="1:14" x14ac:dyDescent="0.35">
      <c r="A48" t="str">
        <f t="shared" ref="A48:A53" si="12">IF(A5="","","    To "&amp;A5)</f>
        <v xml:space="preserve">    To Upper Basin</v>
      </c>
      <c r="B48" s="127" t="s">
        <v>144</v>
      </c>
      <c r="C48" s="106">
        <f>IF(OR(C$26="",$A48=""),"",IF(C$26&gt;SUM(MIN($B49,C26-C50/2)+C50/2),C$26-SUM(MIN($B49,C26-C50/2)+C50/2),0))</f>
        <v>4.1763333333333339</v>
      </c>
      <c r="D48" s="106">
        <f t="shared" ref="D48:L48" ca="1" si="13">IF(OR(D$26="",$A48=""),"",IF(D$26&gt;SUM(MIN($B49,D26-D50/2)+D50/2),D$26-SUM(MIN($B49,D26-D50/2)+D50/2),0))</f>
        <v>4.1763333333333339</v>
      </c>
      <c r="E48" s="106">
        <f t="shared" ca="1" si="13"/>
        <v>4.1958333333333346</v>
      </c>
      <c r="F48" s="106">
        <f t="shared" ca="1" si="13"/>
        <v>4.1958333333333346</v>
      </c>
      <c r="G48" s="106">
        <f t="shared" ca="1" si="13"/>
        <v>4.1958333333333346</v>
      </c>
      <c r="H48" s="106">
        <f t="shared" ca="1" si="13"/>
        <v>4.1958333333333346</v>
      </c>
      <c r="I48" s="106">
        <f t="shared" ca="1" si="13"/>
        <v>6.2078333333333333</v>
      </c>
      <c r="J48" s="106">
        <f t="shared" ca="1" si="13"/>
        <v>6.1958333333333346</v>
      </c>
      <c r="K48" s="106">
        <f t="shared" ca="1" si="13"/>
        <v>6.1958333333333346</v>
      </c>
      <c r="L48" s="106">
        <f t="shared" ca="1" si="13"/>
        <v>6.1763333333333339</v>
      </c>
      <c r="M48" s="27"/>
      <c r="N48" s="27"/>
    </row>
    <row r="49" spans="1:14" x14ac:dyDescent="0.35">
      <c r="A49" t="str">
        <f t="shared" si="12"/>
        <v xml:space="preserve">    To Lower Basin</v>
      </c>
      <c r="B49" s="128">
        <f>7.5</f>
        <v>7.5</v>
      </c>
      <c r="C49" s="106">
        <f>IF(OR(C$26="",$A49=""),"",C27-C28-C51-C50/2-C52+MIN($B49,C26-C50/2))</f>
        <v>6.3994038931776815</v>
      </c>
      <c r="D49" s="106">
        <f t="shared" ref="D49:L49" ca="1" si="14">IF(OR(D$26="",$A49=""),"",D27-D28-D51-D50/2+MIN($B49,D26-D50/2))</f>
        <v>6.4011585896653163</v>
      </c>
      <c r="E49" s="106">
        <f t="shared" ca="1" si="14"/>
        <v>6.4032752436393796</v>
      </c>
      <c r="F49" s="106">
        <f t="shared" ca="1" si="14"/>
        <v>6.3928931046173183</v>
      </c>
      <c r="G49" s="106">
        <f t="shared" ca="1" si="14"/>
        <v>6.3810204406124935</v>
      </c>
      <c r="H49" s="106">
        <f t="shared" ca="1" si="14"/>
        <v>6.3688937589612173</v>
      </c>
      <c r="I49" s="106">
        <f t="shared" ca="1" si="14"/>
        <v>6.3703582757240831</v>
      </c>
      <c r="J49" s="106">
        <f t="shared" ca="1" si="14"/>
        <v>6.3862442939164978</v>
      </c>
      <c r="K49" s="106">
        <f t="shared" ca="1" si="14"/>
        <v>6.4089662944951815</v>
      </c>
      <c r="L49" s="106">
        <f t="shared" ca="1" si="14"/>
        <v>6.4096031602846084</v>
      </c>
      <c r="M49" s="27"/>
      <c r="N49" s="27"/>
    </row>
    <row r="50" spans="1:14" x14ac:dyDescent="0.35">
      <c r="A50" t="str">
        <f t="shared" si="12"/>
        <v xml:space="preserve">    To Mexico</v>
      </c>
      <c r="B50" s="128" t="s">
        <v>182</v>
      </c>
      <c r="C50" s="106">
        <f>IF(OR(C$26="",$A50=""),"",IF(C$47&gt;SUM(C51:C52,C46),C46,C$47-SUM(C51:C52)))</f>
        <v>1.4473333333333334</v>
      </c>
      <c r="D50" s="106">
        <f t="shared" ref="D50:L50" ca="1" si="15">IF(OR(D$26="",$A50=""),"",IF(D$47&gt;SUM(D51:D52,D46),D46,D$47-SUM(D51:D52)))</f>
        <v>1.4473333333333334</v>
      </c>
      <c r="E50" s="106">
        <f t="shared" ca="1" si="15"/>
        <v>1.4083333333333332</v>
      </c>
      <c r="F50" s="106">
        <f t="shared" ca="1" si="15"/>
        <v>1.4083333333333332</v>
      </c>
      <c r="G50" s="106">
        <f t="shared" ca="1" si="15"/>
        <v>1.4083333333333332</v>
      </c>
      <c r="H50" s="106">
        <f t="shared" ca="1" si="15"/>
        <v>1.4083333333333332</v>
      </c>
      <c r="I50" s="106">
        <f t="shared" ca="1" si="15"/>
        <v>1.3843333333333332</v>
      </c>
      <c r="J50" s="106">
        <f t="shared" ca="1" si="15"/>
        <v>1.4083333333333332</v>
      </c>
      <c r="K50" s="106">
        <f t="shared" ca="1" si="15"/>
        <v>1.4083333333333332</v>
      </c>
      <c r="L50" s="106">
        <f t="shared" ca="1" si="15"/>
        <v>1.4473333333333334</v>
      </c>
      <c r="M50" s="27"/>
      <c r="N50" s="27"/>
    </row>
    <row r="51" spans="1:14" x14ac:dyDescent="0.35">
      <c r="A51" t="str">
        <f t="shared" si="12"/>
        <v xml:space="preserve">    To Shared, Reserve</v>
      </c>
      <c r="B51" s="128" t="s">
        <v>181</v>
      </c>
      <c r="C51" s="106">
        <f>IF(OR(C$26="",$A51=""),"",IF(C$47&gt;C43+C52,C43,C47-C52))</f>
        <v>0.56137388460009618</v>
      </c>
      <c r="D51" s="106">
        <f t="shared" ref="D51:K51" ca="1" si="16">IF(OR(D$26="",$A51=""),"",IF(D$47&gt;D43+D52,D43,D47-D52))</f>
        <v>0.57517474366801769</v>
      </c>
      <c r="E51" s="106">
        <f t="shared" ca="1" si="16"/>
        <v>0.59255808969395352</v>
      </c>
      <c r="F51" s="106">
        <f t="shared" ca="1" si="16"/>
        <v>0.60294022871601494</v>
      </c>
      <c r="G51" s="106">
        <f t="shared" ca="1" si="16"/>
        <v>0.6148128927208395</v>
      </c>
      <c r="H51" s="106">
        <f t="shared" ca="1" si="16"/>
        <v>0.62693957437211578</v>
      </c>
      <c r="I51" s="106">
        <f t="shared" ca="1" si="16"/>
        <v>0.63747505760925061</v>
      </c>
      <c r="J51" s="106">
        <f t="shared" ca="1" si="16"/>
        <v>0.6095890394168354</v>
      </c>
      <c r="K51" s="106">
        <f t="shared" ca="1" si="16"/>
        <v>0.58686703883815161</v>
      </c>
      <c r="L51" s="106">
        <f ca="1">IF(OR(L$26="",$A51=""),"",IF(L$47&gt;L43+L52,L43,L47-L52))</f>
        <v>0.56673017304872475</v>
      </c>
      <c r="M51" s="27"/>
      <c r="N51" s="27"/>
    </row>
    <row r="52" spans="1:14" x14ac:dyDescent="0.35">
      <c r="A52" t="str">
        <f t="shared" si="12"/>
        <v xml:space="preserve">    To Colorado River Delta</v>
      </c>
      <c r="B52" s="137">
        <f>0.21/9*(2/3)</f>
        <v>1.5555555555555553E-2</v>
      </c>
      <c r="C52" s="138">
        <f>IF(OR(C$26="",$A52=""),"",IF(C$47&gt;$B52,$B52,C47-$B52))</f>
        <v>1.5555555555555553E-2</v>
      </c>
      <c r="D52" s="138">
        <f t="shared" ref="D52:L52" si="17">IF(OR(D$26="",$A52=""),"",IF(D$47&gt;$B52,$B52,D47-$B52))</f>
        <v>1.5555555555555553E-2</v>
      </c>
      <c r="E52" s="138">
        <f t="shared" si="17"/>
        <v>1.5555555555555553E-2</v>
      </c>
      <c r="F52" s="138">
        <f t="shared" si="17"/>
        <v>1.5555555555555553E-2</v>
      </c>
      <c r="G52" s="138">
        <f t="shared" si="17"/>
        <v>1.5555555555555553E-2</v>
      </c>
      <c r="H52" s="138">
        <f t="shared" si="17"/>
        <v>1.5555555555555553E-2</v>
      </c>
      <c r="I52" s="138">
        <f t="shared" si="17"/>
        <v>1.5555555555555553E-2</v>
      </c>
      <c r="J52" s="138">
        <f t="shared" si="17"/>
        <v>1.5555555555555553E-2</v>
      </c>
      <c r="K52" s="138">
        <f t="shared" si="17"/>
        <v>1.5555555555555553E-2</v>
      </c>
      <c r="L52" s="138">
        <f t="shared" si="17"/>
        <v>1.5555555555555553E-2</v>
      </c>
      <c r="M52" s="27"/>
      <c r="N52" s="27"/>
    </row>
    <row r="53" spans="1:14" x14ac:dyDescent="0.35">
      <c r="A53" t="str">
        <f t="shared" si="12"/>
        <v/>
      </c>
      <c r="B53" s="128"/>
      <c r="C53" s="107"/>
      <c r="D53" s="107"/>
      <c r="E53" s="107"/>
      <c r="F53" s="107"/>
      <c r="G53" s="107"/>
      <c r="H53" s="107"/>
      <c r="I53" s="107"/>
      <c r="J53" s="107"/>
      <c r="K53" s="107"/>
      <c r="L53" s="107"/>
      <c r="M53" s="27"/>
      <c r="N53" s="27"/>
    </row>
    <row r="54" spans="1:14" x14ac:dyDescent="0.35">
      <c r="C54" s="139"/>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3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18">IF(OR(C$26="",$A59=""),"",C$112)</f>
        <v>0</v>
      </c>
      <c r="D59" s="65">
        <f t="shared" ca="1" si="18"/>
        <v>0</v>
      </c>
      <c r="E59" s="65">
        <f t="shared" ca="1" si="18"/>
        <v>0</v>
      </c>
      <c r="F59" s="65">
        <f t="shared" ca="1" si="18"/>
        <v>0</v>
      </c>
      <c r="G59" s="65">
        <f t="shared" ca="1" si="18"/>
        <v>0</v>
      </c>
      <c r="H59" s="65">
        <f t="shared" ca="1" si="18"/>
        <v>0</v>
      </c>
      <c r="I59" s="65">
        <f t="shared" ca="1" si="18"/>
        <v>0</v>
      </c>
      <c r="J59" s="65">
        <f t="shared" ca="1" si="18"/>
        <v>0</v>
      </c>
      <c r="K59" s="65">
        <f t="shared" ca="1" si="18"/>
        <v>0</v>
      </c>
      <c r="L59" s="65">
        <f t="shared" ca="1" si="18"/>
        <v>0</v>
      </c>
      <c r="M59" t="str">
        <f t="shared" si="18"/>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9">IF(OR(D$26="",$A60=""),"",D30+D48-D40-D57)</f>
        <v>8.7419931728564819</v>
      </c>
      <c r="E60" s="14">
        <f t="shared" ca="1" si="19"/>
        <v>8.505632950918347</v>
      </c>
      <c r="F60" s="14">
        <f t="shared" ca="1" si="19"/>
        <v>8.2774992917764454</v>
      </c>
      <c r="G60" s="14">
        <f t="shared" ca="1" si="19"/>
        <v>8.0570559854908534</v>
      </c>
      <c r="H60" s="14">
        <f t="shared" ca="1" si="19"/>
        <v>7.8442700686244686</v>
      </c>
      <c r="I60" s="14">
        <f t="shared" ca="1" si="19"/>
        <v>9.6516808887639716</v>
      </c>
      <c r="J60" s="14">
        <f t="shared" ca="1" si="19"/>
        <v>11.360805880211199</v>
      </c>
      <c r="K60" s="14">
        <f t="shared" ca="1" si="19"/>
        <v>12.994083818831927</v>
      </c>
      <c r="L60" s="14">
        <f t="shared" ca="1" si="19"/>
        <v>14.540445633592912</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f>IF(C60&gt;4.2,4.2,MAX(C60,0))</f>
        <v>4.2</v>
      </c>
      <c r="D61" s="125">
        <f t="shared" ref="D61:L61" ca="1" si="20">IF(D60&gt;4.2,4.2,MAX(D60,0))</f>
        <v>4.2</v>
      </c>
      <c r="E61" s="125">
        <f t="shared" ca="1" si="20"/>
        <v>4.2</v>
      </c>
      <c r="F61" s="125">
        <f t="shared" ca="1" si="20"/>
        <v>4.2</v>
      </c>
      <c r="G61" s="125">
        <f t="shared" ca="1" si="20"/>
        <v>4.2</v>
      </c>
      <c r="H61" s="125">
        <f t="shared" ca="1" si="20"/>
        <v>4.2</v>
      </c>
      <c r="I61" s="125">
        <f t="shared" ca="1" si="20"/>
        <v>4.2</v>
      </c>
      <c r="J61" s="125">
        <f t="shared" ca="1" si="20"/>
        <v>4.2</v>
      </c>
      <c r="K61" s="125">
        <f t="shared" ca="1" si="20"/>
        <v>4.2</v>
      </c>
      <c r="L61" s="125">
        <f t="shared" ca="1" si="20"/>
        <v>4.2</v>
      </c>
      <c r="N61" t="str">
        <f>IF(A61="","","Must be less than Available water")</f>
        <v>Must be less than Available water</v>
      </c>
    </row>
    <row r="62" spans="1:14" x14ac:dyDescent="0.35">
      <c r="A62" s="30" t="str">
        <f>IF(A61="","","   End of Year Balance [maf]")</f>
        <v xml:space="preserve">   End of Year Balance [maf]</v>
      </c>
      <c r="C62" s="64">
        <f>IF(OR(C$26="",$A62=""),"",C60-C61)</f>
        <v>4.8040452368981788</v>
      </c>
      <c r="D62" s="64">
        <f t="shared" ref="D62:L62" ca="1" si="21">IF(OR(D$26="",$A62=""),"",D60-D61)</f>
        <v>4.5419931728564817</v>
      </c>
      <c r="E62" s="64">
        <f t="shared" ca="1" si="21"/>
        <v>4.3056329509183469</v>
      </c>
      <c r="F62" s="64">
        <f t="shared" ca="1" si="21"/>
        <v>4.0774992917764452</v>
      </c>
      <c r="G62" s="64">
        <f t="shared" ca="1" si="21"/>
        <v>3.8570559854908533</v>
      </c>
      <c r="H62" s="64">
        <f t="shared" ca="1" si="21"/>
        <v>3.6442700686244685</v>
      </c>
      <c r="I62" s="64">
        <f t="shared" ca="1" si="21"/>
        <v>5.4516808887639714</v>
      </c>
      <c r="J62" s="64">
        <f t="shared" ca="1" si="21"/>
        <v>7.1608058802111989</v>
      </c>
      <c r="K62" s="64">
        <f t="shared" ca="1" si="21"/>
        <v>8.7940838188319255</v>
      </c>
      <c r="L62" s="64">
        <f t="shared" ca="1" si="21"/>
        <v>10.34044563359291</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   Volume of Sales(+) and Purchases(-) [maf]")</f>
        <v xml:space="preserve">   Volume of Sales(+) and Purchases(-) [maf]</v>
      </c>
      <c r="C65" s="123"/>
      <c r="D65" s="123"/>
      <c r="E65" s="123"/>
      <c r="F65" s="123"/>
      <c r="G65" s="123"/>
      <c r="H65" s="123"/>
      <c r="I65" s="123"/>
      <c r="J65" s="123"/>
      <c r="K65" s="123">
        <v>0.02</v>
      </c>
      <c r="L65" s="123"/>
      <c r="M65" s="65">
        <f>SUM(C65:L65)</f>
        <v>0.02</v>
      </c>
      <c r="N65" t="str">
        <f>IF(A65="","",N57)</f>
        <v>Add if multiple transactions, e.g.: 0.5 + 0.25</v>
      </c>
    </row>
    <row r="66" spans="1:14" x14ac:dyDescent="0.35">
      <c r="A66" s="30" t="str">
        <f>IF(A65="","","   Cash Intake(+) and Payments(-) [$ Mill]")</f>
        <v xml:space="preserve">   Cash Intake(+) and Payments(-) [$ Mill]</v>
      </c>
      <c r="C66" s="124"/>
      <c r="D66" s="124"/>
      <c r="E66" s="124"/>
      <c r="F66" s="124"/>
      <c r="G66" s="124"/>
      <c r="H66" s="124"/>
      <c r="I66" s="123"/>
      <c r="J66" s="123"/>
      <c r="K66" s="140">
        <v>7</v>
      </c>
      <c r="L66" s="123"/>
      <c r="M66" s="63">
        <f>SUM(C66:L66)</f>
        <v>7</v>
      </c>
      <c r="N66" t="str">
        <f t="shared" ref="N66:N70" si="22">IF(A66="","",N58)</f>
        <v>Add if multiple transactions, e.g.: $350*0.5 + $450*0.25</v>
      </c>
    </row>
    <row r="67" spans="1:14" x14ac:dyDescent="0.35">
      <c r="A67" s="30" t="str">
        <f>IF(A66="","","   Volume all players (should be zero)")</f>
        <v xml:space="preserve">   Volume all players (should be zero)</v>
      </c>
      <c r="C67" s="65">
        <f t="shared" ref="C67:M67" ca="1" si="23">IF(OR(C$26="",$A67=""),"",C$112)</f>
        <v>0</v>
      </c>
      <c r="D67" s="65">
        <f t="shared" ca="1" si="23"/>
        <v>0</v>
      </c>
      <c r="E67" s="65">
        <f t="shared" ca="1" si="23"/>
        <v>0</v>
      </c>
      <c r="F67" s="65">
        <f t="shared" ca="1" si="23"/>
        <v>0</v>
      </c>
      <c r="G67" s="65">
        <f t="shared" ca="1" si="23"/>
        <v>0</v>
      </c>
      <c r="H67" s="65">
        <f t="shared" ca="1" si="23"/>
        <v>0</v>
      </c>
      <c r="I67" s="65">
        <f t="shared" ca="1" si="23"/>
        <v>0</v>
      </c>
      <c r="J67" s="65">
        <f t="shared" ca="1" si="23"/>
        <v>0</v>
      </c>
      <c r="K67" s="65">
        <f t="shared" ca="1" si="23"/>
        <v>0</v>
      </c>
      <c r="L67" s="65">
        <f t="shared" ca="1" si="23"/>
        <v>0</v>
      </c>
      <c r="M67" t="str">
        <f t="shared" si="23"/>
        <v/>
      </c>
      <c r="N67" t="str">
        <f t="shared" si="22"/>
        <v>If non-zero, players need to change amount(s)</v>
      </c>
    </row>
    <row r="68" spans="1:14" x14ac:dyDescent="0.35">
      <c r="A68" s="1" t="str">
        <f>IF(A66="","","   Available Water [maf]")</f>
        <v xml:space="preserve">   Available Water [maf]</v>
      </c>
      <c r="C68" s="14">
        <f t="shared" ref="C68:L68" si="24">IF(OR(C$26="",$A68=""),"",C31+C49-C41-C65)</f>
        <v>10.454425967735233</v>
      </c>
      <c r="D68" s="14">
        <f t="shared" ca="1" si="24"/>
        <v>9.4380217521941425</v>
      </c>
      <c r="E68" s="14">
        <f t="shared" ca="1" si="24"/>
        <v>8.470902110724607</v>
      </c>
      <c r="F68" s="14">
        <f t="shared" ca="1" si="24"/>
        <v>7.894405054323089</v>
      </c>
      <c r="G68" s="14">
        <f t="shared" ca="1" si="24"/>
        <v>7.334991229398482</v>
      </c>
      <c r="H68" s="14">
        <f t="shared" ca="1" si="24"/>
        <v>6.7926541774187301</v>
      </c>
      <c r="I68" s="14">
        <f t="shared" ca="1" si="24"/>
        <v>6.3703582757240831</v>
      </c>
      <c r="J68" s="14">
        <f t="shared" ca="1" si="24"/>
        <v>6.3862442939164978</v>
      </c>
      <c r="K68" s="14">
        <f t="shared" ca="1" si="24"/>
        <v>6.3889662944951819</v>
      </c>
      <c r="L68" s="14">
        <f t="shared" ca="1" si="24"/>
        <v>6.4096031602846084</v>
      </c>
      <c r="N68" t="str">
        <f t="shared" si="22"/>
        <v>Available water = Account Balance + Available Inflow - Evaporation + Sales - Purchases</v>
      </c>
    </row>
    <row r="69" spans="1:14" x14ac:dyDescent="0.3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6.7926541774187301</v>
      </c>
      <c r="I69" s="125">
        <f ca="1">IF(I27&lt;&gt;"",MIN(7.5-VLOOKUP(I38,MandatoryConservation!$C$5:$P$13,14),I68),"")</f>
        <v>6.3703582757240831</v>
      </c>
      <c r="J69" s="125">
        <f ca="1">IF(J27&lt;&gt;"",MIN(7.5-VLOOKUP(J38,MandatoryConservation!$C$5:$P$13,14),J68),"")</f>
        <v>6.3862442939164978</v>
      </c>
      <c r="K69" s="125">
        <f ca="1">IF(K27&lt;&gt;"",MIN(7.5-VLOOKUP(K38,MandatoryConservation!$C$5:$P$13,14),K68),"")</f>
        <v>6.3889662944951819</v>
      </c>
      <c r="L69" s="125">
        <f ca="1">IF(L27&lt;&gt;"",MIN(7.5-VLOOKUP(L38,MandatoryConservation!$C$5:$P$13,14),L68),"")</f>
        <v>6.4096031602846084</v>
      </c>
      <c r="N69" t="str">
        <f t="shared" si="22"/>
        <v>Must be less than Available water</v>
      </c>
    </row>
    <row r="70" spans="1:14" x14ac:dyDescent="0.35">
      <c r="A70" s="30" t="str">
        <f>IF(A69="","","   End of Year Balance [maf]")</f>
        <v xml:space="preserve">   End of Year Balance [maf]</v>
      </c>
      <c r="C70" s="64">
        <f>IF(OR(C$26="",$A70=""),"",C68-C69)</f>
        <v>3.1954259677352326</v>
      </c>
      <c r="D70" s="64">
        <f t="shared" ref="D70:L70" ca="1" si="25">IF(OR(D$26="",$A70=""),"",D68-D69)</f>
        <v>2.1790217521941422</v>
      </c>
      <c r="E70" s="64">
        <f t="shared" ca="1" si="25"/>
        <v>1.5839021107246065</v>
      </c>
      <c r="F70" s="64">
        <f t="shared" ca="1" si="25"/>
        <v>1.0074050543230886</v>
      </c>
      <c r="G70" s="64">
        <f t="shared" ca="1" si="25"/>
        <v>0.44799122939848157</v>
      </c>
      <c r="H70" s="64">
        <f t="shared" ca="1" si="25"/>
        <v>0</v>
      </c>
      <c r="I70" s="64">
        <f t="shared" ca="1" si="25"/>
        <v>0</v>
      </c>
      <c r="J70" s="64">
        <f t="shared" ca="1" si="25"/>
        <v>0</v>
      </c>
      <c r="K70" s="64">
        <f t="shared" ca="1" si="25"/>
        <v>0</v>
      </c>
      <c r="L70" s="64">
        <f t="shared" ca="1" si="25"/>
        <v>0</v>
      </c>
      <c r="N70" t="str">
        <f t="shared" si="22"/>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   Volume of Sales(+) and Purchases(-) [maf]")</f>
        <v xml:space="preserve">   Volume of Sales(+) and Purchases(-) [maf]</v>
      </c>
      <c r="C73" s="123"/>
      <c r="D73" s="123"/>
      <c r="E73" s="123">
        <v>1.6E-2</v>
      </c>
      <c r="F73" s="123"/>
      <c r="G73" s="123"/>
      <c r="H73" s="123">
        <v>1.6E-2</v>
      </c>
      <c r="I73" s="123"/>
      <c r="J73" s="123"/>
      <c r="K73" s="123">
        <v>1.6E-2</v>
      </c>
      <c r="L73" s="123"/>
      <c r="M73" s="65">
        <f>SUM(C73:L73)</f>
        <v>4.8000000000000001E-2</v>
      </c>
      <c r="N73" t="str">
        <f>IF(A73="","",N65)</f>
        <v>Add if multiple transactions, e.g.: 0.5 + 0.25</v>
      </c>
    </row>
    <row r="74" spans="1:14" x14ac:dyDescent="0.35">
      <c r="A74" s="30" t="str">
        <f>IF(A73="","","   Cash Intake(+) and Payments(-) [$ Mill]")</f>
        <v xml:space="preserve">   Cash Intake(+) and Payments(-) [$ Mill]</v>
      </c>
      <c r="C74" s="124"/>
      <c r="D74" s="124"/>
      <c r="E74" s="124">
        <v>5.6000000000000005</v>
      </c>
      <c r="F74" s="124"/>
      <c r="G74" s="124"/>
      <c r="H74" s="124">
        <v>5.6000000000000005</v>
      </c>
      <c r="I74" s="124"/>
      <c r="J74" s="124"/>
      <c r="K74" s="124">
        <v>5.6000000000000005</v>
      </c>
      <c r="L74" s="124"/>
      <c r="M74" s="63">
        <f>SUM(C74:L74)</f>
        <v>16.8</v>
      </c>
      <c r="N74" t="str">
        <f t="shared" ref="N74:N78" si="26">IF(A74="","",N66)</f>
        <v>Add if multiple transactions, e.g.: $350*0.5 + $450*0.25</v>
      </c>
    </row>
    <row r="75" spans="1:14" x14ac:dyDescent="0.35">
      <c r="A75" s="30" t="str">
        <f>IF(A74="","","   Volume all players (should be zero)")</f>
        <v xml:space="preserve">   Volume all players (should be zero)</v>
      </c>
      <c r="C75" s="65">
        <f t="shared" ref="C75:M75" ca="1" si="27">IF(OR(C$26="",$A75=""),"",C$112)</f>
        <v>0</v>
      </c>
      <c r="D75" s="65">
        <f t="shared" ca="1" si="27"/>
        <v>0</v>
      </c>
      <c r="E75" s="65">
        <f t="shared" ca="1" si="27"/>
        <v>0</v>
      </c>
      <c r="F75" s="65">
        <f t="shared" ca="1" si="27"/>
        <v>0</v>
      </c>
      <c r="G75" s="65">
        <f t="shared" ca="1" si="27"/>
        <v>0</v>
      </c>
      <c r="H75" s="65">
        <f t="shared" ca="1" si="27"/>
        <v>0</v>
      </c>
      <c r="I75" s="65">
        <f t="shared" ca="1" si="27"/>
        <v>0</v>
      </c>
      <c r="J75" s="65">
        <f t="shared" ca="1" si="27"/>
        <v>0</v>
      </c>
      <c r="K75" s="65">
        <f t="shared" ca="1" si="27"/>
        <v>0</v>
      </c>
      <c r="L75" s="65">
        <f t="shared" ca="1" si="27"/>
        <v>0</v>
      </c>
      <c r="M75" t="str">
        <f t="shared" si="27"/>
        <v/>
      </c>
      <c r="N75" t="str">
        <f t="shared" si="26"/>
        <v>If non-zero, players need to change amount(s)</v>
      </c>
    </row>
    <row r="76" spans="1:14" x14ac:dyDescent="0.35">
      <c r="A76" s="1" t="str">
        <f>IF(A74="","","   Available Water [maf]")</f>
        <v xml:space="preserve">   Available Water [maf]</v>
      </c>
      <c r="C76" s="14">
        <f t="shared" ref="C76:L76" si="28">IF(OR(C$26="",$A76=""),"",C32+C50-C42-C73)</f>
        <v>1.6129063098110585</v>
      </c>
      <c r="D76" s="14">
        <f t="shared" ca="1" si="28"/>
        <v>1.6046902798101226</v>
      </c>
      <c r="E76" s="14">
        <f t="shared" ca="1" si="28"/>
        <v>1.5416459548940351</v>
      </c>
      <c r="F76" s="14">
        <f ca="1">IF(OR(F$26="",$A76=""),"",F32+F50-F42-F73)</f>
        <v>1.5347114049102584</v>
      </c>
      <c r="G76" s="14">
        <f t="shared" ca="1" si="28"/>
        <v>1.5280081236375178</v>
      </c>
      <c r="H76" s="14">
        <f t="shared" ca="1" si="28"/>
        <v>1.5055351906246228</v>
      </c>
      <c r="I76" s="14">
        <f t="shared" ca="1" si="28"/>
        <v>1.476189417627952</v>
      </c>
      <c r="J76" s="14">
        <f t="shared" ca="1" si="28"/>
        <v>1.4953586312782705</v>
      </c>
      <c r="K76" s="14">
        <f t="shared" ca="1" si="28"/>
        <v>1.4749524943470067</v>
      </c>
      <c r="L76" s="14">
        <f t="shared" ca="1" si="28"/>
        <v>1.5106952656899721</v>
      </c>
      <c r="N76" t="str">
        <f t="shared" si="26"/>
        <v>Available water = Account Balance + Available Inflow - Evaporation + Sales - Purchases</v>
      </c>
    </row>
    <row r="77" spans="1:14" x14ac:dyDescent="0.35">
      <c r="A77" s="1" t="str">
        <f>IF(A76="","","   Account Withdraw [maf]")</f>
        <v xml:space="preserve">   Account Withdraw [maf]</v>
      </c>
      <c r="C77" s="125">
        <f>MIN(C46,C76)</f>
        <v>1.4473333333333334</v>
      </c>
      <c r="D77" s="125">
        <f t="shared" ref="D77:L77" ca="1" si="29">MIN(D46,D76)</f>
        <v>1.4473333333333334</v>
      </c>
      <c r="E77" s="125">
        <f t="shared" ca="1" si="29"/>
        <v>1.4083333333333332</v>
      </c>
      <c r="F77" s="125">
        <f t="shared" ca="1" si="29"/>
        <v>1.4083333333333332</v>
      </c>
      <c r="G77" s="125">
        <f t="shared" ca="1" si="29"/>
        <v>1.4083333333333332</v>
      </c>
      <c r="H77" s="125">
        <f t="shared" ca="1" si="29"/>
        <v>1.4083333333333332</v>
      </c>
      <c r="I77" s="125">
        <f t="shared" ca="1" si="29"/>
        <v>1.3843333333333332</v>
      </c>
      <c r="J77" s="125">
        <f t="shared" ca="1" si="29"/>
        <v>1.4083333333333332</v>
      </c>
      <c r="K77" s="125">
        <f t="shared" ca="1" si="29"/>
        <v>1.4083333333333332</v>
      </c>
      <c r="L77" s="125">
        <f t="shared" ca="1" si="29"/>
        <v>1.4473333333333334</v>
      </c>
      <c r="N77" t="str">
        <f t="shared" si="26"/>
        <v>Must be less than Available water</v>
      </c>
    </row>
    <row r="78" spans="1:14" x14ac:dyDescent="0.35">
      <c r="A78" s="30" t="str">
        <f>IF(A77="","","   End of Year Balance [maf]")</f>
        <v xml:space="preserve">   End of Year Balance [maf]</v>
      </c>
      <c r="C78" s="64">
        <f>IF(OR(C$26="",$A78=""),"",C76-C77)</f>
        <v>0.16557297647772518</v>
      </c>
      <c r="D78" s="64">
        <f t="shared" ref="D78:L78" ca="1" si="30">IF(OR(D$26="",$A78=""),"",D76-D77)</f>
        <v>0.15735694647678922</v>
      </c>
      <c r="E78" s="64">
        <f t="shared" ca="1" si="30"/>
        <v>0.13331262156070189</v>
      </c>
      <c r="F78" s="64">
        <f t="shared" ca="1" si="30"/>
        <v>0.12637807157692516</v>
      </c>
      <c r="G78" s="64">
        <f t="shared" ca="1" si="30"/>
        <v>0.1196747903041846</v>
      </c>
      <c r="H78" s="64">
        <f t="shared" ca="1" si="30"/>
        <v>9.7201857291289606E-2</v>
      </c>
      <c r="I78" s="64">
        <f t="shared" ca="1" si="30"/>
        <v>9.1856084294618778E-2</v>
      </c>
      <c r="J78" s="64">
        <f t="shared" ca="1" si="30"/>
        <v>8.7025297944937297E-2</v>
      </c>
      <c r="K78" s="64">
        <f t="shared" ca="1" si="30"/>
        <v>6.6619161013673489E-2</v>
      </c>
      <c r="L78" s="64">
        <f t="shared" ca="1" si="30"/>
        <v>6.3361932356638784E-2</v>
      </c>
      <c r="N78" t="str">
        <f t="shared" si="26"/>
        <v>Available water - Account Withdraw</v>
      </c>
    </row>
    <row r="79" spans="1:14" x14ac:dyDescent="0.35">
      <c r="C79"/>
    </row>
    <row r="80" spans="1:14" x14ac:dyDescent="0.35">
      <c r="A80" s="132" t="str">
        <f>IF(A$8="","[Unused]",A8)</f>
        <v>Shared, Reserve</v>
      </c>
      <c r="B80" s="132"/>
      <c r="C80" s="132"/>
      <c r="D80" s="132"/>
      <c r="E80" s="132"/>
      <c r="F80" s="132"/>
      <c r="G80" s="132"/>
      <c r="H80" s="132"/>
      <c r="I80" s="132"/>
      <c r="J80" s="132"/>
      <c r="K80" s="132"/>
      <c r="L80" s="132"/>
      <c r="M80" s="133" t="s">
        <v>105</v>
      </c>
      <c r="N80" s="132" t="s">
        <v>169</v>
      </c>
    </row>
    <row r="81" spans="1:14" x14ac:dyDescent="0.3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1">IF(A82="","",N74)</f>
        <v>Add if multiple transactions, e.g.: $350*0.5 + $450*0.25</v>
      </c>
    </row>
    <row r="83" spans="1:14" x14ac:dyDescent="0.35">
      <c r="A83" s="30" t="str">
        <f>IF(A82="","","   Volume all players (should be zero)")</f>
        <v xml:space="preserve">   Volume all players (should be zero)</v>
      </c>
      <c r="C83" s="65">
        <f t="shared" ref="C83:M83" ca="1" si="32">IF(OR(C$26="",$A83=""),"",C$112)</f>
        <v>0</v>
      </c>
      <c r="D83" s="65">
        <f t="shared" ca="1" si="32"/>
        <v>0</v>
      </c>
      <c r="E83" s="65">
        <f t="shared" ca="1" si="32"/>
        <v>0</v>
      </c>
      <c r="F83" s="65">
        <f t="shared" ca="1" si="32"/>
        <v>0</v>
      </c>
      <c r="G83" s="65">
        <f t="shared" ca="1" si="32"/>
        <v>0</v>
      </c>
      <c r="H83" s="65">
        <f t="shared" ca="1" si="32"/>
        <v>0</v>
      </c>
      <c r="I83" s="65">
        <f t="shared" ca="1" si="32"/>
        <v>0</v>
      </c>
      <c r="J83" s="65">
        <f t="shared" ca="1" si="32"/>
        <v>0</v>
      </c>
      <c r="K83" s="65">
        <f t="shared" ca="1" si="32"/>
        <v>0</v>
      </c>
      <c r="L83" s="65">
        <f t="shared" ca="1" si="32"/>
        <v>0</v>
      </c>
      <c r="M83" t="str">
        <f t="shared" si="32"/>
        <v/>
      </c>
      <c r="N83" t="str">
        <f t="shared" si="31"/>
        <v>If non-zero, players need to change amount(s)</v>
      </c>
    </row>
    <row r="84" spans="1:14" x14ac:dyDescent="0.35">
      <c r="A84" s="1" t="str">
        <f>IF(A82="","","   Available Water [maf]")</f>
        <v xml:space="preserve">   Available Water [maf]</v>
      </c>
      <c r="C84" s="14">
        <f t="shared" ref="C84:L84" si="33">IF(OR(C$26="",$A84=""),"",C33+C51-C43-C81)</f>
        <v>11.59116925</v>
      </c>
      <c r="D84" s="14">
        <f t="shared" ca="1" si="33"/>
        <v>11.59116925</v>
      </c>
      <c r="E84" s="14">
        <f t="shared" ca="1" si="33"/>
        <v>11.59116925</v>
      </c>
      <c r="F84" s="14">
        <f t="shared" ca="1" si="33"/>
        <v>11.59116925</v>
      </c>
      <c r="G84" s="14">
        <f t="shared" ca="1" si="33"/>
        <v>11.59116925</v>
      </c>
      <c r="H84" s="14">
        <f t="shared" ca="1" si="33"/>
        <v>11.59116925</v>
      </c>
      <c r="I84" s="14">
        <f t="shared" ca="1" si="33"/>
        <v>11.59116925</v>
      </c>
      <c r="J84" s="14">
        <f t="shared" ca="1" si="33"/>
        <v>11.59116925</v>
      </c>
      <c r="K84" s="14">
        <f t="shared" ca="1" si="33"/>
        <v>11.59116925</v>
      </c>
      <c r="L84" s="14">
        <f t="shared" ca="1" si="33"/>
        <v>11.59116925</v>
      </c>
      <c r="N84" t="str">
        <f t="shared" si="31"/>
        <v>Available water = Account Balance + Available Inflow - Evaporation + Sales - Purchases</v>
      </c>
    </row>
    <row r="85" spans="1:14" x14ac:dyDescent="0.35">
      <c r="A85" s="1" t="str">
        <f>IF(A84="","","   Account Withdraw [maf]")</f>
        <v xml:space="preserve">   Account Withdraw [maf]</v>
      </c>
      <c r="C85" s="125"/>
      <c r="D85" s="125"/>
      <c r="E85" s="125"/>
      <c r="F85" s="125"/>
      <c r="G85" s="125"/>
      <c r="H85" s="125"/>
      <c r="I85" s="125"/>
      <c r="J85" s="125"/>
      <c r="K85" s="125"/>
      <c r="L85" s="125"/>
      <c r="N85" t="str">
        <f t="shared" si="31"/>
        <v>Must be less than Available water</v>
      </c>
    </row>
    <row r="86" spans="1:14" x14ac:dyDescent="0.35">
      <c r="A86" s="30" t="str">
        <f>IF(A85="","","   End of Year Balance [maf]")</f>
        <v xml:space="preserve">   End of Year Balance [maf]</v>
      </c>
      <c r="C86" s="64">
        <f>IF(OR(C$26="",$A86=""),"",C84-C85)</f>
        <v>11.59116925</v>
      </c>
      <c r="D86" s="64">
        <f t="shared" ref="D86:L86" ca="1" si="34">IF(OR(D$26="",$A86=""),"",D84-D85)</f>
        <v>11.59116925</v>
      </c>
      <c r="E86" s="64">
        <f t="shared" ca="1" si="34"/>
        <v>11.59116925</v>
      </c>
      <c r="F86" s="64">
        <f t="shared" ca="1" si="34"/>
        <v>11.59116925</v>
      </c>
      <c r="G86" s="64">
        <f t="shared" ca="1" si="34"/>
        <v>11.59116925</v>
      </c>
      <c r="H86" s="64">
        <f t="shared" ca="1" si="34"/>
        <v>11.59116925</v>
      </c>
      <c r="I86" s="64">
        <f t="shared" ca="1" si="34"/>
        <v>11.59116925</v>
      </c>
      <c r="J86" s="64">
        <f t="shared" ca="1" si="34"/>
        <v>11.59116925</v>
      </c>
      <c r="K86" s="64">
        <f t="shared" ca="1" si="34"/>
        <v>11.59116925</v>
      </c>
      <c r="L86" s="64">
        <f t="shared" ca="1" si="34"/>
        <v>11.59116925</v>
      </c>
      <c r="N86" t="str">
        <f t="shared" si="31"/>
        <v>Available water - Account Withdraw</v>
      </c>
    </row>
    <row r="87" spans="1:14" x14ac:dyDescent="0.35">
      <c r="C87"/>
    </row>
    <row r="88" spans="1:14" x14ac:dyDescent="0.35">
      <c r="A88" s="132" t="str">
        <f>IF(A$9="","[Unused]",A9)</f>
        <v>Colorado River Delta</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xml:space="preserve">   Volume of Sales(+) and Purchases(-) [maf]</v>
      </c>
      <c r="C89" s="123"/>
      <c r="D89" s="123"/>
      <c r="E89" s="123">
        <f>-E73</f>
        <v>-1.6E-2</v>
      </c>
      <c r="F89" s="123"/>
      <c r="G89" s="123"/>
      <c r="H89" s="123">
        <f>-H73</f>
        <v>-1.6E-2</v>
      </c>
      <c r="I89" s="123"/>
      <c r="J89" s="123"/>
      <c r="K89" s="123">
        <f>-SUM(K73,K65)</f>
        <v>-3.6000000000000004E-2</v>
      </c>
      <c r="L89" s="123"/>
      <c r="M89" s="65">
        <f>SUM(C89:L89)</f>
        <v>-6.8000000000000005E-2</v>
      </c>
      <c r="N89" t="str">
        <f>IF(A89="","",N81)</f>
        <v>Add if multiple transactions, e.g.: 0.5 + 0.25</v>
      </c>
    </row>
    <row r="90" spans="1:14" x14ac:dyDescent="0.35">
      <c r="A90" s="30" t="str">
        <f>IF(A89="","","   Cash Intake(+) and Payments(-) [$ Mill]")</f>
        <v xml:space="preserve">   Cash Intake(+) and Payments(-) [$ Mill]</v>
      </c>
      <c r="C90" s="124"/>
      <c r="D90" s="124"/>
      <c r="E90" s="124">
        <f>-E74</f>
        <v>-5.6000000000000005</v>
      </c>
      <c r="F90" s="124"/>
      <c r="G90" s="124"/>
      <c r="H90" s="124">
        <f>-H74</f>
        <v>-5.6000000000000005</v>
      </c>
      <c r="I90" s="124"/>
      <c r="J90" s="124"/>
      <c r="K90" s="123">
        <f>-SUM(K74,K66)</f>
        <v>-12.600000000000001</v>
      </c>
      <c r="L90" s="124"/>
      <c r="M90" s="63">
        <f>SUM(C90:L90)</f>
        <v>-23.800000000000004</v>
      </c>
      <c r="N90" t="str">
        <f t="shared" ref="N90:N94" si="35">IF(A90="","",N82)</f>
        <v>Add if multiple transactions, e.g.: $350*0.5 + $450*0.25</v>
      </c>
    </row>
    <row r="91" spans="1:14" x14ac:dyDescent="0.35">
      <c r="A91" s="30" t="str">
        <f>IF(A90="","","   Volume all players (should be zero)")</f>
        <v xml:space="preserve">   Volume all players (should be zero)</v>
      </c>
      <c r="C91" s="65">
        <f t="shared" ref="C91:M91" ca="1" si="36">IF(OR(C$26="",$A91=""),"",C$112)</f>
        <v>0</v>
      </c>
      <c r="D91" s="65">
        <f t="shared" ca="1" si="36"/>
        <v>0</v>
      </c>
      <c r="E91" s="65">
        <f t="shared" ca="1" si="36"/>
        <v>0</v>
      </c>
      <c r="F91" s="65">
        <f t="shared" ca="1" si="36"/>
        <v>0</v>
      </c>
      <c r="G91" s="65">
        <f t="shared" ca="1" si="36"/>
        <v>0</v>
      </c>
      <c r="H91" s="65">
        <f t="shared" ca="1" si="36"/>
        <v>0</v>
      </c>
      <c r="I91" s="65">
        <f t="shared" ca="1" si="36"/>
        <v>0</v>
      </c>
      <c r="J91" s="65">
        <f t="shared" ca="1" si="36"/>
        <v>0</v>
      </c>
      <c r="K91" s="65">
        <f t="shared" ca="1" si="36"/>
        <v>0</v>
      </c>
      <c r="L91" s="65">
        <f t="shared" ca="1" si="36"/>
        <v>0</v>
      </c>
      <c r="M91" t="str">
        <f t="shared" si="36"/>
        <v/>
      </c>
      <c r="N91" t="str">
        <f t="shared" si="35"/>
        <v>If non-zero, players need to change amount(s)</v>
      </c>
    </row>
    <row r="92" spans="1:14" x14ac:dyDescent="0.35">
      <c r="A92" s="1" t="str">
        <f>IF(A90="","","   Available Water [maf]")</f>
        <v xml:space="preserve">   Available Water [maf]</v>
      </c>
      <c r="C92" s="14">
        <f t="shared" ref="C92:L92" si="37">IF(OR(C$26="",$A92=""),"",C34+C52-C44-C89)</f>
        <v>1.5555555555555553E-2</v>
      </c>
      <c r="D92" s="14">
        <f t="shared" ca="1" si="37"/>
        <v>1.5555555555555553E-2</v>
      </c>
      <c r="E92" s="14">
        <f t="shared" ca="1" si="37"/>
        <v>3.1555555555555552E-2</v>
      </c>
      <c r="F92" s="14">
        <f t="shared" ca="1" si="37"/>
        <v>1.5555555555555553E-2</v>
      </c>
      <c r="G92" s="14">
        <f t="shared" ca="1" si="37"/>
        <v>1.5555555555555553E-2</v>
      </c>
      <c r="H92" s="14">
        <f t="shared" ca="1" si="37"/>
        <v>3.1555555555555552E-2</v>
      </c>
      <c r="I92" s="14">
        <f t="shared" ca="1" si="37"/>
        <v>1.5555555555555553E-2</v>
      </c>
      <c r="J92" s="14">
        <f t="shared" ca="1" si="37"/>
        <v>1.5555555555555553E-2</v>
      </c>
      <c r="K92" s="14">
        <f t="shared" ca="1" si="37"/>
        <v>5.1555555555555556E-2</v>
      </c>
      <c r="L92" s="14">
        <f t="shared" ca="1" si="37"/>
        <v>1.5555555555555553E-2</v>
      </c>
      <c r="N92" t="str">
        <f t="shared" si="35"/>
        <v>Available water = Account Balance + Available Inflow - Evaporation + Sales - Purchases</v>
      </c>
    </row>
    <row r="93" spans="1:14" x14ac:dyDescent="0.35">
      <c r="A93" s="1" t="str">
        <f>IF(A92="","","   Account Withdraw [maf]")</f>
        <v xml:space="preserve">   Account Withdraw [maf]</v>
      </c>
      <c r="C93" s="125"/>
      <c r="D93" s="125"/>
      <c r="E93" s="125"/>
      <c r="F93" s="125"/>
      <c r="G93" s="125"/>
      <c r="H93" s="125"/>
      <c r="I93" s="125"/>
      <c r="J93" s="125"/>
      <c r="K93" s="125"/>
      <c r="L93" s="125"/>
      <c r="N93" t="str">
        <f t="shared" si="35"/>
        <v>Must be less than Available water</v>
      </c>
    </row>
    <row r="94" spans="1:14" x14ac:dyDescent="0.35">
      <c r="A94" s="30" t="str">
        <f>IF(A93="","","   End of Year Balance [maf]")</f>
        <v xml:space="preserve">   End of Year Balance [maf]</v>
      </c>
      <c r="C94" s="64">
        <f>IF(OR(C$26="",$A94=""),"",C92-C93)</f>
        <v>1.5555555555555553E-2</v>
      </c>
      <c r="D94" s="64">
        <f t="shared" ref="D94:L94" ca="1" si="38">IF(OR(D$26="",$A94=""),"",D92-D93)</f>
        <v>1.5555555555555553E-2</v>
      </c>
      <c r="E94" s="64">
        <f t="shared" ca="1" si="38"/>
        <v>3.1555555555555552E-2</v>
      </c>
      <c r="F94" s="64">
        <f t="shared" ca="1" si="38"/>
        <v>1.5555555555555553E-2</v>
      </c>
      <c r="G94" s="64">
        <f t="shared" ca="1" si="38"/>
        <v>1.5555555555555553E-2</v>
      </c>
      <c r="H94" s="64">
        <f t="shared" ca="1" si="38"/>
        <v>3.1555555555555552E-2</v>
      </c>
      <c r="I94" s="64">
        <f t="shared" ca="1" si="38"/>
        <v>1.5555555555555553E-2</v>
      </c>
      <c r="J94" s="64">
        <f t="shared" ca="1" si="38"/>
        <v>1.5555555555555553E-2</v>
      </c>
      <c r="K94" s="64">
        <f t="shared" ca="1" si="38"/>
        <v>5.1555555555555556E-2</v>
      </c>
      <c r="L94" s="64">
        <f t="shared" ca="1" si="38"/>
        <v>1.5555555555555553E-2</v>
      </c>
      <c r="N94" t="str">
        <f t="shared" si="35"/>
        <v>Available water - Account Withdraw</v>
      </c>
    </row>
    <row r="95" spans="1:14" x14ac:dyDescent="0.35">
      <c r="C95"/>
    </row>
    <row r="96" spans="1:14" x14ac:dyDescent="0.35">
      <c r="A96" s="132" t="str">
        <f>IF(A$10="","[Unused]",A10)</f>
        <v>[Unused]</v>
      </c>
      <c r="B96" s="132"/>
      <c r="C96" s="132"/>
      <c r="D96" s="132"/>
      <c r="E96" s="132"/>
      <c r="F96" s="132"/>
      <c r="G96" s="132"/>
      <c r="H96" s="132"/>
      <c r="I96" s="132"/>
      <c r="J96" s="132"/>
      <c r="K96" s="132"/>
      <c r="L96" s="132"/>
      <c r="M96" s="133" t="s">
        <v>105</v>
      </c>
      <c r="N96" s="132" t="s">
        <v>169</v>
      </c>
    </row>
    <row r="97" spans="1:14" x14ac:dyDescent="0.3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35">
      <c r="A98" s="30" t="str">
        <f>IF(A97="","","   Cash Intake(+) and Payments(-) [$ Mill]")</f>
        <v/>
      </c>
      <c r="C98" s="124"/>
      <c r="D98" s="124"/>
      <c r="E98" s="124"/>
      <c r="F98" s="124"/>
      <c r="G98" s="124"/>
      <c r="H98" s="124"/>
      <c r="I98" s="124"/>
      <c r="J98" s="124"/>
      <c r="K98" s="124"/>
      <c r="L98" s="124"/>
      <c r="M98" s="63">
        <f>SUM(C98:L98)</f>
        <v>0</v>
      </c>
      <c r="N98" t="str">
        <f t="shared" ref="N98:N102" si="39">IF(A98="","",N90)</f>
        <v/>
      </c>
    </row>
    <row r="99" spans="1:14" x14ac:dyDescent="0.35">
      <c r="A99" s="30" t="str">
        <f>IF(A98="","","   Volume all players (should be zero)")</f>
        <v/>
      </c>
      <c r="C99" s="65" t="str">
        <f t="shared" ref="C99:M99" si="40">IF(OR(C$26="",$A99=""),"",C$112)</f>
        <v/>
      </c>
      <c r="D99" s="65" t="str">
        <f t="shared" si="40"/>
        <v/>
      </c>
      <c r="E99" s="65" t="str">
        <f t="shared" si="40"/>
        <v/>
      </c>
      <c r="F99" s="65" t="str">
        <f t="shared" si="40"/>
        <v/>
      </c>
      <c r="G99" s="65" t="str">
        <f t="shared" si="40"/>
        <v/>
      </c>
      <c r="H99" s="65" t="str">
        <f t="shared" si="40"/>
        <v/>
      </c>
      <c r="I99" s="65" t="str">
        <f t="shared" si="40"/>
        <v/>
      </c>
      <c r="J99" s="65" t="str">
        <f t="shared" si="40"/>
        <v/>
      </c>
      <c r="K99" s="65" t="str">
        <f t="shared" si="40"/>
        <v/>
      </c>
      <c r="L99" s="65" t="str">
        <f t="shared" si="40"/>
        <v/>
      </c>
      <c r="M99" t="str">
        <f t="shared" si="40"/>
        <v/>
      </c>
      <c r="N99" t="str">
        <f t="shared" si="39"/>
        <v/>
      </c>
    </row>
    <row r="100" spans="1:14" x14ac:dyDescent="0.35">
      <c r="A100" s="1" t="str">
        <f>IF(A98="","","   Available Water [maf]")</f>
        <v/>
      </c>
      <c r="C100" s="14" t="str">
        <f t="shared" ref="C100:L100" si="41">IF(OR(C$26="",$A100=""),"",C35+C53-C45-C97)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35">
      <c r="A101" s="1" t="str">
        <f>IF(A100="","","   Account Withdraw [maf]")</f>
        <v/>
      </c>
      <c r="C101" s="125"/>
      <c r="D101" s="125"/>
      <c r="E101" s="125"/>
      <c r="F101" s="125"/>
      <c r="G101" s="125"/>
      <c r="H101" s="125"/>
      <c r="I101" s="125"/>
      <c r="J101" s="125"/>
      <c r="K101" s="125"/>
      <c r="L101" s="125"/>
      <c r="N101" t="str">
        <f t="shared" si="39"/>
        <v/>
      </c>
    </row>
    <row r="102" spans="1:14" x14ac:dyDescent="0.35">
      <c r="A102" s="30" t="str">
        <f>IF(A101="","","   End of Year Balance [maf]")</f>
        <v/>
      </c>
      <c r="C102" s="64" t="str">
        <f>IF(OR(C$26="",$A102=""),"",C100-C101)</f>
        <v/>
      </c>
      <c r="D102" s="64" t="str">
        <f t="shared" ref="D102:L102" si="42">IF(OR(D$26="",$A102=""),"",D100-D101)</f>
        <v/>
      </c>
      <c r="E102" s="64" t="str">
        <f t="shared" si="42"/>
        <v/>
      </c>
      <c r="F102" s="64" t="str">
        <f t="shared" si="42"/>
        <v/>
      </c>
      <c r="G102" s="64" t="str">
        <f t="shared" si="42"/>
        <v/>
      </c>
      <c r="H102" s="64" t="str">
        <f t="shared" si="42"/>
        <v/>
      </c>
      <c r="I102" s="64" t="str">
        <f t="shared" si="42"/>
        <v/>
      </c>
      <c r="J102" s="64" t="str">
        <f t="shared" si="42"/>
        <v/>
      </c>
      <c r="K102" s="64" t="str">
        <f t="shared" si="42"/>
        <v/>
      </c>
      <c r="L102" s="64" t="str">
        <f t="shared" si="42"/>
        <v/>
      </c>
      <c r="N102" t="str">
        <f t="shared" si="39"/>
        <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146</v>
      </c>
      <c r="C105"/>
      <c r="M105" t="s">
        <v>179</v>
      </c>
      <c r="N105" t="s">
        <v>147</v>
      </c>
    </row>
    <row r="106" spans="1:14" x14ac:dyDescent="0.35">
      <c r="A106" t="str">
        <f t="shared" ref="A106:A111" si="43">IF(A5="","","    "&amp;A5)</f>
        <v xml:space="preserve">    Upper Basin</v>
      </c>
      <c r="B106" s="1"/>
      <c r="C106" s="65">
        <f t="shared" ref="C106:L111" ca="1" si="44">IF(OR(C$26="",$A106=""),"",OFFSET(C$57,8*(ROW(B106)-ROW(B$106)),0))</f>
        <v>0</v>
      </c>
      <c r="D106" s="65">
        <f t="shared" ca="1" si="44"/>
        <v>0</v>
      </c>
      <c r="E106" s="65">
        <f t="shared" ca="1" si="44"/>
        <v>0</v>
      </c>
      <c r="F106" s="65">
        <f t="shared" ca="1" si="44"/>
        <v>0</v>
      </c>
      <c r="G106" s="65">
        <f t="shared" ca="1" si="44"/>
        <v>0</v>
      </c>
      <c r="H106" s="65">
        <f t="shared" ca="1" si="44"/>
        <v>0</v>
      </c>
      <c r="I106" s="65">
        <f t="shared" ca="1" si="44"/>
        <v>0</v>
      </c>
      <c r="J106" s="65">
        <f t="shared" ca="1" si="44"/>
        <v>0</v>
      </c>
      <c r="K106" s="65">
        <f t="shared" ca="1" si="44"/>
        <v>0</v>
      </c>
      <c r="L106" s="65">
        <f t="shared" ca="1" si="44"/>
        <v>0</v>
      </c>
      <c r="M106" s="65">
        <f ca="1">IF(OR($A106=""),"",SUM(C106:L106))</f>
        <v>0</v>
      </c>
      <c r="N106" s="63">
        <f>IF(OR($A106=""),"",M58)</f>
        <v>0</v>
      </c>
    </row>
    <row r="107" spans="1:14" x14ac:dyDescent="0.35">
      <c r="A107" t="str">
        <f t="shared" si="43"/>
        <v xml:space="preserve">    Lower Basin</v>
      </c>
      <c r="B107" s="1"/>
      <c r="C107" s="65">
        <f t="shared" ca="1" si="44"/>
        <v>0</v>
      </c>
      <c r="D107" s="65">
        <f t="shared" ca="1" si="44"/>
        <v>0</v>
      </c>
      <c r="E107" s="65">
        <f t="shared" ca="1" si="44"/>
        <v>0</v>
      </c>
      <c r="F107" s="65">
        <f t="shared" ca="1" si="44"/>
        <v>0</v>
      </c>
      <c r="G107" s="65">
        <f t="shared" ca="1" si="44"/>
        <v>0</v>
      </c>
      <c r="H107" s="65">
        <f t="shared" ca="1" si="44"/>
        <v>0</v>
      </c>
      <c r="I107" s="65">
        <f t="shared" ca="1" si="44"/>
        <v>0</v>
      </c>
      <c r="J107" s="65">
        <f t="shared" ca="1" si="44"/>
        <v>0</v>
      </c>
      <c r="K107" s="65">
        <f t="shared" ca="1" si="44"/>
        <v>0.02</v>
      </c>
      <c r="L107" s="65">
        <f t="shared" ca="1" si="44"/>
        <v>0</v>
      </c>
      <c r="M107" s="65">
        <f t="shared" ref="M107:M111" ca="1" si="45">IF(OR($A107=""),"",SUM(C107:L107))</f>
        <v>0.02</v>
      </c>
      <c r="N107" s="63">
        <f>IF(OR($A107=""),"",M66)</f>
        <v>7</v>
      </c>
    </row>
    <row r="108" spans="1:14" x14ac:dyDescent="0.35">
      <c r="A108" t="str">
        <f t="shared" si="43"/>
        <v xml:space="preserve">    Mexico</v>
      </c>
      <c r="B108" s="1"/>
      <c r="C108" s="65">
        <f t="shared" ca="1" si="44"/>
        <v>0</v>
      </c>
      <c r="D108" s="65">
        <f t="shared" ca="1" si="44"/>
        <v>0</v>
      </c>
      <c r="E108" s="65">
        <f t="shared" ca="1" si="44"/>
        <v>1.6E-2</v>
      </c>
      <c r="F108" s="65">
        <f t="shared" ca="1" si="44"/>
        <v>0</v>
      </c>
      <c r="G108" s="65">
        <f t="shared" ca="1" si="44"/>
        <v>0</v>
      </c>
      <c r="H108" s="65">
        <f t="shared" ca="1" si="44"/>
        <v>1.6E-2</v>
      </c>
      <c r="I108" s="65">
        <f t="shared" ca="1" si="44"/>
        <v>0</v>
      </c>
      <c r="J108" s="65">
        <f t="shared" ca="1" si="44"/>
        <v>0</v>
      </c>
      <c r="K108" s="65">
        <f t="shared" ca="1" si="44"/>
        <v>1.6E-2</v>
      </c>
      <c r="L108" s="65">
        <f t="shared" ca="1" si="44"/>
        <v>0</v>
      </c>
      <c r="M108" s="65">
        <f t="shared" ca="1" si="45"/>
        <v>4.8000000000000001E-2</v>
      </c>
      <c r="N108" s="63">
        <f>IF(OR($A108=""),"",M74)</f>
        <v>16.8</v>
      </c>
    </row>
    <row r="109" spans="1:14" x14ac:dyDescent="0.35">
      <c r="A109" t="str">
        <f t="shared" si="43"/>
        <v xml:space="preserve">    Shared, Reserve</v>
      </c>
      <c r="B109" s="1"/>
      <c r="C109" s="65">
        <f t="shared" ca="1" si="44"/>
        <v>0</v>
      </c>
      <c r="D109" s="65">
        <f t="shared" ca="1" si="44"/>
        <v>0</v>
      </c>
      <c r="E109" s="65">
        <f t="shared" ca="1" si="44"/>
        <v>0</v>
      </c>
      <c r="F109" s="65">
        <f t="shared" ca="1" si="44"/>
        <v>0</v>
      </c>
      <c r="G109" s="65">
        <f t="shared" ca="1" si="44"/>
        <v>0</v>
      </c>
      <c r="H109" s="65">
        <f t="shared" ca="1" si="44"/>
        <v>0</v>
      </c>
      <c r="I109" s="65">
        <f t="shared" ca="1" si="44"/>
        <v>0</v>
      </c>
      <c r="J109" s="65">
        <f t="shared" ca="1" si="44"/>
        <v>0</v>
      </c>
      <c r="K109" s="65">
        <f t="shared" ca="1" si="44"/>
        <v>0</v>
      </c>
      <c r="L109" s="65">
        <f t="shared" ca="1" si="44"/>
        <v>0</v>
      </c>
      <c r="M109" s="65">
        <f t="shared" ca="1" si="45"/>
        <v>0</v>
      </c>
      <c r="N109" s="63">
        <f>IF(OR($A109=""),"",M82)</f>
        <v>0</v>
      </c>
    </row>
    <row r="110" spans="1:14" x14ac:dyDescent="0.35">
      <c r="A110" t="str">
        <f t="shared" si="43"/>
        <v xml:space="preserve">    Colorado River Delta</v>
      </c>
      <c r="B110" s="1"/>
      <c r="C110" s="65">
        <f t="shared" ca="1" si="44"/>
        <v>0</v>
      </c>
      <c r="D110" s="65">
        <f t="shared" ca="1" si="44"/>
        <v>0</v>
      </c>
      <c r="E110" s="65">
        <f t="shared" ca="1" si="44"/>
        <v>-1.6E-2</v>
      </c>
      <c r="F110" s="65">
        <f t="shared" ca="1" si="44"/>
        <v>0</v>
      </c>
      <c r="G110" s="65">
        <f t="shared" ca="1" si="44"/>
        <v>0</v>
      </c>
      <c r="H110" s="65">
        <f t="shared" ca="1" si="44"/>
        <v>-1.6E-2</v>
      </c>
      <c r="I110" s="65">
        <f t="shared" ca="1" si="44"/>
        <v>0</v>
      </c>
      <c r="J110" s="65">
        <f t="shared" ca="1" si="44"/>
        <v>0</v>
      </c>
      <c r="K110" s="65">
        <f t="shared" ca="1" si="44"/>
        <v>-3.6000000000000004E-2</v>
      </c>
      <c r="L110" s="65">
        <f t="shared" ca="1" si="44"/>
        <v>0</v>
      </c>
      <c r="M110" s="65">
        <f t="shared" ca="1" si="45"/>
        <v>-6.8000000000000005E-2</v>
      </c>
      <c r="N110" s="63">
        <f>IF(OR($A110=""),"",M90)</f>
        <v>-23.800000000000004</v>
      </c>
    </row>
    <row r="111" spans="1:14" x14ac:dyDescent="0.35">
      <c r="A111" t="str">
        <f t="shared" si="43"/>
        <v/>
      </c>
      <c r="B111" s="1"/>
      <c r="C111" s="65" t="str">
        <f t="shared" ca="1" si="44"/>
        <v/>
      </c>
      <c r="D111" s="65" t="str">
        <f t="shared" ca="1" si="44"/>
        <v/>
      </c>
      <c r="E111" s="65" t="str">
        <f t="shared" ca="1" si="44"/>
        <v/>
      </c>
      <c r="F111" s="65" t="str">
        <f t="shared" ca="1" si="44"/>
        <v/>
      </c>
      <c r="G111" s="65" t="str">
        <f t="shared" ca="1" si="44"/>
        <v/>
      </c>
      <c r="H111" s="65" t="str">
        <f t="shared" ca="1" si="44"/>
        <v/>
      </c>
      <c r="I111" s="65" t="str">
        <f t="shared" ca="1" si="44"/>
        <v/>
      </c>
      <c r="J111" s="65" t="str">
        <f t="shared" ca="1" si="44"/>
        <v/>
      </c>
      <c r="K111" s="65" t="str">
        <f t="shared" ca="1" si="44"/>
        <v/>
      </c>
      <c r="L111" s="65" t="str">
        <f t="shared" ca="1" si="44"/>
        <v/>
      </c>
      <c r="M111" s="65" t="str">
        <f t="shared" si="45"/>
        <v/>
      </c>
      <c r="N111" s="63" t="str">
        <f>IF(OR($A111=""),"",M98)</f>
        <v/>
      </c>
    </row>
    <row r="112" spans="1:14" x14ac:dyDescent="0.35">
      <c r="A112" t="s">
        <v>143</v>
      </c>
      <c r="B112" s="1"/>
      <c r="C112" s="49">
        <f ca="1">IF(C$26&lt;&gt;"",SUM(C106:C111),"")</f>
        <v>0</v>
      </c>
      <c r="D112" s="49">
        <f t="shared" ref="D112:L112" ca="1" si="46">IF(D$26&lt;&gt;"",SUM(D106:D111),"")</f>
        <v>0</v>
      </c>
      <c r="E112" s="113">
        <f t="shared" ca="1" si="46"/>
        <v>0</v>
      </c>
      <c r="F112" s="49">
        <f t="shared" ca="1" si="46"/>
        <v>0</v>
      </c>
      <c r="G112" s="49">
        <f t="shared" ca="1" si="46"/>
        <v>0</v>
      </c>
      <c r="H112" s="49">
        <f t="shared" ca="1" si="46"/>
        <v>0</v>
      </c>
      <c r="I112" s="49">
        <f t="shared" ca="1" si="46"/>
        <v>0</v>
      </c>
      <c r="J112" s="49">
        <f t="shared" ca="1" si="46"/>
        <v>0</v>
      </c>
      <c r="K112" s="49">
        <f t="shared" ca="1" si="46"/>
        <v>0</v>
      </c>
      <c r="L112" s="49">
        <f t="shared" ca="1" si="46"/>
        <v>0</v>
      </c>
      <c r="M112" s="32"/>
    </row>
    <row r="113" spans="1:12" x14ac:dyDescent="0.35">
      <c r="A113" s="1" t="s">
        <v>132</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9" ca="1" si="47">IF(OR(C$26="",$A114=""),"",OFFSET(C$61,8*(ROW(B114)-ROW(B$114)),0))</f>
        <v>4.2</v>
      </c>
      <c r="D114" s="65">
        <f t="shared" ca="1" si="47"/>
        <v>4.2</v>
      </c>
      <c r="E114" s="65">
        <f t="shared" ca="1" si="47"/>
        <v>4.2</v>
      </c>
      <c r="F114" s="65">
        <f t="shared" ca="1" si="47"/>
        <v>4.2</v>
      </c>
      <c r="G114" s="65">
        <f t="shared" ca="1" si="47"/>
        <v>4.2</v>
      </c>
      <c r="H114" s="65">
        <f t="shared" ca="1" si="47"/>
        <v>4.2</v>
      </c>
      <c r="I114" s="65">
        <f t="shared" ca="1" si="47"/>
        <v>4.2</v>
      </c>
      <c r="J114" s="65">
        <f t="shared" ca="1" si="47"/>
        <v>4.2</v>
      </c>
      <c r="K114" s="65">
        <f t="shared" ca="1" si="47"/>
        <v>4.2</v>
      </c>
      <c r="L114" s="65">
        <f t="shared" ca="1" si="47"/>
        <v>4.2</v>
      </c>
    </row>
    <row r="115" spans="1:12" x14ac:dyDescent="0.35">
      <c r="A115" t="str">
        <f>IF(A6="","","    "&amp;A6&amp;" - Release from Mead")</f>
        <v xml:space="preserve">    Lower Basin - Release from Mead</v>
      </c>
      <c r="C115" s="65">
        <f t="shared" ca="1" si="47"/>
        <v>7.2590000000000003</v>
      </c>
      <c r="D115" s="65">
        <f t="shared" ca="1" si="47"/>
        <v>7.2590000000000003</v>
      </c>
      <c r="E115" s="65">
        <f t="shared" ca="1" si="47"/>
        <v>6.8870000000000005</v>
      </c>
      <c r="F115" s="65">
        <f t="shared" ca="1" si="47"/>
        <v>6.8870000000000005</v>
      </c>
      <c r="G115" s="65">
        <f t="shared" ca="1" si="47"/>
        <v>6.8870000000000005</v>
      </c>
      <c r="H115" s="65">
        <f t="shared" ca="1" si="47"/>
        <v>6.7926541774187301</v>
      </c>
      <c r="I115" s="65">
        <f t="shared" ca="1" si="47"/>
        <v>6.3703582757240831</v>
      </c>
      <c r="J115" s="65">
        <f t="shared" ca="1" si="47"/>
        <v>6.3862442939164978</v>
      </c>
      <c r="K115" s="65">
        <f t="shared" ca="1" si="47"/>
        <v>6.3889662944951819</v>
      </c>
      <c r="L115" s="65">
        <f t="shared" ca="1" si="47"/>
        <v>6.4096031602846084</v>
      </c>
    </row>
    <row r="116" spans="1:12" x14ac:dyDescent="0.35">
      <c r="A116" t="str">
        <f>IF(A7="","","    "&amp;A7&amp;" - Release from Mead")</f>
        <v xml:space="preserve">    Mexico - Release from Mead</v>
      </c>
      <c r="C116" s="65">
        <f t="shared" ca="1" si="47"/>
        <v>1.4473333333333334</v>
      </c>
      <c r="D116" s="65">
        <f t="shared" ca="1" si="47"/>
        <v>1.4473333333333334</v>
      </c>
      <c r="E116" s="65">
        <f t="shared" ca="1" si="47"/>
        <v>1.4083333333333332</v>
      </c>
      <c r="F116" s="65">
        <f t="shared" ca="1" si="47"/>
        <v>1.4083333333333332</v>
      </c>
      <c r="G116" s="65">
        <f t="shared" ca="1" si="47"/>
        <v>1.4083333333333332</v>
      </c>
      <c r="H116" s="65">
        <f t="shared" ca="1" si="47"/>
        <v>1.4083333333333332</v>
      </c>
      <c r="I116" s="65">
        <f t="shared" ca="1" si="47"/>
        <v>1.3843333333333332</v>
      </c>
      <c r="J116" s="65">
        <f t="shared" ca="1" si="47"/>
        <v>1.4083333333333332</v>
      </c>
      <c r="K116" s="65">
        <f t="shared" ca="1" si="47"/>
        <v>1.4083333333333332</v>
      </c>
      <c r="L116" s="65">
        <f t="shared" ca="1" si="47"/>
        <v>1.4473333333333334</v>
      </c>
    </row>
    <row r="117" spans="1:12" x14ac:dyDescent="0.35">
      <c r="A117" t="str">
        <f>IF(A8="","","    "&amp;A8&amp;" - Release from Mead")</f>
        <v xml:space="preserve">    Shared, Reserve - Release from Mead</v>
      </c>
      <c r="C117" s="65">
        <f t="shared" ca="1" si="47"/>
        <v>0</v>
      </c>
      <c r="D117" s="65">
        <f t="shared" ca="1" si="47"/>
        <v>0</v>
      </c>
      <c r="E117" s="65">
        <f t="shared" ca="1" si="47"/>
        <v>0</v>
      </c>
      <c r="F117" s="65">
        <f t="shared" ca="1" si="47"/>
        <v>0</v>
      </c>
      <c r="G117" s="65">
        <f t="shared" ca="1" si="47"/>
        <v>0</v>
      </c>
      <c r="H117" s="65">
        <f t="shared" ca="1" si="47"/>
        <v>0</v>
      </c>
      <c r="I117" s="65">
        <f t="shared" ca="1" si="47"/>
        <v>0</v>
      </c>
      <c r="J117" s="65">
        <f t="shared" ca="1" si="47"/>
        <v>0</v>
      </c>
      <c r="K117" s="65">
        <f t="shared" ca="1" si="47"/>
        <v>0</v>
      </c>
      <c r="L117" s="65">
        <f t="shared" ca="1" si="47"/>
        <v>0</v>
      </c>
    </row>
    <row r="118" spans="1:12" x14ac:dyDescent="0.35">
      <c r="A118" t="str">
        <f>IF(A9="","","    "&amp;A9&amp;" - Release from Mead")</f>
        <v xml:space="preserve">    Colorado River Delta - Release from Mead</v>
      </c>
      <c r="C118" s="65">
        <f t="shared" ca="1" si="47"/>
        <v>0</v>
      </c>
      <c r="D118" s="65">
        <f t="shared" ca="1" si="47"/>
        <v>0</v>
      </c>
      <c r="E118" s="65">
        <f t="shared" ca="1" si="47"/>
        <v>0</v>
      </c>
      <c r="F118" s="65">
        <f t="shared" ca="1" si="47"/>
        <v>0</v>
      </c>
      <c r="G118" s="65">
        <f t="shared" ca="1" si="47"/>
        <v>0</v>
      </c>
      <c r="H118" s="65">
        <f t="shared" ca="1" si="47"/>
        <v>0</v>
      </c>
      <c r="I118" s="65">
        <f t="shared" ca="1" si="47"/>
        <v>0</v>
      </c>
      <c r="J118" s="65">
        <f t="shared" ca="1" si="47"/>
        <v>0</v>
      </c>
      <c r="K118" s="65">
        <f t="shared" ca="1" si="47"/>
        <v>0</v>
      </c>
      <c r="L118" s="65">
        <f t="shared" ca="1" si="47"/>
        <v>0</v>
      </c>
    </row>
    <row r="119" spans="1:12" x14ac:dyDescent="0.35">
      <c r="A119" t="str">
        <f>IF(A10="","","    "&amp;A10&amp;" - Release from Mead")</f>
        <v/>
      </c>
      <c r="C119" s="65" t="str">
        <f t="shared" ca="1" si="47"/>
        <v/>
      </c>
      <c r="D119" s="65" t="str">
        <f t="shared" ca="1" si="47"/>
        <v/>
      </c>
      <c r="E119" s="65" t="str">
        <f t="shared" ca="1" si="47"/>
        <v/>
      </c>
      <c r="F119" s="65" t="str">
        <f t="shared" ca="1" si="47"/>
        <v/>
      </c>
      <c r="G119" s="65" t="str">
        <f t="shared" ca="1" si="47"/>
        <v/>
      </c>
      <c r="H119" s="65" t="str">
        <f t="shared" ca="1" si="47"/>
        <v/>
      </c>
      <c r="I119" s="65" t="str">
        <f t="shared" ca="1" si="47"/>
        <v/>
      </c>
      <c r="J119" s="65" t="str">
        <f t="shared" ca="1" si="47"/>
        <v/>
      </c>
      <c r="K119" s="65" t="str">
        <f t="shared" ca="1" si="47"/>
        <v/>
      </c>
      <c r="L119" s="65" t="str">
        <f t="shared" ca="1" si="47"/>
        <v/>
      </c>
    </row>
    <row r="120" spans="1:12" x14ac:dyDescent="0.35">
      <c r="A120" s="1" t="s">
        <v>137</v>
      </c>
      <c r="B120" s="1"/>
      <c r="D120" s="2"/>
      <c r="E120" s="2"/>
      <c r="F120" s="2"/>
      <c r="G120" s="2"/>
      <c r="H120" s="2"/>
      <c r="I120" s="2"/>
      <c r="J120" s="2"/>
      <c r="K120" s="2"/>
      <c r="L120" s="2"/>
    </row>
    <row r="121" spans="1:12" x14ac:dyDescent="0.35">
      <c r="A121" t="str">
        <f t="shared" ref="A121:A126" si="48">IF(A5="","","    "&amp;A5)</f>
        <v xml:space="preserve">    Upper Basin</v>
      </c>
      <c r="C121" s="65">
        <f t="shared" ref="C121:L126" ca="1" si="49">IF(OR(C$26="",$A121=""),"",OFFSET(C$62,8*(ROW(B121)-ROW(B$121)),0))</f>
        <v>4.8040452368981788</v>
      </c>
      <c r="D121" s="65">
        <f t="shared" ca="1" si="49"/>
        <v>4.5419931728564817</v>
      </c>
      <c r="E121" s="65">
        <f t="shared" ca="1" si="49"/>
        <v>4.3056329509183469</v>
      </c>
      <c r="F121" s="65">
        <f t="shared" ca="1" si="49"/>
        <v>4.0774992917764452</v>
      </c>
      <c r="G121" s="65">
        <f t="shared" ca="1" si="49"/>
        <v>3.8570559854908533</v>
      </c>
      <c r="H121" s="65">
        <f t="shared" ca="1" si="49"/>
        <v>3.6442700686244685</v>
      </c>
      <c r="I121" s="65">
        <f t="shared" ca="1" si="49"/>
        <v>5.4516808887639714</v>
      </c>
      <c r="J121" s="65">
        <f t="shared" ca="1" si="49"/>
        <v>7.1608058802111989</v>
      </c>
      <c r="K121" s="65">
        <f t="shared" ca="1" si="49"/>
        <v>8.7940838188319255</v>
      </c>
      <c r="L121" s="65">
        <f t="shared" ca="1" si="49"/>
        <v>10.34044563359291</v>
      </c>
    </row>
    <row r="122" spans="1:12" x14ac:dyDescent="0.35">
      <c r="A122" t="str">
        <f t="shared" si="48"/>
        <v xml:space="preserve">    Lower Basin</v>
      </c>
      <c r="C122" s="65">
        <f t="shared" ca="1" si="49"/>
        <v>3.1954259677352326</v>
      </c>
      <c r="D122" s="65">
        <f t="shared" ca="1" si="49"/>
        <v>2.1790217521941422</v>
      </c>
      <c r="E122" s="65">
        <f t="shared" ca="1" si="49"/>
        <v>1.5839021107246065</v>
      </c>
      <c r="F122" s="65">
        <f t="shared" ca="1" si="49"/>
        <v>1.0074050543230886</v>
      </c>
      <c r="G122" s="65">
        <f t="shared" ca="1" si="49"/>
        <v>0.44799122939848157</v>
      </c>
      <c r="H122" s="65">
        <f t="shared" ca="1" si="49"/>
        <v>0</v>
      </c>
      <c r="I122" s="65">
        <f t="shared" ca="1" si="49"/>
        <v>0</v>
      </c>
      <c r="J122" s="65">
        <f t="shared" ca="1" si="49"/>
        <v>0</v>
      </c>
      <c r="K122" s="65">
        <f t="shared" ca="1" si="49"/>
        <v>0</v>
      </c>
      <c r="L122" s="65">
        <f t="shared" ca="1" si="49"/>
        <v>0</v>
      </c>
    </row>
    <row r="123" spans="1:12" x14ac:dyDescent="0.35">
      <c r="A123" t="str">
        <f t="shared" si="48"/>
        <v xml:space="preserve">    Mexico</v>
      </c>
      <c r="C123" s="65">
        <f t="shared" ca="1" si="49"/>
        <v>0.16557297647772518</v>
      </c>
      <c r="D123" s="65">
        <f t="shared" ca="1" si="49"/>
        <v>0.15735694647678922</v>
      </c>
      <c r="E123" s="65">
        <f t="shared" ca="1" si="49"/>
        <v>0.13331262156070189</v>
      </c>
      <c r="F123" s="65">
        <f t="shared" ca="1" si="49"/>
        <v>0.12637807157692516</v>
      </c>
      <c r="G123" s="65">
        <f t="shared" ca="1" si="49"/>
        <v>0.1196747903041846</v>
      </c>
      <c r="H123" s="65">
        <f t="shared" ca="1" si="49"/>
        <v>9.7201857291289606E-2</v>
      </c>
      <c r="I123" s="65">
        <f t="shared" ca="1" si="49"/>
        <v>9.1856084294618778E-2</v>
      </c>
      <c r="J123" s="65">
        <f t="shared" ca="1" si="49"/>
        <v>8.7025297944937297E-2</v>
      </c>
      <c r="K123" s="65">
        <f t="shared" ca="1" si="49"/>
        <v>6.6619161013673489E-2</v>
      </c>
      <c r="L123" s="65">
        <f t="shared" ca="1" si="49"/>
        <v>6.3361932356638784E-2</v>
      </c>
    </row>
    <row r="124" spans="1:12" x14ac:dyDescent="0.35">
      <c r="A124" t="str">
        <f t="shared" si="48"/>
        <v xml:space="preserve">    Shared, Reserve</v>
      </c>
      <c r="C124" s="65">
        <f t="shared" ca="1" si="49"/>
        <v>11.59116925</v>
      </c>
      <c r="D124" s="65">
        <f t="shared" ca="1" si="49"/>
        <v>11.59116925</v>
      </c>
      <c r="E124" s="65">
        <f t="shared" ca="1" si="49"/>
        <v>11.59116925</v>
      </c>
      <c r="F124" s="65">
        <f t="shared" ca="1" si="49"/>
        <v>11.59116925</v>
      </c>
      <c r="G124" s="65">
        <f t="shared" ca="1" si="49"/>
        <v>11.59116925</v>
      </c>
      <c r="H124" s="65">
        <f t="shared" ca="1" si="49"/>
        <v>11.59116925</v>
      </c>
      <c r="I124" s="65">
        <f t="shared" ca="1" si="49"/>
        <v>11.59116925</v>
      </c>
      <c r="J124" s="65">
        <f t="shared" ca="1" si="49"/>
        <v>11.59116925</v>
      </c>
      <c r="K124" s="65">
        <f t="shared" ca="1" si="49"/>
        <v>11.59116925</v>
      </c>
      <c r="L124" s="65">
        <f t="shared" ca="1" si="49"/>
        <v>11.59116925</v>
      </c>
    </row>
    <row r="125" spans="1:12" x14ac:dyDescent="0.35">
      <c r="A125" t="str">
        <f t="shared" si="48"/>
        <v xml:space="preserve">    Colorado River Delta</v>
      </c>
      <c r="C125" s="65">
        <f t="shared" ca="1" si="49"/>
        <v>1.5555555555555553E-2</v>
      </c>
      <c r="D125" s="65">
        <f t="shared" ca="1" si="49"/>
        <v>1.5555555555555553E-2</v>
      </c>
      <c r="E125" s="65">
        <f t="shared" ca="1" si="49"/>
        <v>3.1555555555555552E-2</v>
      </c>
      <c r="F125" s="65">
        <f t="shared" ca="1" si="49"/>
        <v>1.5555555555555553E-2</v>
      </c>
      <c r="G125" s="65">
        <f t="shared" ca="1" si="49"/>
        <v>1.5555555555555553E-2</v>
      </c>
      <c r="H125" s="65">
        <f t="shared" ca="1" si="49"/>
        <v>3.1555555555555552E-2</v>
      </c>
      <c r="I125" s="65">
        <f t="shared" ca="1" si="49"/>
        <v>1.5555555555555553E-2</v>
      </c>
      <c r="J125" s="65">
        <f t="shared" ca="1" si="49"/>
        <v>1.5555555555555553E-2</v>
      </c>
      <c r="K125" s="65">
        <f t="shared" ca="1" si="49"/>
        <v>5.1555555555555556E-2</v>
      </c>
      <c r="L125" s="65">
        <f t="shared" ca="1" si="49"/>
        <v>1.5555555555555553E-2</v>
      </c>
    </row>
    <row r="126" spans="1:12" x14ac:dyDescent="0.35">
      <c r="A126" t="str">
        <f t="shared" si="48"/>
        <v/>
      </c>
      <c r="C126" s="65" t="str">
        <f t="shared" ca="1" si="49"/>
        <v/>
      </c>
      <c r="D126" s="65" t="str">
        <f t="shared" ca="1" si="49"/>
        <v/>
      </c>
      <c r="E126" s="65" t="str">
        <f t="shared" ca="1" si="49"/>
        <v/>
      </c>
      <c r="F126" s="65" t="str">
        <f t="shared" ca="1" si="49"/>
        <v/>
      </c>
      <c r="G126" s="65" t="str">
        <f t="shared" ca="1" si="49"/>
        <v/>
      </c>
      <c r="H126" s="65" t="str">
        <f t="shared" ca="1" si="49"/>
        <v/>
      </c>
      <c r="I126" s="65" t="str">
        <f t="shared" ca="1" si="49"/>
        <v/>
      </c>
      <c r="J126" s="65" t="str">
        <f t="shared" ca="1" si="49"/>
        <v/>
      </c>
      <c r="K126" s="65" t="str">
        <f t="shared" ca="1" si="49"/>
        <v/>
      </c>
      <c r="L126" s="65" t="str">
        <f t="shared" ca="1" si="49"/>
        <v/>
      </c>
    </row>
    <row r="127" spans="1:12" x14ac:dyDescent="0.35">
      <c r="A127" s="1" t="s">
        <v>121</v>
      </c>
      <c r="B127" s="1"/>
      <c r="C127" s="14">
        <f ca="1">IF(C$26&lt;&gt;"",SUM(C121:C126),"")</f>
        <v>19.771768986666689</v>
      </c>
      <c r="D127" s="14">
        <f t="shared" ref="D127:L127" ca="1" si="50">IF(D$26&lt;&gt;"",SUM(D121:D126),"")</f>
        <v>18.485096677082968</v>
      </c>
      <c r="E127" s="14">
        <f t="shared" ca="1" si="50"/>
        <v>17.64557248875921</v>
      </c>
      <c r="F127" s="14">
        <f t="shared" ca="1" si="50"/>
        <v>16.818007223232012</v>
      </c>
      <c r="G127" s="14">
        <f t="shared" ca="1" si="50"/>
        <v>16.031446810749074</v>
      </c>
      <c r="H127" s="14">
        <f t="shared" ca="1" si="50"/>
        <v>15.364196731471313</v>
      </c>
      <c r="I127" s="14">
        <f t="shared" ca="1" si="50"/>
        <v>17.150261778614144</v>
      </c>
      <c r="J127" s="14">
        <f t="shared" ca="1" si="50"/>
        <v>18.854555983711691</v>
      </c>
      <c r="K127" s="14">
        <f t="shared" ca="1" si="50"/>
        <v>20.503427785401154</v>
      </c>
      <c r="L127" s="14">
        <f t="shared" ca="1" si="50"/>
        <v>22.010532371505104</v>
      </c>
    </row>
    <row r="128" spans="1:12" x14ac:dyDescent="0.35">
      <c r="A128" s="1" t="s">
        <v>194</v>
      </c>
      <c r="B128" s="1"/>
      <c r="C128" s="66">
        <v>0.5</v>
      </c>
      <c r="D128" s="66">
        <v>0.5</v>
      </c>
      <c r="E128" s="66">
        <v>0.5</v>
      </c>
      <c r="F128" s="66">
        <v>0.5</v>
      </c>
      <c r="G128" s="66">
        <v>0.5</v>
      </c>
      <c r="H128" s="66">
        <v>0.5</v>
      </c>
      <c r="I128" s="66">
        <v>0.5</v>
      </c>
      <c r="J128" s="66">
        <v>0.5</v>
      </c>
      <c r="K128" s="66">
        <v>0.5</v>
      </c>
      <c r="L128" s="66">
        <v>0.5</v>
      </c>
    </row>
    <row r="129" spans="1:14" x14ac:dyDescent="0.35">
      <c r="A129" s="1" t="s">
        <v>190</v>
      </c>
      <c r="B129" s="1"/>
      <c r="C129" s="14">
        <f ca="1">IF(C26="","",C$128*C$127)</f>
        <v>9.8858844933333447</v>
      </c>
      <c r="D129" s="14">
        <f t="shared" ref="D129:L129" ca="1" si="51">IF(D26="","",D$128*D$127)</f>
        <v>9.2425483385414839</v>
      </c>
      <c r="E129" s="14">
        <f t="shared" ca="1" si="51"/>
        <v>8.8227862443796052</v>
      </c>
      <c r="F129" s="14">
        <f t="shared" ca="1" si="51"/>
        <v>8.4090036116160061</v>
      </c>
      <c r="G129" s="14">
        <f t="shared" ca="1" si="51"/>
        <v>8.015723405374537</v>
      </c>
      <c r="H129" s="14">
        <f t="shared" ca="1" si="51"/>
        <v>7.6820983657356567</v>
      </c>
      <c r="I129" s="14">
        <f t="shared" ca="1" si="51"/>
        <v>8.5751308893070721</v>
      </c>
      <c r="J129" s="14">
        <f t="shared" ca="1" si="51"/>
        <v>9.4272779918558456</v>
      </c>
      <c r="K129" s="14">
        <f t="shared" ca="1" si="51"/>
        <v>10.251713892700577</v>
      </c>
      <c r="L129" s="14">
        <f t="shared" ca="1" si="51"/>
        <v>11.005266185752552</v>
      </c>
    </row>
    <row r="130" spans="1:14" x14ac:dyDescent="0.35">
      <c r="A130" s="1" t="s">
        <v>191</v>
      </c>
      <c r="B130" s="1"/>
      <c r="C130" s="14">
        <f ca="1">IF(C27="","",(1-C$128)*C$127)</f>
        <v>9.8858844933333447</v>
      </c>
      <c r="D130" s="14">
        <f t="shared" ref="D130:L130" ca="1" si="52">IF(D27="","",(1-D$128)*D$127)</f>
        <v>9.2425483385414839</v>
      </c>
      <c r="E130" s="14">
        <f t="shared" ca="1" si="52"/>
        <v>8.8227862443796052</v>
      </c>
      <c r="F130" s="14">
        <f t="shared" ca="1" si="52"/>
        <v>8.4090036116160061</v>
      </c>
      <c r="G130" s="14">
        <f t="shared" ca="1" si="52"/>
        <v>8.015723405374537</v>
      </c>
      <c r="H130" s="14">
        <f t="shared" ca="1" si="52"/>
        <v>7.6820983657356567</v>
      </c>
      <c r="I130" s="14">
        <f t="shared" ca="1" si="52"/>
        <v>8.5751308893070721</v>
      </c>
      <c r="J130" s="14">
        <f t="shared" ca="1" si="52"/>
        <v>9.4272779918558456</v>
      </c>
      <c r="K130" s="14">
        <f t="shared" ca="1" si="52"/>
        <v>10.251713892700577</v>
      </c>
      <c r="L130" s="14">
        <f t="shared" ca="1" si="52"/>
        <v>11.005266185752552</v>
      </c>
    </row>
    <row r="131" spans="1:14" x14ac:dyDescent="0.35">
      <c r="A131" s="30" t="s">
        <v>255</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3563</v>
      </c>
      <c r="J131" s="81">
        <f ca="1">IF(J$26&lt;&gt;"",VLOOKUP(J129*1000000,'Powell-Elevation-Area'!$B$5:$H$689,7),"")</f>
        <v>3573.5</v>
      </c>
      <c r="K131" s="81">
        <f ca="1">IF(K$26&lt;&gt;"",VLOOKUP(K129*1000000,'Powell-Elevation-Area'!$B$5:$H$689,7),"")</f>
        <v>3583.5</v>
      </c>
      <c r="L131" s="81">
        <f ca="1">IF(L$26&lt;&gt;"",VLOOKUP(L129*1000000,'Powell-Elevation-Area'!$B$5:$H$689,7),"")</f>
        <v>3592</v>
      </c>
    </row>
    <row r="132" spans="1:14" x14ac:dyDescent="0.35">
      <c r="A132" s="30" t="s">
        <v>256</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1061.5</v>
      </c>
      <c r="J132" s="81">
        <f ca="1">IF(J$26&lt;&gt;"",VLOOKUP(J130*1000000,'Mead-Elevation-Area'!$B$5:$H$689,7),"")</f>
        <v>1072.5</v>
      </c>
      <c r="K132" s="81">
        <f ca="1">IF(K$26&lt;&gt;"",VLOOKUP(K130*1000000,'Mead-Elevation-Area'!$B$5:$H$689,7),"")</f>
        <v>1082.5</v>
      </c>
      <c r="L132" s="81">
        <f ca="1">IF(L$26&lt;&gt;"",VLOOKUP(L130*1000000,'Mead-Elevation-Area'!$B$5:$H$689,7),"")</f>
        <v>1091.5</v>
      </c>
    </row>
    <row r="133" spans="1:14" x14ac:dyDescent="0.35">
      <c r="A133" s="1" t="s">
        <v>268</v>
      </c>
      <c r="B133" s="1"/>
    </row>
    <row r="134" spans="1:14" x14ac:dyDescent="0.35">
      <c r="A134" s="30" t="s">
        <v>269</v>
      </c>
      <c r="B134" s="1"/>
      <c r="C134" s="14">
        <f ca="1">IF(C$26&lt;&gt;"",-C129+C37+C26-C61-VLOOKUP(C37*1000000,'Powell-Elevation-Area'!$B$5:$D$689,3)*$B$20/1000000,"")</f>
        <v>8.7912186266660832</v>
      </c>
      <c r="D134" s="14">
        <f ca="1">IF(D$26&lt;&gt;"",-D129+D37+D26-D61-VLOOKUP(D37*1000000,'Powell-Elevation-Area'!$B$5:$D$689,3)*$B$20/1000000,"")</f>
        <v>8.3552392837924323</v>
      </c>
      <c r="E134" s="14">
        <f ca="1">IF(E$26&lt;&gt;"",-E129+E37+E26-E61-VLOOKUP(E37*1000000,'Powell-Elevation-Area'!$B$5:$D$689,3)*$B$20/1000000,"")</f>
        <v>8.1524780156618775</v>
      </c>
      <c r="F134" s="14">
        <f ca="1">IF(F$26&lt;&gt;"",-F129+F37+F26-F61-VLOOKUP(F37*1000000,'Powell-Elevation-Area'!$B$5:$D$689,3)*$B$20/1000000,"")</f>
        <v>8.1617612687630245</v>
      </c>
      <c r="G134" s="14">
        <f ca="1">IF(G$26&lt;&gt;"",-G129+G37+G26-G61-VLOOKUP(G37*1000000,'Powell-Elevation-Area'!$B$5:$D$689,3)*$B$20/1000000,"")</f>
        <v>8.1551340372408969</v>
      </c>
      <c r="H134" s="14">
        <f ca="1">IF(H$26&lt;&gt;"",-H129+H37+H26-H61-VLOOKUP(H37*1000000,'Powell-Elevation-Area'!$B$5:$D$689,3)*$B$20/1000000,"")</f>
        <v>8.1095671070388811</v>
      </c>
      <c r="I134" s="14">
        <f ca="1">IF(I$26&lt;&gt;"",-I129+I37+I26-I61-VLOOKUP(I37*1000000,'Powell-Elevation-Area'!$B$5:$D$689,3)*$B$20/1000000,"")</f>
        <v>8.8942226839291578</v>
      </c>
      <c r="J134" s="14">
        <f ca="1">IF(J$26&lt;&gt;"",-J129+J37+J26-J61-VLOOKUP(J37*1000000,'Powell-Elevation-Area'!$B$5:$D$689,3)*$B$20/1000000,"")</f>
        <v>8.9041566504517995</v>
      </c>
      <c r="K134" s="14">
        <f ca="1">IF(K$26&lt;&gt;"",-K129+K37+K26-K61-VLOOKUP(K37*1000000,'Powell-Elevation-Area'!$B$5:$D$689,3)*$B$20/1000000,"")</f>
        <v>8.9027299426552702</v>
      </c>
      <c r="L134" s="14">
        <f ca="1">IF(L$26&lt;&gt;"",-L129+L37+L26-L61-VLOOKUP(L37*1000000,'Powell-Elevation-Area'!$B$5:$D$689,3)*$B$20/1000000,"")</f>
        <v>8.9458290669485976</v>
      </c>
      <c r="N134" t="s">
        <v>192</v>
      </c>
    </row>
    <row r="135" spans="1:14" x14ac:dyDescent="0.3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274</v>
      </c>
    </row>
    <row r="136" spans="1:14" s="83" customFormat="1" ht="62.5" customHeight="1" x14ac:dyDescent="0.3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5" customHeight="1" x14ac:dyDescent="0.3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35">
      <c r="C138" s="27"/>
    </row>
    <row r="139" spans="1:14" x14ac:dyDescent="0.35">
      <c r="A139" s="1" t="s">
        <v>123</v>
      </c>
      <c r="C139" s="129">
        <f>IF(C$26&lt;&gt;"",0.2,"")</f>
        <v>0.2</v>
      </c>
      <c r="D139" s="129">
        <f t="shared" ref="D139:L139" si="53">IF(D$26&lt;&gt;"",0.2,"")</f>
        <v>0.2</v>
      </c>
      <c r="E139" s="129">
        <f t="shared" si="53"/>
        <v>0.2</v>
      </c>
      <c r="F139" s="129">
        <f t="shared" si="53"/>
        <v>0.2</v>
      </c>
      <c r="G139" s="129">
        <f t="shared" si="53"/>
        <v>0.2</v>
      </c>
      <c r="H139" s="129">
        <f t="shared" si="53"/>
        <v>0.2</v>
      </c>
      <c r="I139" s="129">
        <f t="shared" si="53"/>
        <v>0.2</v>
      </c>
      <c r="J139" s="129">
        <f t="shared" si="53"/>
        <v>0.2</v>
      </c>
      <c r="K139" s="129">
        <f t="shared" si="53"/>
        <v>0.2</v>
      </c>
      <c r="L139" s="129">
        <f t="shared" si="53"/>
        <v>0.2</v>
      </c>
    </row>
    <row r="140" spans="1:14" x14ac:dyDescent="0.35">
      <c r="A140" t="s">
        <v>124</v>
      </c>
      <c r="C140" s="14">
        <f t="shared" ref="C140:L140" ca="1" si="54">IF(C$26&lt;&gt;"",C115+C139,"")</f>
        <v>7.4590000000000005</v>
      </c>
      <c r="D140" s="14">
        <f t="shared" ca="1" si="54"/>
        <v>7.4590000000000005</v>
      </c>
      <c r="E140" s="14">
        <f t="shared" ca="1" si="54"/>
        <v>7.0870000000000006</v>
      </c>
      <c r="F140" s="14">
        <f t="shared" ca="1" si="54"/>
        <v>7.0870000000000006</v>
      </c>
      <c r="G140" s="14">
        <f t="shared" ca="1" si="54"/>
        <v>7.0870000000000006</v>
      </c>
      <c r="H140" s="14">
        <f t="shared" ca="1" si="54"/>
        <v>6.9926541774187303</v>
      </c>
      <c r="I140" s="14">
        <f t="shared" ca="1" si="54"/>
        <v>6.5703582757240833</v>
      </c>
      <c r="J140" s="14">
        <f t="shared" ca="1" si="54"/>
        <v>6.586244293916498</v>
      </c>
      <c r="K140" s="14">
        <f t="shared" ca="1" si="54"/>
        <v>6.5889662944951821</v>
      </c>
      <c r="L140" s="14">
        <f t="shared" ca="1" si="54"/>
        <v>6.6096031602846086</v>
      </c>
    </row>
    <row r="142" spans="1:14" x14ac:dyDescent="0.35">
      <c r="D142" s="17"/>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61" priority="36" operator="greaterThan">
      <formula>$C$76</formula>
    </cfRule>
  </conditionalFormatting>
  <conditionalFormatting sqref="C85:L85">
    <cfRule type="cellIs" dxfId="60" priority="35" operator="greaterThan">
      <formula>$C$84</formula>
    </cfRule>
  </conditionalFormatting>
  <conditionalFormatting sqref="C93">
    <cfRule type="cellIs" dxfId="59" priority="34" operator="greaterThan">
      <formula>$C$92</formula>
    </cfRule>
  </conditionalFormatting>
  <conditionalFormatting sqref="D93">
    <cfRule type="cellIs" dxfId="58" priority="33" operator="greaterThan">
      <formula>$D$92</formula>
    </cfRule>
  </conditionalFormatting>
  <conditionalFormatting sqref="E93">
    <cfRule type="cellIs" dxfId="57" priority="32" operator="greaterThan">
      <formula>$E$92</formula>
    </cfRule>
  </conditionalFormatting>
  <conditionalFormatting sqref="F93">
    <cfRule type="cellIs" dxfId="56" priority="31" operator="greaterThan">
      <formula>$F$92</formula>
    </cfRule>
  </conditionalFormatting>
  <conditionalFormatting sqref="G93">
    <cfRule type="cellIs" dxfId="55" priority="30" operator="greaterThan">
      <formula>$G$92</formula>
    </cfRule>
  </conditionalFormatting>
  <conditionalFormatting sqref="H93">
    <cfRule type="cellIs" dxfId="54" priority="29" operator="greaterThan">
      <formula>$H$92</formula>
    </cfRule>
  </conditionalFormatting>
  <conditionalFormatting sqref="I93">
    <cfRule type="cellIs" dxfId="53" priority="28" operator="greaterThan">
      <formula>$I$92</formula>
    </cfRule>
  </conditionalFormatting>
  <conditionalFormatting sqref="J93">
    <cfRule type="cellIs" dxfId="52" priority="27" operator="greaterThan">
      <formula>$J$92</formula>
    </cfRule>
  </conditionalFormatting>
  <conditionalFormatting sqref="K93">
    <cfRule type="cellIs" dxfId="51" priority="26" operator="greaterThan">
      <formula>$K$92</formula>
    </cfRule>
  </conditionalFormatting>
  <conditionalFormatting sqref="L93">
    <cfRule type="cellIs" dxfId="50" priority="25" operator="greaterThan">
      <formula>$L$92</formula>
    </cfRule>
  </conditionalFormatting>
  <conditionalFormatting sqref="C101">
    <cfRule type="cellIs" dxfId="49" priority="24" operator="greaterThan">
      <formula>$C$100</formula>
    </cfRule>
  </conditionalFormatting>
  <conditionalFormatting sqref="D101">
    <cfRule type="cellIs" dxfId="48" priority="23" operator="greaterThan">
      <formula>$D$100</formula>
    </cfRule>
  </conditionalFormatting>
  <conditionalFormatting sqref="E101">
    <cfRule type="cellIs" dxfId="47" priority="22" operator="greaterThan">
      <formula>$E$100</formula>
    </cfRule>
  </conditionalFormatting>
  <conditionalFormatting sqref="F101">
    <cfRule type="cellIs" dxfId="46" priority="21" operator="greaterThan">
      <formula>$F$100</formula>
    </cfRule>
  </conditionalFormatting>
  <conditionalFormatting sqref="G101">
    <cfRule type="cellIs" dxfId="45" priority="20" operator="greaterThan">
      <formula>$G$100</formula>
    </cfRule>
  </conditionalFormatting>
  <conditionalFormatting sqref="H101">
    <cfRule type="cellIs" dxfId="44" priority="19" operator="greaterThan">
      <formula>$H$100</formula>
    </cfRule>
  </conditionalFormatting>
  <conditionalFormatting sqref="I101">
    <cfRule type="cellIs" dxfId="43" priority="18" operator="greaterThan">
      <formula>$I$100</formula>
    </cfRule>
  </conditionalFormatting>
  <conditionalFormatting sqref="J101">
    <cfRule type="cellIs" dxfId="42" priority="17" operator="greaterThan">
      <formula>$J$100</formula>
    </cfRule>
  </conditionalFormatting>
  <conditionalFormatting sqref="K101">
    <cfRule type="cellIs" dxfId="41" priority="16" operator="greaterThan">
      <formula>$K$100</formula>
    </cfRule>
  </conditionalFormatting>
  <conditionalFormatting sqref="L101">
    <cfRule type="cellIs" dxfId="40" priority="15" operator="greaterThan">
      <formula>$L$100</formula>
    </cfRule>
  </conditionalFormatting>
  <conditionalFormatting sqref="C61:L61">
    <cfRule type="cellIs" dxfId="39" priority="3" operator="greaterThan">
      <formula>$C$60</formula>
    </cfRule>
  </conditionalFormatting>
  <conditionalFormatting sqref="C69:L69">
    <cfRule type="cellIs" dxfId="3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F82557A4-5ECE-4816-9CFC-1D40A9DCB7DA}">
            <xm:f>PowellReleaseTemperature!$B$10</xm:f>
            <x14:dxf>
              <font>
                <color auto="1"/>
              </font>
              <fill>
                <patternFill>
                  <bgColor theme="4"/>
                </patternFill>
              </fill>
            </x14:dxf>
          </x14:cfRule>
          <x14:cfRule type="cellIs" priority="12" operator="equal" id="{5D257C92-7BE0-4181-993B-B07E2BEACEEB}">
            <xm:f>PowellReleaseTemperature!$B$9</xm:f>
            <x14:dxf>
              <font>
                <color theme="4" tint="-0.24994659260841701"/>
              </font>
              <fill>
                <patternFill>
                  <bgColor theme="8" tint="0.59996337778862885"/>
                </patternFill>
              </fill>
            </x14:dxf>
          </x14:cfRule>
          <x14:cfRule type="cellIs" priority="13" operator="equal" id="{D23A87FE-6381-45E3-87E3-D3E9EA021E05}">
            <xm:f>PowellReleaseTemperature!$B$8</xm:f>
            <x14:dxf>
              <font>
                <color rgb="FF9C0006"/>
              </font>
              <fill>
                <patternFill>
                  <bgColor rgb="FFFFC7CE"/>
                </patternFill>
              </fill>
            </x14:dxf>
          </x14:cfRule>
          <x14:cfRule type="cellIs" priority="14" operator="equal" id="{52DE4EE1-1D41-47F6-AF09-9BCB29BD4C6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742B601-52E2-47A4-97DF-62BCA4AAA59F}">
            <xm:f>PowellReleaseTemperature!$E$5</xm:f>
            <x14:dxf>
              <font>
                <color auto="1"/>
              </font>
              <fill>
                <patternFill>
                  <bgColor rgb="FFFF0000"/>
                </patternFill>
              </fill>
            </x14:dxf>
          </x14:cfRule>
          <x14:cfRule type="cellIs" priority="8" operator="equal" id="{D7FC2D02-069E-4179-92F6-DDE1B2B44066}">
            <xm:f>PowellReleaseTemperature!$E$8</xm:f>
            <x14:dxf>
              <font>
                <color rgb="FF9C0006"/>
              </font>
              <fill>
                <patternFill>
                  <bgColor rgb="FFFFC7CE"/>
                </patternFill>
              </fill>
            </x14:dxf>
          </x14:cfRule>
          <x14:cfRule type="cellIs" priority="9" operator="equal" id="{55242721-5DB1-47DE-8E5E-CCD7665C46FD}">
            <xm:f>PowellReleaseTemperature!$E$9</xm:f>
            <x14:dxf>
              <font>
                <color theme="4" tint="-0.24994659260841701"/>
              </font>
              <fill>
                <patternFill>
                  <bgColor theme="8" tint="0.59996337778862885"/>
                </patternFill>
              </fill>
            </x14:dxf>
          </x14:cfRule>
          <x14:cfRule type="cellIs" priority="10" operator="equal" id="{26F2D186-EFDE-406B-9CDC-72E67A00940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F8184D0B-0DF3-4366-9127-EBCDB9057D7B}">
            <xm:f>PowellReleaseTemperature!$F$10</xm:f>
            <x14:dxf>
              <font>
                <color auto="1"/>
              </font>
              <fill>
                <patternFill>
                  <bgColor theme="4"/>
                </patternFill>
              </fill>
            </x14:dxf>
          </x14:cfRule>
          <x14:cfRule type="cellIs" priority="5" operator="equal" id="{35A7A8E7-3E05-4EEF-8206-EADB0CF1CA23}">
            <xm:f>PowellReleaseTemperature!$F$9</xm:f>
            <x14:dxf>
              <font>
                <color theme="4" tint="-0.24994659260841701"/>
              </font>
              <fill>
                <patternFill>
                  <bgColor theme="8" tint="0.59996337778862885"/>
                </patternFill>
              </fill>
            </x14:dxf>
          </x14:cfRule>
          <x14:cfRule type="cellIs" priority="6" operator="equal" id="{2D096CD3-A250-4743-A45F-B6FE07A64D28}">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84E338E-0973-42DB-B45E-CEBBF6ACD1BB}">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B1" sqref="B1:M1048576"/>
    </sheetView>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225</v>
      </c>
    </row>
    <row r="3" spans="1:16" s="1" customFormat="1" x14ac:dyDescent="0.35">
      <c r="D3" s="267" t="s">
        <v>226</v>
      </c>
      <c r="E3" s="267"/>
      <c r="F3" s="267" t="s">
        <v>227</v>
      </c>
      <c r="G3" s="267"/>
      <c r="H3" s="267"/>
      <c r="I3" s="267" t="s">
        <v>228</v>
      </c>
      <c r="J3" s="267"/>
      <c r="K3" s="267"/>
      <c r="L3" s="179"/>
      <c r="M3" s="267" t="s">
        <v>41</v>
      </c>
      <c r="N3" s="267"/>
      <c r="O3" s="267"/>
    </row>
    <row r="4" spans="1:16" s="69" customFormat="1" ht="42.65" customHeight="1" x14ac:dyDescent="0.35">
      <c r="A4" s="68" t="s">
        <v>126</v>
      </c>
      <c r="B4" s="68" t="s">
        <v>127</v>
      </c>
      <c r="C4" s="68" t="s">
        <v>237</v>
      </c>
      <c r="D4" s="68" t="s">
        <v>229</v>
      </c>
      <c r="E4" s="68" t="s">
        <v>230</v>
      </c>
      <c r="F4" s="68" t="s">
        <v>229</v>
      </c>
      <c r="G4" s="68" t="s">
        <v>230</v>
      </c>
      <c r="H4" s="68" t="s">
        <v>231</v>
      </c>
      <c r="I4" s="68" t="s">
        <v>229</v>
      </c>
      <c r="J4" s="68" t="s">
        <v>230</v>
      </c>
      <c r="K4" s="68" t="s">
        <v>231</v>
      </c>
      <c r="L4" s="68" t="s">
        <v>235</v>
      </c>
      <c r="M4" s="68" t="s">
        <v>233</v>
      </c>
      <c r="N4" s="68" t="s">
        <v>234</v>
      </c>
      <c r="O4" s="68" t="s">
        <v>232</v>
      </c>
      <c r="P4" s="68" t="s">
        <v>130</v>
      </c>
    </row>
    <row r="5" spans="1:16" x14ac:dyDescent="0.35">
      <c r="A5" s="37">
        <v>1025</v>
      </c>
      <c r="B5" s="38">
        <v>5.981122</v>
      </c>
      <c r="C5" s="39">
        <v>0</v>
      </c>
      <c r="D5" s="35">
        <v>480</v>
      </c>
      <c r="E5" s="35">
        <v>20</v>
      </c>
      <c r="F5" s="35">
        <v>240</v>
      </c>
      <c r="G5" s="35">
        <v>10</v>
      </c>
      <c r="H5" s="35">
        <v>350</v>
      </c>
      <c r="I5" s="177">
        <f t="shared" ref="I5:I13" si="0">SUM(D5,F5)</f>
        <v>720</v>
      </c>
      <c r="J5" s="35">
        <f t="shared" ref="J5:J13" si="1">SUM(E5,G5)</f>
        <v>30</v>
      </c>
      <c r="K5" s="35">
        <f t="shared" ref="K5:K13" si="2">H5</f>
        <v>350</v>
      </c>
      <c r="L5" s="46">
        <f t="shared" ref="L5:L13" si="3">SUM(I5:K5)/1000</f>
        <v>1.1000000000000001</v>
      </c>
      <c r="M5" s="35">
        <v>125</v>
      </c>
      <c r="N5" s="35">
        <v>150</v>
      </c>
      <c r="O5" s="35">
        <f t="shared" ref="O5:O13" si="4">SUM(M5:N5)/1000</f>
        <v>0.27500000000000002</v>
      </c>
      <c r="P5" s="178">
        <f t="shared" ref="P5:P13" si="5">SUM(L5,O5)</f>
        <v>1.375</v>
      </c>
    </row>
    <row r="6" spans="1:16" x14ac:dyDescent="0.35">
      <c r="A6" s="37">
        <v>1030</v>
      </c>
      <c r="B6" s="38">
        <v>6.305377</v>
      </c>
      <c r="C6" s="39">
        <f t="shared" ref="C6:C12" si="6">B5</f>
        <v>5.981122</v>
      </c>
      <c r="D6" s="35">
        <v>400</v>
      </c>
      <c r="E6" s="35">
        <v>17</v>
      </c>
      <c r="F6" s="35">
        <v>240</v>
      </c>
      <c r="G6" s="35">
        <v>10</v>
      </c>
      <c r="H6" s="35">
        <v>350</v>
      </c>
      <c r="I6" s="177">
        <f t="shared" si="0"/>
        <v>640</v>
      </c>
      <c r="J6" s="35">
        <f t="shared" si="1"/>
        <v>27</v>
      </c>
      <c r="K6" s="35">
        <f t="shared" si="2"/>
        <v>350</v>
      </c>
      <c r="L6" s="46">
        <f t="shared" si="3"/>
        <v>1.0169999999999999</v>
      </c>
      <c r="M6" s="35">
        <v>70</v>
      </c>
      <c r="N6" s="35">
        <v>101</v>
      </c>
      <c r="O6" s="35">
        <f t="shared" si="4"/>
        <v>0.17100000000000001</v>
      </c>
      <c r="P6" s="178">
        <f t="shared" si="5"/>
        <v>1.1879999999999999</v>
      </c>
    </row>
    <row r="7" spans="1:16" x14ac:dyDescent="0.35">
      <c r="A7" s="37">
        <v>1035</v>
      </c>
      <c r="B7" s="38">
        <v>6.6375080000000004</v>
      </c>
      <c r="C7" s="39">
        <f t="shared" si="6"/>
        <v>6.305377</v>
      </c>
      <c r="D7" s="35">
        <v>400</v>
      </c>
      <c r="E7" s="35">
        <v>17</v>
      </c>
      <c r="F7" s="35">
        <v>240</v>
      </c>
      <c r="G7" s="35">
        <v>10</v>
      </c>
      <c r="H7" s="35">
        <v>300</v>
      </c>
      <c r="I7" s="177">
        <f t="shared" si="0"/>
        <v>640</v>
      </c>
      <c r="J7" s="35">
        <f t="shared" si="1"/>
        <v>27</v>
      </c>
      <c r="K7" s="35">
        <f t="shared" si="2"/>
        <v>300</v>
      </c>
      <c r="L7" s="46">
        <f t="shared" si="3"/>
        <v>0.96699999999999997</v>
      </c>
      <c r="M7" s="35">
        <v>70</v>
      </c>
      <c r="N7" s="35">
        <v>92</v>
      </c>
      <c r="O7" s="35">
        <f t="shared" si="4"/>
        <v>0.16200000000000001</v>
      </c>
      <c r="P7" s="178">
        <f t="shared" si="5"/>
        <v>1.129</v>
      </c>
    </row>
    <row r="8" spans="1:16" x14ac:dyDescent="0.35">
      <c r="A8" s="37">
        <v>1040</v>
      </c>
      <c r="B8" s="38">
        <v>6.977665</v>
      </c>
      <c r="C8" s="39">
        <f t="shared" si="6"/>
        <v>6.6375080000000004</v>
      </c>
      <c r="D8" s="35">
        <v>400</v>
      </c>
      <c r="E8" s="35">
        <v>17</v>
      </c>
      <c r="F8" s="35">
        <v>240</v>
      </c>
      <c r="G8" s="35">
        <v>10</v>
      </c>
      <c r="H8" s="35">
        <v>250</v>
      </c>
      <c r="I8" s="177">
        <f t="shared" si="0"/>
        <v>640</v>
      </c>
      <c r="J8" s="35">
        <f t="shared" si="1"/>
        <v>27</v>
      </c>
      <c r="K8" s="35">
        <f t="shared" si="2"/>
        <v>250</v>
      </c>
      <c r="L8" s="46">
        <f t="shared" si="3"/>
        <v>0.91700000000000004</v>
      </c>
      <c r="M8" s="35">
        <v>70</v>
      </c>
      <c r="N8" s="35">
        <v>84</v>
      </c>
      <c r="O8" s="35">
        <f t="shared" si="4"/>
        <v>0.154</v>
      </c>
      <c r="P8" s="178">
        <f t="shared" si="5"/>
        <v>1.071</v>
      </c>
    </row>
    <row r="9" spans="1:16" x14ac:dyDescent="0.35">
      <c r="A9" s="37">
        <v>1045</v>
      </c>
      <c r="B9" s="38">
        <v>7.3260519999999998</v>
      </c>
      <c r="C9" s="39">
        <f t="shared" si="6"/>
        <v>6.977665</v>
      </c>
      <c r="D9" s="35">
        <v>400</v>
      </c>
      <c r="E9" s="35">
        <v>17</v>
      </c>
      <c r="F9" s="35">
        <v>240</v>
      </c>
      <c r="G9" s="35">
        <v>10</v>
      </c>
      <c r="H9" s="35">
        <v>200</v>
      </c>
      <c r="I9" s="177">
        <f t="shared" si="0"/>
        <v>640</v>
      </c>
      <c r="J9" s="35">
        <f t="shared" si="1"/>
        <v>27</v>
      </c>
      <c r="K9" s="35">
        <f t="shared" si="2"/>
        <v>200</v>
      </c>
      <c r="L9" s="46">
        <f t="shared" si="3"/>
        <v>0.86699999999999999</v>
      </c>
      <c r="M9" s="35">
        <v>70</v>
      </c>
      <c r="N9" s="35">
        <v>76</v>
      </c>
      <c r="O9" s="35">
        <f t="shared" si="4"/>
        <v>0.14599999999999999</v>
      </c>
      <c r="P9" s="178">
        <f t="shared" si="5"/>
        <v>1.0129999999999999</v>
      </c>
    </row>
    <row r="10" spans="1:16" x14ac:dyDescent="0.35">
      <c r="A10" s="37">
        <v>1050</v>
      </c>
      <c r="B10" s="38">
        <v>7.6828779999999997</v>
      </c>
      <c r="C10" s="39">
        <f t="shared" si="6"/>
        <v>7.3260519999999998</v>
      </c>
      <c r="D10" s="35">
        <v>400</v>
      </c>
      <c r="E10" s="35">
        <v>17</v>
      </c>
      <c r="F10" s="35">
        <v>192</v>
      </c>
      <c r="G10" s="35">
        <v>8</v>
      </c>
      <c r="H10" s="35">
        <v>0</v>
      </c>
      <c r="I10" s="177">
        <f t="shared" si="0"/>
        <v>592</v>
      </c>
      <c r="J10" s="35">
        <f t="shared" si="1"/>
        <v>25</v>
      </c>
      <c r="K10" s="35">
        <f t="shared" si="2"/>
        <v>0</v>
      </c>
      <c r="L10" s="46">
        <f t="shared" si="3"/>
        <v>0.61699999999999999</v>
      </c>
      <c r="M10" s="35">
        <v>70</v>
      </c>
      <c r="N10" s="35">
        <v>34</v>
      </c>
      <c r="O10" s="35">
        <f t="shared" si="4"/>
        <v>0.104</v>
      </c>
      <c r="P10" s="178">
        <f t="shared" si="5"/>
        <v>0.72099999999999997</v>
      </c>
    </row>
    <row r="11" spans="1:16" x14ac:dyDescent="0.35">
      <c r="A11" s="37">
        <v>1075</v>
      </c>
      <c r="B11" s="38">
        <v>9.6009879999900001</v>
      </c>
      <c r="C11" s="39">
        <f t="shared" si="6"/>
        <v>7.6828779999999997</v>
      </c>
      <c r="D11" s="35">
        <v>320</v>
      </c>
      <c r="E11" s="35">
        <v>13</v>
      </c>
      <c r="F11" s="35">
        <v>192</v>
      </c>
      <c r="G11" s="35">
        <v>8</v>
      </c>
      <c r="H11" s="35">
        <v>0</v>
      </c>
      <c r="I11" s="177">
        <f t="shared" si="0"/>
        <v>512</v>
      </c>
      <c r="J11" s="35">
        <f t="shared" si="1"/>
        <v>21</v>
      </c>
      <c r="K11" s="35">
        <f t="shared" si="2"/>
        <v>0</v>
      </c>
      <c r="L11" s="46">
        <f t="shared" si="3"/>
        <v>0.53300000000000003</v>
      </c>
      <c r="M11" s="35">
        <v>50</v>
      </c>
      <c r="N11" s="35">
        <v>30</v>
      </c>
      <c r="O11" s="178">
        <f t="shared" si="4"/>
        <v>0.08</v>
      </c>
      <c r="P11" s="178">
        <f t="shared" si="5"/>
        <v>0.61299999999999999</v>
      </c>
    </row>
    <row r="12" spans="1:16" x14ac:dyDescent="0.35">
      <c r="A12" s="37">
        <v>1090</v>
      </c>
      <c r="B12" s="38">
        <v>10.857008</v>
      </c>
      <c r="C12" s="39">
        <f t="shared" si="6"/>
        <v>9.6009879999900001</v>
      </c>
      <c r="D12" s="35">
        <v>0</v>
      </c>
      <c r="E12" s="35">
        <v>0</v>
      </c>
      <c r="F12" s="35">
        <v>192</v>
      </c>
      <c r="G12" s="35">
        <v>8</v>
      </c>
      <c r="H12" s="35">
        <v>0</v>
      </c>
      <c r="I12" s="177">
        <f t="shared" si="0"/>
        <v>192</v>
      </c>
      <c r="J12" s="35">
        <f t="shared" si="1"/>
        <v>8</v>
      </c>
      <c r="K12" s="35">
        <f t="shared" si="2"/>
        <v>0</v>
      </c>
      <c r="L12" s="46">
        <f t="shared" si="3"/>
        <v>0.2</v>
      </c>
      <c r="M12" s="35">
        <v>0</v>
      </c>
      <c r="N12" s="35">
        <v>41</v>
      </c>
      <c r="O12" s="35">
        <f t="shared" si="4"/>
        <v>4.1000000000000002E-2</v>
      </c>
      <c r="P12" s="178">
        <f t="shared" si="5"/>
        <v>0.24100000000000002</v>
      </c>
    </row>
    <row r="13" spans="1:16" x14ac:dyDescent="0.35">
      <c r="A13" s="37">
        <v>1090.0999999999999</v>
      </c>
      <c r="B13" s="38">
        <v>10.9</v>
      </c>
      <c r="C13" s="39">
        <f>B12</f>
        <v>10.857008</v>
      </c>
      <c r="D13" s="38">
        <v>0</v>
      </c>
      <c r="E13" s="38">
        <v>0</v>
      </c>
      <c r="F13" s="38">
        <v>0</v>
      </c>
      <c r="G13" s="38">
        <v>0</v>
      </c>
      <c r="H13" s="38">
        <v>0</v>
      </c>
      <c r="I13" s="38">
        <f t="shared" si="0"/>
        <v>0</v>
      </c>
      <c r="J13" s="38">
        <f t="shared" si="1"/>
        <v>0</v>
      </c>
      <c r="K13" s="38">
        <f t="shared" si="2"/>
        <v>0</v>
      </c>
      <c r="L13" s="39">
        <f t="shared" si="3"/>
        <v>0</v>
      </c>
      <c r="M13" s="35">
        <v>0</v>
      </c>
      <c r="N13" s="46">
        <v>0</v>
      </c>
      <c r="O13" s="35">
        <f t="shared" si="4"/>
        <v>0</v>
      </c>
      <c r="P13" s="48">
        <f t="shared" si="5"/>
        <v>0</v>
      </c>
    </row>
    <row r="14" spans="1:16" x14ac:dyDescent="0.35">
      <c r="B14" s="75"/>
    </row>
    <row r="15" spans="1:16" x14ac:dyDescent="0.35">
      <c r="B15" s="73"/>
      <c r="C15" s="74"/>
    </row>
    <row r="16" spans="1:16" x14ac:dyDescent="0.35">
      <c r="A16" t="s">
        <v>236</v>
      </c>
    </row>
    <row r="17" spans="1:16" x14ac:dyDescent="0.35">
      <c r="A17" s="70">
        <v>1091</v>
      </c>
    </row>
    <row r="18" spans="1:16" x14ac:dyDescent="0.35">
      <c r="A18" s="37">
        <v>1090</v>
      </c>
      <c r="D18" s="2">
        <v>0</v>
      </c>
      <c r="E18" s="2">
        <v>0</v>
      </c>
      <c r="F18" s="2">
        <v>192</v>
      </c>
      <c r="G18" s="2">
        <v>8</v>
      </c>
      <c r="H18" s="2">
        <v>0</v>
      </c>
      <c r="I18" s="9">
        <f>SUM(D18,F18)</f>
        <v>192</v>
      </c>
      <c r="J18" s="2">
        <f>SUM(E18,G18)</f>
        <v>8</v>
      </c>
      <c r="K18" s="2">
        <f>H18</f>
        <v>0</v>
      </c>
      <c r="L18" s="28">
        <f>SUM(I18:K18)/1000</f>
        <v>0.2</v>
      </c>
      <c r="M18" s="2">
        <v>0</v>
      </c>
      <c r="N18" s="2">
        <v>41</v>
      </c>
      <c r="O18" s="2">
        <f>SUM(M18:N18)/1000</f>
        <v>4.1000000000000002E-2</v>
      </c>
      <c r="P18" s="71">
        <f>SUM(L18,O18)</f>
        <v>0.24100000000000002</v>
      </c>
    </row>
    <row r="19" spans="1:16" x14ac:dyDescent="0.35">
      <c r="A19" s="37">
        <v>1075</v>
      </c>
      <c r="D19" s="2">
        <v>320</v>
      </c>
      <c r="E19" s="2">
        <v>13</v>
      </c>
      <c r="F19" s="2">
        <v>192</v>
      </c>
      <c r="G19" s="2">
        <v>8</v>
      </c>
      <c r="H19" s="2">
        <v>0</v>
      </c>
      <c r="I19" s="9">
        <f t="shared" ref="I19:I25" si="7">SUM(D19,F19)</f>
        <v>512</v>
      </c>
      <c r="J19" s="2">
        <f t="shared" ref="J19:J25" si="8">SUM(E19,G19)</f>
        <v>21</v>
      </c>
      <c r="K19" s="2">
        <f t="shared" ref="K19:K25" si="9">H19</f>
        <v>0</v>
      </c>
      <c r="L19" s="28">
        <f t="shared" ref="L19:L25" si="10">SUM(I19:K19)/1000</f>
        <v>0.53300000000000003</v>
      </c>
      <c r="M19" s="2">
        <v>50</v>
      </c>
      <c r="N19" s="2">
        <v>30</v>
      </c>
      <c r="O19" s="2">
        <f t="shared" ref="O19:O25" si="11">SUM(M19:N19)/1000</f>
        <v>0.08</v>
      </c>
      <c r="P19" s="71">
        <f t="shared" ref="P19:P25" si="12">SUM(L19,O19)</f>
        <v>0.61299999999999999</v>
      </c>
    </row>
    <row r="20" spans="1:16" x14ac:dyDescent="0.35">
      <c r="A20" s="37">
        <v>1050</v>
      </c>
      <c r="D20" s="2">
        <v>400</v>
      </c>
      <c r="E20" s="2">
        <v>17</v>
      </c>
      <c r="F20" s="2">
        <v>192</v>
      </c>
      <c r="G20" s="2">
        <v>8</v>
      </c>
      <c r="H20" s="2">
        <v>0</v>
      </c>
      <c r="I20" s="9">
        <f t="shared" si="7"/>
        <v>592</v>
      </c>
      <c r="J20" s="2">
        <f t="shared" si="8"/>
        <v>25</v>
      </c>
      <c r="K20" s="2">
        <f t="shared" si="9"/>
        <v>0</v>
      </c>
      <c r="L20" s="28">
        <f t="shared" si="10"/>
        <v>0.61699999999999999</v>
      </c>
      <c r="M20" s="2">
        <v>70</v>
      </c>
      <c r="N20" s="2">
        <v>34</v>
      </c>
      <c r="O20" s="2">
        <f t="shared" si="11"/>
        <v>0.104</v>
      </c>
      <c r="P20" s="71">
        <f t="shared" si="12"/>
        <v>0.72099999999999997</v>
      </c>
    </row>
    <row r="21" spans="1:16" x14ac:dyDescent="0.35">
      <c r="A21" s="37">
        <v>1045</v>
      </c>
      <c r="D21" s="2">
        <v>400</v>
      </c>
      <c r="E21" s="2">
        <v>17</v>
      </c>
      <c r="F21" s="2">
        <v>240</v>
      </c>
      <c r="G21" s="2">
        <v>10</v>
      </c>
      <c r="H21" s="2">
        <v>200</v>
      </c>
      <c r="I21" s="9">
        <f t="shared" si="7"/>
        <v>640</v>
      </c>
      <c r="J21" s="2">
        <f t="shared" si="8"/>
        <v>27</v>
      </c>
      <c r="K21" s="2">
        <f t="shared" si="9"/>
        <v>200</v>
      </c>
      <c r="L21" s="28">
        <f t="shared" si="10"/>
        <v>0.86699999999999999</v>
      </c>
      <c r="M21" s="2">
        <v>70</v>
      </c>
      <c r="N21" s="2">
        <v>76</v>
      </c>
      <c r="O21" s="2">
        <f t="shared" si="11"/>
        <v>0.14599999999999999</v>
      </c>
      <c r="P21" s="71">
        <f t="shared" si="12"/>
        <v>1.0129999999999999</v>
      </c>
    </row>
    <row r="22" spans="1:16" x14ac:dyDescent="0.35">
      <c r="A22" s="37">
        <v>1040</v>
      </c>
      <c r="D22" s="2">
        <v>400</v>
      </c>
      <c r="E22" s="2">
        <v>17</v>
      </c>
      <c r="F22" s="2">
        <v>240</v>
      </c>
      <c r="G22" s="2">
        <v>10</v>
      </c>
      <c r="H22" s="2">
        <v>250</v>
      </c>
      <c r="I22" s="9">
        <f t="shared" si="7"/>
        <v>640</v>
      </c>
      <c r="J22" s="2">
        <f t="shared" si="8"/>
        <v>27</v>
      </c>
      <c r="K22" s="2">
        <f t="shared" si="9"/>
        <v>250</v>
      </c>
      <c r="L22" s="28">
        <f t="shared" si="10"/>
        <v>0.91700000000000004</v>
      </c>
      <c r="M22" s="2">
        <v>70</v>
      </c>
      <c r="N22" s="2">
        <v>84</v>
      </c>
      <c r="O22" s="2">
        <f t="shared" si="11"/>
        <v>0.154</v>
      </c>
      <c r="P22" s="71">
        <f t="shared" si="12"/>
        <v>1.071</v>
      </c>
    </row>
    <row r="23" spans="1:16" x14ac:dyDescent="0.35">
      <c r="A23" s="37">
        <v>1035</v>
      </c>
      <c r="D23" s="2">
        <v>400</v>
      </c>
      <c r="E23" s="2">
        <v>17</v>
      </c>
      <c r="F23" s="2">
        <v>240</v>
      </c>
      <c r="G23" s="2">
        <v>10</v>
      </c>
      <c r="H23" s="2">
        <v>300</v>
      </c>
      <c r="I23" s="9">
        <f t="shared" si="7"/>
        <v>640</v>
      </c>
      <c r="J23" s="2">
        <f t="shared" si="8"/>
        <v>27</v>
      </c>
      <c r="K23" s="2">
        <f t="shared" si="9"/>
        <v>300</v>
      </c>
      <c r="L23" s="28">
        <f t="shared" si="10"/>
        <v>0.96699999999999997</v>
      </c>
      <c r="M23" s="2">
        <v>70</v>
      </c>
      <c r="N23" s="2">
        <v>92</v>
      </c>
      <c r="O23" s="2">
        <f t="shared" si="11"/>
        <v>0.16200000000000001</v>
      </c>
      <c r="P23" s="71">
        <f t="shared" si="12"/>
        <v>1.129</v>
      </c>
    </row>
    <row r="24" spans="1:16" x14ac:dyDescent="0.35">
      <c r="A24" s="37">
        <v>1030</v>
      </c>
      <c r="D24" s="2">
        <v>400</v>
      </c>
      <c r="E24" s="2">
        <v>17</v>
      </c>
      <c r="F24" s="2">
        <v>240</v>
      </c>
      <c r="G24" s="2">
        <v>10</v>
      </c>
      <c r="H24" s="2">
        <v>350</v>
      </c>
      <c r="I24" s="9">
        <f t="shared" si="7"/>
        <v>640</v>
      </c>
      <c r="J24" s="2">
        <f t="shared" si="8"/>
        <v>27</v>
      </c>
      <c r="K24" s="2">
        <f t="shared" si="9"/>
        <v>350</v>
      </c>
      <c r="L24" s="28">
        <f t="shared" si="10"/>
        <v>1.0169999999999999</v>
      </c>
      <c r="M24" s="2">
        <v>70</v>
      </c>
      <c r="N24" s="2">
        <v>101</v>
      </c>
      <c r="O24" s="2">
        <f t="shared" si="11"/>
        <v>0.17100000000000001</v>
      </c>
      <c r="P24" s="71">
        <f t="shared" si="12"/>
        <v>1.1879999999999999</v>
      </c>
    </row>
    <row r="25" spans="1:16" x14ac:dyDescent="0.35">
      <c r="A25" s="37">
        <v>1025</v>
      </c>
      <c r="D25" s="2">
        <v>480</v>
      </c>
      <c r="E25" s="2">
        <v>20</v>
      </c>
      <c r="F25" s="2">
        <v>240</v>
      </c>
      <c r="G25" s="2">
        <v>10</v>
      </c>
      <c r="H25" s="2">
        <v>350</v>
      </c>
      <c r="I25" s="9">
        <f t="shared" si="7"/>
        <v>720</v>
      </c>
      <c r="J25" s="2">
        <f t="shared" si="8"/>
        <v>30</v>
      </c>
      <c r="K25" s="2">
        <f t="shared" si="9"/>
        <v>350</v>
      </c>
      <c r="L25" s="28">
        <f t="shared" si="10"/>
        <v>1.1000000000000001</v>
      </c>
      <c r="M25" s="2">
        <v>125</v>
      </c>
      <c r="N25" s="2">
        <v>150</v>
      </c>
      <c r="O25" s="2">
        <f t="shared" si="11"/>
        <v>0.27500000000000002</v>
      </c>
      <c r="P25" s="71">
        <f t="shared" si="12"/>
        <v>1.375</v>
      </c>
    </row>
    <row r="26" spans="1:16" x14ac:dyDescent="0.35">
      <c r="A26" s="36">
        <v>955</v>
      </c>
    </row>
    <row r="29" spans="1:16" x14ac:dyDescent="0.35">
      <c r="A29" s="37"/>
      <c r="I29" s="9"/>
      <c r="L29" s="28"/>
      <c r="O29" s="2"/>
      <c r="P29" s="71"/>
    </row>
    <row r="30" spans="1:16" x14ac:dyDescent="0.35">
      <c r="A30" s="37"/>
      <c r="I30" s="9"/>
      <c r="L30" s="28"/>
      <c r="O30" s="2"/>
      <c r="P30" s="71"/>
    </row>
    <row r="31" spans="1:16" x14ac:dyDescent="0.35">
      <c r="A31" s="37"/>
      <c r="I31" s="9"/>
      <c r="L31" s="28"/>
      <c r="O31" s="2"/>
      <c r="P31" s="71"/>
    </row>
    <row r="32" spans="1:16" x14ac:dyDescent="0.35">
      <c r="A32" s="37"/>
      <c r="I32" s="9"/>
      <c r="L32" s="28"/>
      <c r="O32" s="2"/>
      <c r="P32" s="71"/>
    </row>
    <row r="33" spans="1:16" x14ac:dyDescent="0.35">
      <c r="A33" s="37"/>
      <c r="I33" s="9"/>
      <c r="L33" s="28"/>
      <c r="O33" s="2"/>
      <c r="P33" s="71"/>
    </row>
    <row r="34" spans="1:16" x14ac:dyDescent="0.35">
      <c r="A34" s="37"/>
      <c r="I34" s="9"/>
      <c r="L34" s="28"/>
      <c r="O34" s="2"/>
      <c r="P34" s="71"/>
    </row>
    <row r="35" spans="1:16" x14ac:dyDescent="0.35">
      <c r="A35" s="37"/>
      <c r="I35" s="9"/>
      <c r="L35" s="28"/>
      <c r="O35" s="2"/>
      <c r="P35" s="71"/>
    </row>
    <row r="36" spans="1:16" x14ac:dyDescent="0.35">
      <c r="A36" s="37"/>
      <c r="I36" s="9"/>
      <c r="L36" s="28"/>
      <c r="O36" s="2"/>
      <c r="P36" s="71"/>
    </row>
  </sheetData>
  <sortState ref="A29:P36">
    <sortCondition ref="A29:A36"/>
  </sortState>
  <mergeCells count="4">
    <mergeCell ref="D3:E3"/>
    <mergeCell ref="F3:H3"/>
    <mergeCell ref="I3:K3"/>
    <mergeCell ref="M3:O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54</v>
      </c>
    </row>
    <row r="3" spans="1:24" x14ac:dyDescent="0.35">
      <c r="A3" t="s">
        <v>76</v>
      </c>
    </row>
    <row r="5" spans="1:24" s="1" customFormat="1" x14ac:dyDescent="0.3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3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7">
        <f>AVERAGE(C6:L6)</f>
        <v>12.400000000000002</v>
      </c>
      <c r="W6" s="27">
        <f>AVERAGE(C6:U6)</f>
        <v>12.400000000000004</v>
      </c>
      <c r="X6" t="s">
        <v>71</v>
      </c>
    </row>
    <row r="7" spans="1:24" x14ac:dyDescent="0.35">
      <c r="A7" t="s">
        <v>88</v>
      </c>
      <c r="B7" t="s">
        <v>58</v>
      </c>
      <c r="C7" s="27">
        <v>10.541308000000001</v>
      </c>
      <c r="D7" s="27">
        <v>11.023149</v>
      </c>
      <c r="E7" s="27">
        <v>5.870736</v>
      </c>
      <c r="F7" s="27">
        <v>10.455249</v>
      </c>
      <c r="G7" s="27">
        <v>9.4432220000000004</v>
      </c>
      <c r="H7" s="27">
        <v>17.117932</v>
      </c>
      <c r="I7" s="27">
        <v>12.627808</v>
      </c>
      <c r="J7" s="27">
        <v>12.567529</v>
      </c>
      <c r="K7" s="27">
        <v>16.3156</v>
      </c>
      <c r="L7" s="27">
        <v>14.306982</v>
      </c>
      <c r="M7" s="27">
        <v>12.326231999999999</v>
      </c>
      <c r="N7" s="27">
        <v>20.207163000000001</v>
      </c>
      <c r="O7" s="27">
        <v>8.4420540000000006</v>
      </c>
      <c r="P7" s="27">
        <v>8.9732859999999999</v>
      </c>
      <c r="Q7" s="27">
        <v>14.100669999999999</v>
      </c>
      <c r="R7" s="27">
        <v>13.433123999999999</v>
      </c>
      <c r="S7" s="27">
        <v>13.477814</v>
      </c>
      <c r="T7" s="27">
        <v>16.476396999999999</v>
      </c>
      <c r="U7" s="27">
        <v>8.6142029999999998</v>
      </c>
      <c r="V7" s="27">
        <f t="shared" ref="V7:V13" si="1">AVERAGE(C7:L7)</f>
        <v>12.026951499999999</v>
      </c>
      <c r="W7" s="27">
        <f t="shared" ref="W7:W13" si="2">AVERAGE(C7:U7)</f>
        <v>12.437918842105264</v>
      </c>
      <c r="X7" t="s">
        <v>71</v>
      </c>
    </row>
    <row r="8" spans="1:24" x14ac:dyDescent="0.35">
      <c r="A8" t="s">
        <v>89</v>
      </c>
      <c r="B8" t="s">
        <v>73</v>
      </c>
      <c r="C8" s="27">
        <f>INDEX($C$7:$U$7, _xlfn.RANK.EQ(C19, $C19:$U19) + COUNTIF($C19:C19, C19) - 1)</f>
        <v>12.627808</v>
      </c>
      <c r="D8" s="27">
        <f>INDEX($C$7:$U$7, _xlfn.RANK.EQ(D19, $C19:$U19) + COUNTIF($C19:D19, D19) - 1)</f>
        <v>12.326231999999999</v>
      </c>
      <c r="E8" s="27">
        <f>INDEX($C$7:$U$7, _xlfn.RANK.EQ(E19, $C19:$U19) + COUNTIF($C19:E19, E19) - 1)</f>
        <v>10.455249</v>
      </c>
      <c r="F8" s="27">
        <f>INDEX($C$7:$U$7, _xlfn.RANK.EQ(F19, $C19:$U19) + COUNTIF($C19:F19, F19) - 1)</f>
        <v>5.870736</v>
      </c>
      <c r="G8" s="27">
        <f>INDEX($C$7:$U$7, _xlfn.RANK.EQ(G19, $C19:$U19) + COUNTIF($C19:G19, G19) - 1)</f>
        <v>14.100669999999999</v>
      </c>
      <c r="H8" s="27">
        <f>INDEX($C$7:$U$7, _xlfn.RANK.EQ(H19, $C19:$U19) + COUNTIF($C19:H19, H19) - 1)</f>
        <v>10.541308000000001</v>
      </c>
      <c r="I8" s="27">
        <f>INDEX($C$7:$U$7, _xlfn.RANK.EQ(I19, $C19:$U19) + COUNTIF($C19:I19, I19) - 1)</f>
        <v>17.117932</v>
      </c>
      <c r="J8" s="27">
        <f>INDEX($C$7:$U$7, _xlfn.RANK.EQ(J19, $C19:$U19) + COUNTIF($C19:J19, J19) - 1)</f>
        <v>9.4432220000000004</v>
      </c>
      <c r="K8" s="27">
        <f>INDEX($C$7:$U$7, _xlfn.RANK.EQ(K19, $C19:$U19) + COUNTIF($C19:K19, K19) - 1)</f>
        <v>20.207163000000001</v>
      </c>
      <c r="L8" s="27">
        <f>INDEX($C$7:$U$7, _xlfn.RANK.EQ(L19, $C19:$U19) + COUNTIF($C19:L19, L19) - 1)</f>
        <v>12.567529</v>
      </c>
      <c r="M8" s="27">
        <f>INDEX($C$7:$U$7, _xlfn.RANK.EQ(M19, $C19:$U19) + COUNTIF($C19:M19, M19) - 1)</f>
        <v>14.306982</v>
      </c>
      <c r="N8" s="27">
        <f>INDEX($C$7:$U$7, _xlfn.RANK.EQ(N19, $C19:$U19) + COUNTIF($C19:N19, N19) - 1)</f>
        <v>11.023149</v>
      </c>
      <c r="O8" s="27">
        <f>INDEX($C$7:$U$7, _xlfn.RANK.EQ(O19, $C19:$U19) + COUNTIF($C19:O19, O19) - 1)</f>
        <v>8.4420540000000006</v>
      </c>
      <c r="P8" s="27">
        <f>INDEX($C$7:$U$7, _xlfn.RANK.EQ(P19, $C19:$U19) + COUNTIF($C19:P19, P19) - 1)</f>
        <v>8.9732859999999999</v>
      </c>
      <c r="Q8" s="27">
        <f>INDEX($C$7:$U$7, _xlfn.RANK.EQ(Q19, $C19:$U19) + COUNTIF($C19:Q19, Q19) - 1)</f>
        <v>16.476396999999999</v>
      </c>
      <c r="R8" s="27">
        <f>INDEX($C$7:$U$7, _xlfn.RANK.EQ(R19, $C19:$U19) + COUNTIF($C19:R19, R19) - 1)</f>
        <v>16.3156</v>
      </c>
      <c r="S8" s="27">
        <f>INDEX($C$7:$U$7, _xlfn.RANK.EQ(S19, $C19:$U19) + COUNTIF($C19:S19, S19) - 1)</f>
        <v>13.477814</v>
      </c>
      <c r="T8" s="27">
        <f>INDEX($C$7:$U$7, _xlfn.RANK.EQ(T19, $C19:$U19) + COUNTIF($C19:T19, T19) - 1)</f>
        <v>13.433123999999999</v>
      </c>
      <c r="U8" s="27">
        <f>INDEX($C$7:$U$7, _xlfn.RANK.EQ(U19, $C19:$U19) + COUNTIF($C19:U19, U19) - 1)</f>
        <v>8.6142029999999998</v>
      </c>
      <c r="V8" s="27">
        <f t="shared" si="1"/>
        <v>12.525784900000001</v>
      </c>
      <c r="W8" s="27">
        <f t="shared" si="2"/>
        <v>12.437918842105264</v>
      </c>
      <c r="X8" t="s">
        <v>72</v>
      </c>
    </row>
    <row r="9" spans="1:24" x14ac:dyDescent="0.35">
      <c r="A9" t="s">
        <v>89</v>
      </c>
      <c r="B9" t="s">
        <v>74</v>
      </c>
      <c r="C9" s="27">
        <f>INDEX($C$7:$U$7, _xlfn.RANK.EQ(C20, $C20:$U20) + COUNTIF($C20:C20, C20) - 1)</f>
        <v>17.117932</v>
      </c>
      <c r="D9" s="27">
        <f>INDEX($C$7:$U$7, _xlfn.RANK.EQ(D20, $C20:$U20) + COUNTIF($C20:D20, D20) - 1)</f>
        <v>10.541308000000001</v>
      </c>
      <c r="E9" s="27">
        <f>INDEX($C$7:$U$7, _xlfn.RANK.EQ(E20, $C20:$U20) + COUNTIF($C20:E20, E20) - 1)</f>
        <v>14.100669999999999</v>
      </c>
      <c r="F9" s="27">
        <f>INDEX($C$7:$U$7, _xlfn.RANK.EQ(F20, $C20:$U20) + COUNTIF($C20:F20, F20) - 1)</f>
        <v>14.306982</v>
      </c>
      <c r="G9" s="27">
        <f>INDEX($C$7:$U$7, _xlfn.RANK.EQ(G20, $C20:$U20) + COUNTIF($C20:G20, G20) - 1)</f>
        <v>8.6142029999999998</v>
      </c>
      <c r="H9" s="27">
        <f>INDEX($C$7:$U$7, _xlfn.RANK.EQ(H20, $C20:$U20) + COUNTIF($C20:H20, H20) - 1)</f>
        <v>12.326231999999999</v>
      </c>
      <c r="I9" s="27">
        <f>INDEX($C$7:$U$7, _xlfn.RANK.EQ(I20, $C20:$U20) + COUNTIF($C20:I20, I20) - 1)</f>
        <v>10.455249</v>
      </c>
      <c r="J9" s="27">
        <f>INDEX($C$7:$U$7, _xlfn.RANK.EQ(J20, $C20:$U20) + COUNTIF($C20:J20, J20) - 1)</f>
        <v>5.870736</v>
      </c>
      <c r="K9" s="27">
        <f>INDEX($C$7:$U$7, _xlfn.RANK.EQ(K20, $C20:$U20) + COUNTIF($C20:K20, K20) - 1)</f>
        <v>13.433123999999999</v>
      </c>
      <c r="L9" s="27">
        <f>INDEX($C$7:$U$7, _xlfn.RANK.EQ(L20, $C20:$U20) + COUNTIF($C20:L20, L20) - 1)</f>
        <v>11.023149</v>
      </c>
      <c r="M9" s="27">
        <f>INDEX($C$7:$U$7, _xlfn.RANK.EQ(M20, $C20:$U20) + COUNTIF($C20:M20, M20) - 1)</f>
        <v>8.4420540000000006</v>
      </c>
      <c r="N9" s="27">
        <f>INDEX($C$7:$U$7, _xlfn.RANK.EQ(N20, $C20:$U20) + COUNTIF($C20:N20, N20) - 1)</f>
        <v>16.476396999999999</v>
      </c>
      <c r="O9" s="27">
        <f>INDEX($C$7:$U$7, _xlfn.RANK.EQ(O20, $C20:$U20) + COUNTIF($C20:O20, O20) - 1)</f>
        <v>20.207163000000001</v>
      </c>
      <c r="P9" s="27">
        <f>INDEX($C$7:$U$7, _xlfn.RANK.EQ(P20, $C20:$U20) + COUNTIF($C20:P20, P20) - 1)</f>
        <v>12.567529</v>
      </c>
      <c r="Q9" s="27">
        <f>INDEX($C$7:$U$7, _xlfn.RANK.EQ(Q20, $C20:$U20) + COUNTIF($C20:Q20, Q20) - 1)</f>
        <v>8.9732859999999999</v>
      </c>
      <c r="R9" s="27">
        <f>INDEX($C$7:$U$7, _xlfn.RANK.EQ(R20, $C20:$U20) + COUNTIF($C20:R20, R20) - 1)</f>
        <v>12.627808</v>
      </c>
      <c r="S9" s="27">
        <f>INDEX($C$7:$U$7, _xlfn.RANK.EQ(S20, $C20:$U20) + COUNTIF($C20:S20, S20) - 1)</f>
        <v>13.477814</v>
      </c>
      <c r="T9" s="27">
        <f>INDEX($C$7:$U$7, _xlfn.RANK.EQ(T20, $C20:$U20) + COUNTIF($C20:T20, T20) - 1)</f>
        <v>9.4432220000000004</v>
      </c>
      <c r="U9" s="27">
        <f>INDEX($C$7:$U$7, _xlfn.RANK.EQ(U20, $C20:$U20) + COUNTIF($C20:U20, U20) - 1)</f>
        <v>16.3156</v>
      </c>
      <c r="V9" s="27">
        <f t="shared" si="1"/>
        <v>11.7789585</v>
      </c>
      <c r="W9" s="27">
        <f t="shared" si="2"/>
        <v>12.437918842105262</v>
      </c>
      <c r="X9" t="s">
        <v>72</v>
      </c>
    </row>
    <row r="10" spans="1:24" x14ac:dyDescent="0.35">
      <c r="A10" t="s">
        <v>89</v>
      </c>
      <c r="B10" t="s">
        <v>75</v>
      </c>
      <c r="C10" s="27">
        <f>INDEX($C$7:$U$7, _xlfn.RANK.EQ(C21, $C21:$U21) + COUNTIF($C21:C21, C21) - 1)</f>
        <v>20.207163000000001</v>
      </c>
      <c r="D10" s="27">
        <f>INDEX($C$7:$U$7, _xlfn.RANK.EQ(D21, $C21:$U21) + COUNTIF($C21:D21, D21) - 1)</f>
        <v>17.117932</v>
      </c>
      <c r="E10" s="27">
        <f>INDEX($C$7:$U$7, _xlfn.RANK.EQ(E21, $C21:$U21) + COUNTIF($C21:E21, E21) - 1)</f>
        <v>16.476396999999999</v>
      </c>
      <c r="F10" s="27">
        <f>INDEX($C$7:$U$7, _xlfn.RANK.EQ(F21, $C21:$U21) + COUNTIF($C21:F21, F21) - 1)</f>
        <v>12.326231999999999</v>
      </c>
      <c r="G10" s="27">
        <f>INDEX($C$7:$U$7, _xlfn.RANK.EQ(G21, $C21:$U21) + COUNTIF($C21:G21, G21) - 1)</f>
        <v>12.627808</v>
      </c>
      <c r="H10" s="27">
        <f>INDEX($C$7:$U$7, _xlfn.RANK.EQ(H21, $C21:$U21) + COUNTIF($C21:H21, H21) - 1)</f>
        <v>13.433123999999999</v>
      </c>
      <c r="I10" s="27">
        <f>INDEX($C$7:$U$7, _xlfn.RANK.EQ(I21, $C21:$U21) + COUNTIF($C21:I21, I21) - 1)</f>
        <v>10.541308000000001</v>
      </c>
      <c r="J10" s="27">
        <f>INDEX($C$7:$U$7, _xlfn.RANK.EQ(J21, $C21:$U21) + COUNTIF($C21:J21, J21) - 1)</f>
        <v>16.3156</v>
      </c>
      <c r="K10" s="27">
        <f>INDEX($C$7:$U$7, _xlfn.RANK.EQ(K21, $C21:$U21) + COUNTIF($C21:K21, K21) - 1)</f>
        <v>9.4432220000000004</v>
      </c>
      <c r="L10" s="27">
        <f>INDEX($C$7:$U$7, _xlfn.RANK.EQ(L21, $C21:$U21) + COUNTIF($C21:L21, L21) - 1)</f>
        <v>14.306982</v>
      </c>
      <c r="M10" s="27">
        <f>INDEX($C$7:$U$7, _xlfn.RANK.EQ(M21, $C21:$U21) + COUNTIF($C21:M21, M21) - 1)</f>
        <v>8.6142029999999998</v>
      </c>
      <c r="N10" s="27">
        <f>INDEX($C$7:$U$7, _xlfn.RANK.EQ(N21, $C21:$U21) + COUNTIF($C21:N21, N21) - 1)</f>
        <v>10.455249</v>
      </c>
      <c r="O10" s="27">
        <f>INDEX($C$7:$U$7, _xlfn.RANK.EQ(O21, $C21:$U21) + COUNTIF($C21:O21, O21) - 1)</f>
        <v>8.4420540000000006</v>
      </c>
      <c r="P10" s="27">
        <f>INDEX($C$7:$U$7, _xlfn.RANK.EQ(P21, $C21:$U21) + COUNTIF($C21:P21, P21) - 1)</f>
        <v>8.9732859999999999</v>
      </c>
      <c r="Q10" s="27">
        <f>INDEX($C$7:$U$7, _xlfn.RANK.EQ(Q21, $C21:$U21) + COUNTIF($C21:Q21, Q21) - 1)</f>
        <v>14.100669999999999</v>
      </c>
      <c r="R10" s="27">
        <f>INDEX($C$7:$U$7, _xlfn.RANK.EQ(R21, $C21:$U21) + COUNTIF($C21:R21, R21) - 1)</f>
        <v>13.477814</v>
      </c>
      <c r="S10" s="27">
        <f>INDEX($C$7:$U$7, _xlfn.RANK.EQ(S21, $C21:$U21) + COUNTIF($C21:S21, S21) - 1)</f>
        <v>5.870736</v>
      </c>
      <c r="T10" s="27">
        <f>INDEX($C$7:$U$7, _xlfn.RANK.EQ(T21, $C21:$U21) + COUNTIF($C21:T21, T21) - 1)</f>
        <v>12.567529</v>
      </c>
      <c r="U10" s="27">
        <f>INDEX($C$7:$U$7, _xlfn.RANK.EQ(U21, $C21:$U21) + COUNTIF($C21:U21, U21) - 1)</f>
        <v>11.023149</v>
      </c>
      <c r="V10" s="27">
        <f t="shared" si="1"/>
        <v>14.279576800000001</v>
      </c>
      <c r="W10" s="27">
        <f t="shared" si="2"/>
        <v>12.437918842105265</v>
      </c>
      <c r="X10" t="s">
        <v>72</v>
      </c>
    </row>
    <row r="11" spans="1:24" x14ac:dyDescent="0.3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7">
        <f t="shared" si="1"/>
        <v>11.400000000000002</v>
      </c>
      <c r="W11" s="27">
        <f t="shared" si="2"/>
        <v>11.400000000000004</v>
      </c>
    </row>
    <row r="12" spans="1:24" x14ac:dyDescent="0.35">
      <c r="A12" t="s">
        <v>79</v>
      </c>
      <c r="B12" t="s">
        <v>80</v>
      </c>
      <c r="C12" s="27">
        <v>8.0656773127944597</v>
      </c>
      <c r="D12" s="27">
        <v>12.179497010248401</v>
      </c>
      <c r="E12" s="27">
        <v>10.4021452093777</v>
      </c>
      <c r="F12" s="27">
        <v>13.518813794409299</v>
      </c>
      <c r="G12" s="27">
        <v>16.316885566837801</v>
      </c>
      <c r="H12" s="27">
        <v>8.2963173615850092</v>
      </c>
      <c r="I12" s="27">
        <v>8.2334084440403892</v>
      </c>
      <c r="J12" s="27">
        <v>8.0507265516528701</v>
      </c>
      <c r="K12" s="27">
        <v>10.939025533005399</v>
      </c>
      <c r="L12" s="27">
        <v>17.117619193537298</v>
      </c>
      <c r="M12" s="27">
        <v>15.180122066368499</v>
      </c>
      <c r="N12" s="27">
        <v>18.434952033152101</v>
      </c>
      <c r="O12" s="27">
        <v>12.0058419359474</v>
      </c>
      <c r="P12" s="27">
        <v>6.7697458167134199</v>
      </c>
      <c r="Q12" s="27">
        <v>14.549174163850401</v>
      </c>
      <c r="R12" s="27">
        <v>7.0958145122825593</v>
      </c>
      <c r="S12" s="27">
        <v>14.9052393166876</v>
      </c>
      <c r="T12" s="27">
        <v>15.428213164007099</v>
      </c>
      <c r="U12" s="27">
        <v>17.679933099266101</v>
      </c>
      <c r="V12" s="27">
        <f t="shared" si="1"/>
        <v>11.312011597748862</v>
      </c>
      <c r="W12" s="27">
        <f t="shared" si="2"/>
        <v>12.377323793987571</v>
      </c>
      <c r="X12" t="s">
        <v>82</v>
      </c>
    </row>
    <row r="13" spans="1:24" x14ac:dyDescent="0.35">
      <c r="A13" t="s">
        <v>81</v>
      </c>
      <c r="B13" t="s">
        <v>80</v>
      </c>
      <c r="C13" s="27">
        <v>13.6721827614197</v>
      </c>
      <c r="D13" s="27">
        <v>12.666445529103701</v>
      </c>
      <c r="E13" s="27">
        <v>8.2123208856145009</v>
      </c>
      <c r="F13" s="27">
        <v>7.2985106981092596</v>
      </c>
      <c r="G13" s="27">
        <v>8.9240344766710908</v>
      </c>
      <c r="H13" s="27">
        <v>12.2239805462057</v>
      </c>
      <c r="I13" s="27">
        <v>12.116028475951</v>
      </c>
      <c r="J13" s="27">
        <v>9.3868894956851907</v>
      </c>
      <c r="K13" s="27">
        <v>5.7100895102609304</v>
      </c>
      <c r="L13" s="27">
        <v>7.6367030909024995</v>
      </c>
      <c r="M13" s="27">
        <v>17.908698431934599</v>
      </c>
      <c r="N13" s="27">
        <v>17.3439222124933</v>
      </c>
      <c r="O13" s="27">
        <v>16.712138882108398</v>
      </c>
      <c r="P13" s="27">
        <v>10.8627427743835</v>
      </c>
      <c r="Q13" s="27">
        <v>18.956338967251</v>
      </c>
      <c r="R13" s="27">
        <v>22.2800107884749</v>
      </c>
      <c r="S13" s="27">
        <v>19.616776674012698</v>
      </c>
      <c r="T13" s="27">
        <v>14.694013971958199</v>
      </c>
      <c r="U13" s="27">
        <v>13.8158034044588</v>
      </c>
      <c r="V13" s="27">
        <f t="shared" si="1"/>
        <v>9.7847185469923588</v>
      </c>
      <c r="W13" s="27">
        <f t="shared" si="2"/>
        <v>13.159875346157838</v>
      </c>
      <c r="X13" t="s">
        <v>82</v>
      </c>
    </row>
    <row r="14" spans="1:24" x14ac:dyDescent="0.35">
      <c r="A14" t="s">
        <v>78</v>
      </c>
      <c r="B14" t="s">
        <v>80</v>
      </c>
      <c r="C14" s="27">
        <v>8.6387119999999999</v>
      </c>
      <c r="D14" s="27">
        <v>16.724910999999999</v>
      </c>
      <c r="E14" s="27">
        <v>23.729841</v>
      </c>
      <c r="F14" s="27">
        <v>24.177980999999999</v>
      </c>
      <c r="G14" s="27">
        <v>21.044574999999998</v>
      </c>
      <c r="H14" s="27">
        <v>22.368445000000001</v>
      </c>
      <c r="I14" s="27">
        <v>16.596464999999998</v>
      </c>
      <c r="J14" s="27">
        <v>11.668810000000001</v>
      </c>
      <c r="K14" s="27">
        <v>9.5522320000000001</v>
      </c>
      <c r="L14" s="27">
        <v>8.9740110000000008</v>
      </c>
      <c r="M14" s="27">
        <v>12.344601000000001</v>
      </c>
      <c r="N14" s="27">
        <v>11.068530000000001</v>
      </c>
      <c r="O14" s="27">
        <v>18.697527999999998</v>
      </c>
      <c r="P14" s="27">
        <v>10.611249000000001</v>
      </c>
      <c r="Q14" s="27">
        <v>19.872761000000001</v>
      </c>
      <c r="R14" s="27">
        <v>14.052944999999999</v>
      </c>
      <c r="S14" s="27">
        <v>21.184925</v>
      </c>
      <c r="T14" s="27">
        <v>16.968572999999999</v>
      </c>
      <c r="U14" s="27">
        <v>16.452831</v>
      </c>
      <c r="V14" s="27">
        <f t="shared" ref="V14" si="4">AVERAGE(C14:L14)</f>
        <v>16.347598299999998</v>
      </c>
      <c r="W14" s="27">
        <f t="shared" ref="W14" si="5">AVERAGE(C14:U14)</f>
        <v>16.038417157894738</v>
      </c>
      <c r="X14" t="s">
        <v>71</v>
      </c>
    </row>
    <row r="15" spans="1:24" x14ac:dyDescent="0.35">
      <c r="A15" t="s">
        <v>85</v>
      </c>
      <c r="B15" t="s">
        <v>73</v>
      </c>
      <c r="C15" s="27">
        <f>INDEX($C$14:$U$14, _xlfn.RANK.EQ(C19, $C19:$U19) + COUNTIF($C19:C19, C19) - 1)</f>
        <v>16.596464999999998</v>
      </c>
      <c r="D15" s="27">
        <f>INDEX($C$14:$U$14, _xlfn.RANK.EQ(D19, $C19:$U19) + COUNTIF($C19:D19, D19) - 1)</f>
        <v>12.344601000000001</v>
      </c>
      <c r="E15" s="27">
        <f>INDEX($C$14:$U$14, _xlfn.RANK.EQ(E19, $C19:$U19) + COUNTIF($C19:E19, E19) - 1)</f>
        <v>24.177980999999999</v>
      </c>
      <c r="F15" s="27">
        <f>INDEX($C$14:$U$14, _xlfn.RANK.EQ(F19, $C19:$U19) + COUNTIF($C19:F19, F19) - 1)</f>
        <v>23.729841</v>
      </c>
      <c r="G15" s="27">
        <f>INDEX($C$14:$U$14, _xlfn.RANK.EQ(G19, $C19:$U19) + COUNTIF($C19:G19, G19) - 1)</f>
        <v>19.872761000000001</v>
      </c>
      <c r="H15" s="27">
        <f>INDEX($C$14:$U$14, _xlfn.RANK.EQ(H19, $C19:$U19) + COUNTIF($C19:H19, H19) - 1)</f>
        <v>8.6387119999999999</v>
      </c>
      <c r="I15" s="27">
        <f>INDEX($C$14:$U$14, _xlfn.RANK.EQ(I19, $C19:$U19) + COUNTIF($C19:I19, I19) - 1)</f>
        <v>22.368445000000001</v>
      </c>
      <c r="J15" s="27">
        <f>INDEX($C$14:$U$14, _xlfn.RANK.EQ(J19, $C19:$U19) + COUNTIF($C19:J19, J19) - 1)</f>
        <v>21.044574999999998</v>
      </c>
      <c r="K15" s="27">
        <f>INDEX($C$14:$U$14, _xlfn.RANK.EQ(K19, $C19:$U19) + COUNTIF($C19:K19, K19) - 1)</f>
        <v>11.068530000000001</v>
      </c>
      <c r="L15" s="27">
        <f>INDEX($C$14:$U$14, _xlfn.RANK.EQ(L19, $C19:$U19) + COUNTIF($C19:L19, L19) - 1)</f>
        <v>11.668810000000001</v>
      </c>
      <c r="M15" s="27">
        <f>INDEX($C$14:$U$14, _xlfn.RANK.EQ(M19, $C19:$U19) + COUNTIF($C19:M19, M19) - 1)</f>
        <v>8.9740110000000008</v>
      </c>
      <c r="N15" s="27">
        <f>INDEX($C$14:$U$14, _xlfn.RANK.EQ(N19, $C19:$U19) + COUNTIF($C19:N19, N19) - 1)</f>
        <v>16.724910999999999</v>
      </c>
      <c r="O15" s="27">
        <f>INDEX($C$14:$U$14, _xlfn.RANK.EQ(O19, $C19:$U19) + COUNTIF($C19:O19, O19) - 1)</f>
        <v>18.697527999999998</v>
      </c>
      <c r="P15" s="27">
        <f>INDEX($C$14:$U$14, _xlfn.RANK.EQ(P19, $C19:$U19) + COUNTIF($C19:P19, P19) - 1)</f>
        <v>10.611249000000001</v>
      </c>
      <c r="Q15" s="27">
        <f>INDEX($C$14:$U$14, _xlfn.RANK.EQ(Q19, $C19:$U19) + COUNTIF($C19:Q19, Q19) - 1)</f>
        <v>16.968572999999999</v>
      </c>
      <c r="R15" s="27">
        <f>INDEX($C$14:$U$14, _xlfn.RANK.EQ(R19, $C19:$U19) + COUNTIF($C19:R19, R19) - 1)</f>
        <v>9.5522320000000001</v>
      </c>
      <c r="S15" s="27">
        <f>INDEX($C$14:$U$14, _xlfn.RANK.EQ(S19, $C19:$U19) + COUNTIF($C19:S19, S19) - 1)</f>
        <v>21.184925</v>
      </c>
      <c r="T15" s="27">
        <f>INDEX($C$14:$U$14, _xlfn.RANK.EQ(T19, $C19:$U19) + COUNTIF($C19:T19, T19) - 1)</f>
        <v>14.052944999999999</v>
      </c>
      <c r="U15" s="27">
        <f>INDEX($C$14:$U$14, _xlfn.RANK.EQ(U19, $C19:$U19) + COUNTIF($C19:U19, U19) - 1)</f>
        <v>16.452831</v>
      </c>
      <c r="V15" s="27">
        <f t="shared" ref="V15:V16" si="6">AVERAGE(C15:L15)</f>
        <v>17.1510721</v>
      </c>
      <c r="W15" s="27">
        <f t="shared" ref="W15:W16" si="7">AVERAGE(C15:U15)</f>
        <v>16.038417157894738</v>
      </c>
      <c r="X15" t="s">
        <v>72</v>
      </c>
    </row>
    <row r="16" spans="1:24" x14ac:dyDescent="0.35">
      <c r="A16" t="s">
        <v>85</v>
      </c>
      <c r="B16" t="s">
        <v>74</v>
      </c>
      <c r="C16" s="27">
        <f>INDEX($C$14:$U$14, _xlfn.RANK.EQ(C20, $C20:$U20) + COUNTIF($C20:C20, C20) - 1)</f>
        <v>22.368445000000001</v>
      </c>
      <c r="D16" s="27">
        <f>INDEX($C$14:$U$14, _xlfn.RANK.EQ(D20, $C20:$U20) + COUNTIF($C20:D20, D20) - 1)</f>
        <v>8.6387119999999999</v>
      </c>
      <c r="E16" s="27">
        <f>INDEX($C$14:$U$14, _xlfn.RANK.EQ(E20, $C20:$U20) + COUNTIF($C20:E20, E20) - 1)</f>
        <v>19.872761000000001</v>
      </c>
      <c r="F16" s="27">
        <f>INDEX($C$14:$U$14, _xlfn.RANK.EQ(F20, $C20:$U20) + COUNTIF($C20:F20, F20) - 1)</f>
        <v>8.9740110000000008</v>
      </c>
      <c r="G16" s="27">
        <f>INDEX($C$14:$U$14, _xlfn.RANK.EQ(G20, $C20:$U20) + COUNTIF($C20:G20, G20) - 1)</f>
        <v>16.452831</v>
      </c>
      <c r="H16" s="27">
        <f>INDEX($C$14:$U$14, _xlfn.RANK.EQ(H20, $C20:$U20) + COUNTIF($C20:H20, H20) - 1)</f>
        <v>12.344601000000001</v>
      </c>
      <c r="I16" s="27">
        <f>INDEX($C$14:$U$14, _xlfn.RANK.EQ(I20, $C20:$U20) + COUNTIF($C20:I20, I20) - 1)</f>
        <v>24.177980999999999</v>
      </c>
      <c r="J16" s="27">
        <f>INDEX($C$14:$U$14, _xlfn.RANK.EQ(J20, $C20:$U20) + COUNTIF($C20:J20, J20) - 1)</f>
        <v>23.729841</v>
      </c>
      <c r="K16" s="27">
        <f>INDEX($C$14:$U$14, _xlfn.RANK.EQ(K20, $C20:$U20) + COUNTIF($C20:K20, K20) - 1)</f>
        <v>14.052944999999999</v>
      </c>
      <c r="L16" s="27">
        <f>INDEX($C$14:$U$14, _xlfn.RANK.EQ(L20, $C20:$U20) + COUNTIF($C20:L20, L20) - 1)</f>
        <v>16.724910999999999</v>
      </c>
      <c r="M16" s="27">
        <f>INDEX($C$14:$U$14, _xlfn.RANK.EQ(M20, $C20:$U20) + COUNTIF($C20:M20, M20) - 1)</f>
        <v>18.697527999999998</v>
      </c>
      <c r="N16" s="27">
        <f>INDEX($C$14:$U$14, _xlfn.RANK.EQ(N20, $C20:$U20) + COUNTIF($C20:N20, N20) - 1)</f>
        <v>16.968572999999999</v>
      </c>
      <c r="O16" s="27">
        <f>INDEX($C$14:$U$14, _xlfn.RANK.EQ(O20, $C20:$U20) + COUNTIF($C20:O20, O20) - 1)</f>
        <v>11.068530000000001</v>
      </c>
      <c r="P16" s="27">
        <f>INDEX($C$14:$U$14, _xlfn.RANK.EQ(P20, $C20:$U20) + COUNTIF($C20:P20, P20) - 1)</f>
        <v>11.668810000000001</v>
      </c>
      <c r="Q16" s="27">
        <f>INDEX($C$14:$U$14, _xlfn.RANK.EQ(Q20, $C20:$U20) + COUNTIF($C20:Q20, Q20) - 1)</f>
        <v>10.611249000000001</v>
      </c>
      <c r="R16" s="27">
        <f>INDEX($C$14:$U$14, _xlfn.RANK.EQ(R20, $C20:$U20) + COUNTIF($C20:R20, R20) - 1)</f>
        <v>16.596464999999998</v>
      </c>
      <c r="S16" s="27">
        <f>INDEX($C$14:$U$14, _xlfn.RANK.EQ(S20, $C20:$U20) + COUNTIF($C20:S20, S20) - 1)</f>
        <v>21.184925</v>
      </c>
      <c r="T16" s="27">
        <f>INDEX($C$14:$U$14, _xlfn.RANK.EQ(T20, $C20:$U20) + COUNTIF($C20:T20, T20) - 1)</f>
        <v>21.044574999999998</v>
      </c>
      <c r="U16" s="27">
        <f>INDEX($C$14:$U$14, _xlfn.RANK.EQ(U20, $C20:$U20) + COUNTIF($C20:U20, U20) - 1)</f>
        <v>9.5522320000000001</v>
      </c>
      <c r="V16" s="27">
        <f t="shared" si="6"/>
        <v>16.733703900000002</v>
      </c>
      <c r="W16" s="27">
        <f t="shared" si="7"/>
        <v>16.038417157894738</v>
      </c>
      <c r="X16" t="s">
        <v>72</v>
      </c>
    </row>
    <row r="18" spans="1:21" x14ac:dyDescent="0.35">
      <c r="A18" s="1" t="s">
        <v>91</v>
      </c>
    </row>
    <row r="19" spans="1:21" x14ac:dyDescent="0.35">
      <c r="A19" t="s">
        <v>68</v>
      </c>
      <c r="C19" s="28">
        <v>0.67644387335744371</v>
      </c>
      <c r="D19" s="28">
        <v>0.47418579468589028</v>
      </c>
      <c r="E19" s="28">
        <v>0.79191284201733858</v>
      </c>
      <c r="F19" s="28">
        <v>0.85845050624319708</v>
      </c>
      <c r="G19" s="28">
        <v>0.29119580343142981</v>
      </c>
      <c r="H19" s="28">
        <v>0.96698220369983379</v>
      </c>
      <c r="I19" s="28">
        <v>0.71660723236774859</v>
      </c>
      <c r="J19" s="28">
        <v>0.76657250740819849</v>
      </c>
      <c r="K19" s="28">
        <v>0.37210589764212265</v>
      </c>
      <c r="L19" s="28">
        <v>0.67238760239552131</v>
      </c>
      <c r="M19" s="28">
        <v>0.54861280840425941</v>
      </c>
      <c r="N19" s="28">
        <v>0.93847094237556061</v>
      </c>
      <c r="O19" s="28">
        <v>0.37036993145978159</v>
      </c>
      <c r="P19" s="28">
        <v>0.37012384678989274</v>
      </c>
      <c r="Q19" s="28">
        <v>5.0129257600194155E-2</v>
      </c>
      <c r="R19" s="28">
        <v>0.66224607523003343</v>
      </c>
      <c r="S19" s="28">
        <v>7.3598766477379618E-2</v>
      </c>
      <c r="T19" s="28">
        <v>0.14075741794709939</v>
      </c>
      <c r="U19" s="28">
        <v>4.0761876740060932E-2</v>
      </c>
    </row>
    <row r="20" spans="1:21" x14ac:dyDescent="0.35">
      <c r="A20" t="s">
        <v>69</v>
      </c>
      <c r="C20" s="28">
        <v>0.71178139473095614</v>
      </c>
      <c r="D20" s="28">
        <v>0.90508858194637953</v>
      </c>
      <c r="E20" s="28">
        <v>0.17598711058710848</v>
      </c>
      <c r="F20" s="28">
        <v>0.46040924842222275</v>
      </c>
      <c r="G20" s="28">
        <v>1.1082729617274412E-3</v>
      </c>
      <c r="H20" s="28">
        <v>0.4469646580924429</v>
      </c>
      <c r="I20" s="28">
        <v>0.76533202050878746</v>
      </c>
      <c r="J20" s="28">
        <v>0.83884971961311028</v>
      </c>
      <c r="K20" s="28">
        <v>0.13861192500449215</v>
      </c>
      <c r="L20" s="28">
        <v>0.86445706016894996</v>
      </c>
      <c r="M20" s="28">
        <v>0.27880519114550062</v>
      </c>
      <c r="N20" s="28">
        <v>4.9331580912537532E-2</v>
      </c>
      <c r="O20" s="28">
        <v>0.44358552686154573</v>
      </c>
      <c r="P20" s="28">
        <v>0.51627460025941363</v>
      </c>
      <c r="Q20" s="28">
        <v>0.19589373219881623</v>
      </c>
      <c r="R20" s="28">
        <v>0.57711767229760702</v>
      </c>
      <c r="S20" s="28">
        <v>0.11578704812173612</v>
      </c>
      <c r="T20" s="28">
        <v>0.75445830147475079</v>
      </c>
      <c r="U20" s="28">
        <v>0.50908150625985971</v>
      </c>
    </row>
    <row r="21" spans="1:21" x14ac:dyDescent="0.35">
      <c r="A21" t="s">
        <v>70</v>
      </c>
      <c r="C21" s="28">
        <v>0.49942177488685924</v>
      </c>
      <c r="D21" s="28">
        <v>0.73533205529292978</v>
      </c>
      <c r="E21" s="28">
        <v>3.6281905650776269E-2</v>
      </c>
      <c r="F21" s="28">
        <v>0.51032194818600674</v>
      </c>
      <c r="G21" s="28">
        <v>0.72301799545372614</v>
      </c>
      <c r="H21" s="28">
        <v>0.18140139614899009</v>
      </c>
      <c r="I21" s="28">
        <v>0.96487922099534429</v>
      </c>
      <c r="J21" s="28">
        <v>0.58598497382130921</v>
      </c>
      <c r="K21" s="28">
        <v>0.81220936811505928</v>
      </c>
      <c r="L21" s="28">
        <v>0.56799175094937815</v>
      </c>
      <c r="M21" s="28">
        <v>1.6868147569877312E-3</v>
      </c>
      <c r="N21" s="28">
        <v>0.81525247724513761</v>
      </c>
      <c r="O21" s="28">
        <v>0.43869003462286138</v>
      </c>
      <c r="P21" s="28">
        <v>0.41310932122101518</v>
      </c>
      <c r="Q21" s="28">
        <v>0.31390513036414502</v>
      </c>
      <c r="R21" s="28">
        <v>8.330275026684264E-2</v>
      </c>
      <c r="S21" s="28">
        <v>0.8318657658083044</v>
      </c>
      <c r="T21" s="28">
        <v>0.65077408918348401</v>
      </c>
      <c r="U21" s="28">
        <v>0.92682339319863516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topLeftCell="L3" zoomScale="170" zoomScaleNormal="170" workbookViewId="0">
      <selection activeCell="G6" sqref="G6"/>
    </sheetView>
  </sheetViews>
  <sheetFormatPr defaultRowHeight="14.5" x14ac:dyDescent="0.35"/>
  <cols>
    <col min="1" max="1" width="10.81640625" style="83" customWidth="1"/>
    <col min="2" max="2" width="12.7265625" style="83" customWidth="1"/>
    <col min="3" max="3" width="9.453125" style="83" customWidth="1"/>
    <col min="4" max="4" width="46.26953125" style="83" customWidth="1"/>
    <col min="5" max="5" width="14.453125" style="116" customWidth="1"/>
    <col min="6" max="6" width="10.54296875" style="2" customWidth="1"/>
    <col min="7" max="7" width="10.54296875" style="27" customWidth="1"/>
  </cols>
  <sheetData>
    <row r="1" spans="1:9" x14ac:dyDescent="0.35">
      <c r="A1" s="82" t="s">
        <v>257</v>
      </c>
    </row>
    <row r="2" spans="1:9" x14ac:dyDescent="0.35">
      <c r="A2" s="83" t="s">
        <v>258</v>
      </c>
    </row>
    <row r="3" spans="1:9" x14ac:dyDescent="0.35">
      <c r="I3" s="1" t="s">
        <v>392</v>
      </c>
    </row>
    <row r="4" spans="1:9" s="76" customFormat="1" ht="43.5" x14ac:dyDescent="0.35">
      <c r="A4" s="54" t="s">
        <v>259</v>
      </c>
      <c r="B4" s="54" t="s">
        <v>264</v>
      </c>
      <c r="C4" s="54" t="s">
        <v>265</v>
      </c>
      <c r="D4" s="55" t="s">
        <v>260</v>
      </c>
      <c r="E4" s="54" t="s">
        <v>285</v>
      </c>
      <c r="F4" s="54" t="s">
        <v>286</v>
      </c>
      <c r="G4" s="163" t="s">
        <v>345</v>
      </c>
    </row>
    <row r="5" spans="1:9" s="76" customFormat="1" ht="58" x14ac:dyDescent="0.35">
      <c r="A5" s="88">
        <f>'Powell-Elevation-Area'!A5</f>
        <v>3370</v>
      </c>
      <c r="B5" s="104" t="s">
        <v>273</v>
      </c>
      <c r="C5" s="89" t="s">
        <v>267</v>
      </c>
      <c r="D5" s="90" t="str">
        <f>D7</f>
        <v>Highest uncertainty for native fish. Also represent a substantial risk to the tailwater trout fishery, as sustained temperatures of 19oC or higher are unsuitable for trout.</v>
      </c>
      <c r="E5" s="117" t="s">
        <v>288</v>
      </c>
      <c r="F5" s="117" t="s">
        <v>287</v>
      </c>
      <c r="G5" s="164">
        <f>VLOOKUP(A5,'Powell-Elevation-Area'!$A$5:$B$689,2)/1000000</f>
        <v>0</v>
      </c>
    </row>
    <row r="6" spans="1:9" s="76" customFormat="1" ht="58" x14ac:dyDescent="0.35">
      <c r="A6" s="85">
        <v>3425</v>
      </c>
      <c r="B6" s="86" t="str">
        <f>B7</f>
        <v>&gt; 18</v>
      </c>
      <c r="C6" s="86" t="s">
        <v>267</v>
      </c>
      <c r="D6" s="87" t="str">
        <f>D7</f>
        <v>Highest uncertainty for native fish. Also represent a substantial risk to the tailwater trout fishery, as sustained temperatures of 19oC or higher are unsuitable for trout.</v>
      </c>
      <c r="E6" s="117" t="str">
        <f>E5</f>
        <v>Highly uncertain</v>
      </c>
      <c r="F6" s="117" t="s">
        <v>287</v>
      </c>
      <c r="G6" s="164">
        <f>VLOOKUP(A6,'Powell-Elevation-Area'!$A$5:$B$689,2)/1000000</f>
        <v>1.40786875</v>
      </c>
    </row>
    <row r="7" spans="1:9" s="76" customFormat="1" ht="58" x14ac:dyDescent="0.35">
      <c r="A7" s="91">
        <v>3490</v>
      </c>
      <c r="B7" s="92" t="s">
        <v>273</v>
      </c>
      <c r="C7" s="92" t="s">
        <v>266</v>
      </c>
      <c r="D7" s="93" t="s">
        <v>263</v>
      </c>
      <c r="E7" s="118" t="str">
        <f>E6</f>
        <v>Highly uncertain</v>
      </c>
      <c r="F7" s="117" t="s">
        <v>287</v>
      </c>
      <c r="G7" s="164">
        <f>VLOOKUP(A7,'Powell-Elevation-Area'!$A$5:$B$689,2)/1000000</f>
        <v>3.9971625</v>
      </c>
    </row>
    <row r="8" spans="1:9" ht="72.5" x14ac:dyDescent="0.35">
      <c r="A8" s="94">
        <v>3525</v>
      </c>
      <c r="B8" s="95" t="s">
        <v>272</v>
      </c>
      <c r="C8" s="95" t="s">
        <v>266</v>
      </c>
      <c r="D8" s="96" t="s">
        <v>262</v>
      </c>
      <c r="E8" s="119" t="s">
        <v>289</v>
      </c>
      <c r="F8" s="119" t="s">
        <v>292</v>
      </c>
      <c r="G8" s="165">
        <f>VLOOKUP(A8,'Powell-Elevation-Area'!$A$5:$B$689,2)/1000000</f>
        <v>5.9265762500000001</v>
      </c>
    </row>
    <row r="9" spans="1:9" ht="43.5" x14ac:dyDescent="0.35">
      <c r="A9" s="97">
        <v>3600</v>
      </c>
      <c r="B9" s="98" t="s">
        <v>271</v>
      </c>
      <c r="C9" s="98" t="s">
        <v>266</v>
      </c>
      <c r="D9" s="99" t="s">
        <v>281</v>
      </c>
      <c r="E9" s="120" t="s">
        <v>282</v>
      </c>
      <c r="F9" s="120" t="str">
        <f>F8</f>
        <v>Help grow + incubate</v>
      </c>
      <c r="G9" s="166">
        <f>VLOOKUP(A9,'Powell-Elevation-Area'!$A$5:$B$689,2)/1000000</f>
        <v>11.750075000000001</v>
      </c>
    </row>
    <row r="10" spans="1:9" ht="101.5" x14ac:dyDescent="0.35">
      <c r="A10" s="100">
        <v>3675</v>
      </c>
      <c r="B10" s="101" t="s">
        <v>270</v>
      </c>
      <c r="C10" s="101" t="s">
        <v>266</v>
      </c>
      <c r="D10" s="102" t="s">
        <v>261</v>
      </c>
      <c r="E10" s="121" t="s">
        <v>291</v>
      </c>
      <c r="F10" s="121" t="s">
        <v>293</v>
      </c>
      <c r="G10" s="167">
        <f>VLOOKUP(A10,'Powell-Elevation-Area'!$A$5:$B$689,2)/1000000</f>
        <v>20.539037499999999</v>
      </c>
    </row>
    <row r="11" spans="1:9" ht="101.5" x14ac:dyDescent="0.35">
      <c r="A11" s="100">
        <v>3700</v>
      </c>
      <c r="B11" s="101" t="str">
        <f>B10</f>
        <v>&lt; 12</v>
      </c>
      <c r="C11" s="101" t="s">
        <v>266</v>
      </c>
      <c r="D11" s="103"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21" t="str">
        <f>E10</f>
        <v>Help grow, reproduce, and survive</v>
      </c>
      <c r="F11" s="121" t="s">
        <v>293</v>
      </c>
      <c r="G11" s="167">
        <f>VLOOKUP(A11,'Powell-Elevation-Area'!$A$5:$B$689,2)/1000000</f>
        <v>24.322365000000001</v>
      </c>
    </row>
    <row r="13" spans="1:9" ht="16.5" x14ac:dyDescent="0.35">
      <c r="D13" s="84"/>
    </row>
    <row r="14" spans="1:9" ht="16.5" x14ac:dyDescent="0.35">
      <c r="D14" s="84"/>
    </row>
    <row r="15" spans="1:9" ht="16.5" x14ac:dyDescent="0.35">
      <c r="D15" s="84"/>
    </row>
  </sheetData>
  <conditionalFormatting sqref="B5">
    <cfRule type="cellIs" dxfId="26" priority="1" operator="equal">
      <formula>$B$7</formula>
    </cfRule>
    <cfRule type="cellIs" dxfId="25" priority="2" operator="equal">
      <formula>$B$8</formula>
    </cfRule>
    <cfRule type="cellIs" dxfId="24" priority="3" operator="equal">
      <formula>$B$9</formula>
    </cfRule>
    <cfRule type="cellIs" dxfId="23" priority="4" operator="equal">
      <formula>$B$10</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13</v>
      </c>
    </row>
    <row r="2" spans="1:19" x14ac:dyDescent="0.35">
      <c r="A2" t="s">
        <v>14</v>
      </c>
    </row>
    <row r="4" spans="1:19" x14ac:dyDescent="0.35">
      <c r="A4" s="3" t="s">
        <v>15</v>
      </c>
      <c r="B4" s="3" t="s">
        <v>16</v>
      </c>
      <c r="C4" s="3" t="s">
        <v>17</v>
      </c>
      <c r="D4" s="3" t="s">
        <v>18</v>
      </c>
      <c r="E4" s="4" t="s">
        <v>19</v>
      </c>
      <c r="G4" s="3" t="s">
        <v>20</v>
      </c>
      <c r="H4" s="3" t="s">
        <v>21</v>
      </c>
      <c r="J4" s="3" t="s">
        <v>22</v>
      </c>
    </row>
    <row r="5" spans="1:19" x14ac:dyDescent="0.35">
      <c r="A5" s="5">
        <v>3370</v>
      </c>
      <c r="B5" s="6">
        <v>0</v>
      </c>
      <c r="C5" s="6">
        <v>1895000</v>
      </c>
      <c r="D5" s="6">
        <v>20303</v>
      </c>
      <c r="E5" s="2">
        <v>1</v>
      </c>
      <c r="G5" s="7">
        <f>C5</f>
        <v>1895000</v>
      </c>
      <c r="H5" s="8">
        <f>A5</f>
        <v>3370</v>
      </c>
      <c r="J5" t="s">
        <v>23</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24</v>
      </c>
      <c r="K7" t="s">
        <v>18</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25</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118</v>
      </c>
    </row>
    <row r="2" spans="1:13" x14ac:dyDescent="0.35">
      <c r="A2" t="s">
        <v>14</v>
      </c>
    </row>
    <row r="3" spans="1:13" x14ac:dyDescent="0.35">
      <c r="C3">
        <v>2035000</v>
      </c>
    </row>
    <row r="4" spans="1:13" x14ac:dyDescent="0.35">
      <c r="A4" s="3" t="s">
        <v>15</v>
      </c>
      <c r="B4" s="3" t="s">
        <v>16</v>
      </c>
      <c r="C4" s="3" t="s">
        <v>17</v>
      </c>
      <c r="D4" s="3" t="s">
        <v>18</v>
      </c>
      <c r="E4" s="4" t="s">
        <v>19</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34">
        <v>60736</v>
      </c>
      <c r="C9" s="6">
        <f t="shared" si="0"/>
        <v>2095736</v>
      </c>
      <c r="D9" s="6">
        <v>30563.999999899999</v>
      </c>
      <c r="E9" s="2">
        <v>5</v>
      </c>
      <c r="H9" s="8">
        <f t="shared" si="1"/>
        <v>897</v>
      </c>
    </row>
    <row r="10" spans="1:13" x14ac:dyDescent="0.35">
      <c r="A10" s="5">
        <v>897.5</v>
      </c>
      <c r="B10" s="34">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4.5" x14ac:dyDescent="0.35"/>
  <cols>
    <col min="1" max="1" width="41.81640625" customWidth="1"/>
    <col min="2" max="2" width="7.81640625" customWidth="1"/>
    <col min="3" max="3" width="8" style="2" customWidth="1"/>
    <col min="4" max="4" width="7.54296875" customWidth="1"/>
    <col min="5" max="5" width="7.26953125" customWidth="1"/>
    <col min="6" max="6" width="7.54296875" customWidth="1"/>
    <col min="7" max="7" width="7.1796875" customWidth="1"/>
    <col min="8" max="8" width="7.453125" hidden="1" customWidth="1"/>
    <col min="9" max="9" width="7.7265625" hidden="1" customWidth="1"/>
    <col min="10" max="12" width="8.7265625" hidden="1" customWidth="1"/>
    <col min="14" max="14" width="12.26953125" customWidth="1"/>
    <col min="15" max="15" width="13" customWidth="1"/>
    <col min="16" max="16" width="9.81640625" customWidth="1"/>
    <col min="17" max="17" width="10.81640625" customWidth="1"/>
    <col min="18" max="18" width="21.54296875" customWidth="1"/>
  </cols>
  <sheetData>
    <row r="1" spans="1:11" x14ac:dyDescent="0.35">
      <c r="A1" s="1" t="s">
        <v>106</v>
      </c>
      <c r="B1" s="1"/>
    </row>
    <row r="2" spans="1:11" x14ac:dyDescent="0.35">
      <c r="A2" s="1"/>
      <c r="B2" s="1"/>
    </row>
    <row r="3" spans="1:11" ht="16.5" customHeight="1" x14ac:dyDescent="0.35">
      <c r="A3" s="25" t="s">
        <v>50</v>
      </c>
      <c r="B3" s="25"/>
      <c r="C3" s="25"/>
      <c r="D3" s="25"/>
      <c r="E3" s="25"/>
      <c r="F3" s="25"/>
      <c r="G3" s="25"/>
      <c r="H3" s="25"/>
      <c r="I3" s="25"/>
      <c r="J3" s="25"/>
      <c r="K3" s="25"/>
    </row>
    <row r="4" spans="1:11" x14ac:dyDescent="0.35">
      <c r="A4" s="16" t="s">
        <v>38</v>
      </c>
      <c r="B4" s="13" t="s">
        <v>42</v>
      </c>
      <c r="C4" s="1" t="s">
        <v>43</v>
      </c>
    </row>
    <row r="5" spans="1:11" x14ac:dyDescent="0.35">
      <c r="A5" s="26" t="s">
        <v>51</v>
      </c>
      <c r="B5" s="44"/>
      <c r="C5" s="268"/>
      <c r="D5" s="268"/>
      <c r="E5" s="268"/>
      <c r="F5" s="268"/>
      <c r="G5" s="268"/>
      <c r="H5" s="268"/>
    </row>
    <row r="6" spans="1:11" x14ac:dyDescent="0.35">
      <c r="A6" s="15" t="s">
        <v>39</v>
      </c>
      <c r="B6" s="44"/>
      <c r="C6" s="268"/>
      <c r="D6" s="268"/>
      <c r="E6" s="268"/>
      <c r="F6" s="268"/>
      <c r="G6" s="268"/>
      <c r="H6" s="268"/>
    </row>
    <row r="7" spans="1:11" x14ac:dyDescent="0.35">
      <c r="A7" s="15" t="s">
        <v>40</v>
      </c>
      <c r="B7" s="44"/>
      <c r="C7" s="268"/>
      <c r="D7" s="268"/>
      <c r="E7" s="268"/>
      <c r="F7" s="268"/>
      <c r="G7" s="268"/>
      <c r="H7" s="268"/>
    </row>
    <row r="8" spans="1:11" x14ac:dyDescent="0.35">
      <c r="A8" s="15" t="s">
        <v>41</v>
      </c>
      <c r="B8" s="44"/>
      <c r="C8" s="268"/>
      <c r="D8" s="268"/>
      <c r="E8" s="268"/>
      <c r="F8" s="268"/>
      <c r="G8" s="268"/>
      <c r="H8" s="268"/>
    </row>
    <row r="9" spans="1:11" x14ac:dyDescent="0.35">
      <c r="A9" s="15"/>
      <c r="B9" s="2"/>
      <c r="C9"/>
    </row>
    <row r="10" spans="1:11" x14ac:dyDescent="0.35">
      <c r="A10" s="18" t="s">
        <v>45</v>
      </c>
      <c r="B10" s="2"/>
      <c r="C10"/>
    </row>
    <row r="11" spans="1:11" x14ac:dyDescent="0.35">
      <c r="A11" s="19" t="s">
        <v>52</v>
      </c>
    </row>
    <row r="12" spans="1:11" x14ac:dyDescent="0.35">
      <c r="A12" s="21" t="s">
        <v>47</v>
      </c>
      <c r="B12" s="18"/>
    </row>
    <row r="13" spans="1:11" x14ac:dyDescent="0.35">
      <c r="A13" s="20" t="s">
        <v>46</v>
      </c>
    </row>
    <row r="15" spans="1:11" x14ac:dyDescent="0.35">
      <c r="A15" s="1" t="s">
        <v>53</v>
      </c>
      <c r="D15" s="19"/>
    </row>
    <row r="17" spans="1:13" x14ac:dyDescent="0.35">
      <c r="A17" s="1" t="s">
        <v>32</v>
      </c>
      <c r="B17" s="1" t="s">
        <v>108</v>
      </c>
      <c r="C17" s="13" t="s">
        <v>109</v>
      </c>
    </row>
    <row r="18" spans="1:13" x14ac:dyDescent="0.35">
      <c r="A18" t="s">
        <v>107</v>
      </c>
      <c r="B18" s="12">
        <v>5.73</v>
      </c>
      <c r="C18" s="12">
        <v>6</v>
      </c>
      <c r="D18" s="22" t="s">
        <v>138</v>
      </c>
    </row>
    <row r="19" spans="1:13" x14ac:dyDescent="0.35">
      <c r="A19" t="s">
        <v>33</v>
      </c>
      <c r="B19" s="12">
        <v>11</v>
      </c>
      <c r="C19" s="12">
        <v>10.1</v>
      </c>
      <c r="D19" s="11" t="s">
        <v>34</v>
      </c>
    </row>
    <row r="21" spans="1:13" s="1" customFormat="1" x14ac:dyDescent="0.35">
      <c r="A21" s="1" t="s">
        <v>35</v>
      </c>
      <c r="B21" s="1" t="s">
        <v>48</v>
      </c>
      <c r="C21" s="13" t="s">
        <v>5</v>
      </c>
      <c r="D21" s="13" t="s">
        <v>6</v>
      </c>
      <c r="E21" s="13" t="s">
        <v>7</v>
      </c>
      <c r="F21" s="13" t="s">
        <v>8</v>
      </c>
      <c r="G21" s="13" t="s">
        <v>9</v>
      </c>
      <c r="H21" s="13" t="s">
        <v>10</v>
      </c>
      <c r="I21" s="13" t="s">
        <v>11</v>
      </c>
      <c r="J21" s="13" t="s">
        <v>12</v>
      </c>
      <c r="K21" s="13" t="s">
        <v>36</v>
      </c>
      <c r="L21" s="13" t="s">
        <v>37</v>
      </c>
      <c r="M21" s="13" t="s">
        <v>105</v>
      </c>
    </row>
    <row r="22" spans="1:13" x14ac:dyDescent="0.3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35">
      <c r="A23" s="1" t="s">
        <v>119</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35">
      <c r="A24" s="1" t="s">
        <v>122</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35">
      <c r="A25" t="s">
        <v>114</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35">
      <c r="A26" t="s">
        <v>115</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3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35">
      <c r="A28" s="1" t="s">
        <v>113</v>
      </c>
      <c r="C28"/>
    </row>
    <row r="29" spans="1:13" hidden="1" x14ac:dyDescent="0.35">
      <c r="A29" t="s">
        <v>111</v>
      </c>
      <c r="B29" s="33">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35">
      <c r="A30" t="s">
        <v>112</v>
      </c>
      <c r="B30" s="33">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35">
      <c r="A31" s="1" t="s">
        <v>117</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35">
      <c r="A32" t="s">
        <v>97</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35">
      <c r="A33" t="s">
        <v>98</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35">
      <c r="A34" t="s">
        <v>99</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35">
      <c r="A35" s="1" t="s">
        <v>116</v>
      </c>
      <c r="B35" s="1"/>
      <c r="C35" s="24">
        <f>IF(C22&lt;&gt;"",1.5,"")</f>
        <v>1.5</v>
      </c>
      <c r="D35" s="24">
        <f t="shared" ref="D35:L35" si="6">IF(D22&lt;&gt;"",1.5,"")</f>
        <v>1.5</v>
      </c>
      <c r="E35" s="24">
        <f t="shared" si="6"/>
        <v>1.5</v>
      </c>
      <c r="F35" s="24">
        <f t="shared" si="6"/>
        <v>1.5</v>
      </c>
      <c r="G35" s="24">
        <f t="shared" si="6"/>
        <v>1.5</v>
      </c>
      <c r="H35" s="24">
        <f t="shared" si="6"/>
        <v>1.5</v>
      </c>
      <c r="I35" s="24">
        <f t="shared" si="6"/>
        <v>1.5</v>
      </c>
      <c r="J35" s="24">
        <f t="shared" si="6"/>
        <v>1.5</v>
      </c>
      <c r="K35" s="24">
        <f t="shared" si="6"/>
        <v>1.5</v>
      </c>
      <c r="L35" s="24">
        <f t="shared" si="6"/>
        <v>1.5</v>
      </c>
    </row>
    <row r="36" spans="1:13" x14ac:dyDescent="0.35">
      <c r="A36" s="1" t="s">
        <v>131</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35">
      <c r="A37" t="s">
        <v>0</v>
      </c>
      <c r="B37" s="23"/>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35">
      <c r="A38" t="s">
        <v>1</v>
      </c>
      <c r="B38" s="42">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35">
      <c r="A39" s="1" t="s">
        <v>102</v>
      </c>
      <c r="C39"/>
    </row>
    <row r="40" spans="1:13" x14ac:dyDescent="0.35">
      <c r="A40" s="30" t="s">
        <v>100</v>
      </c>
      <c r="B40" s="1"/>
      <c r="C40" s="24"/>
      <c r="D40" s="24"/>
      <c r="E40" s="24"/>
      <c r="F40" s="24"/>
      <c r="G40" s="24"/>
      <c r="H40" s="24"/>
      <c r="I40" s="24"/>
      <c r="J40" s="24"/>
      <c r="K40" s="24"/>
      <c r="L40" s="24"/>
    </row>
    <row r="41" spans="1:13" x14ac:dyDescent="0.35">
      <c r="A41" s="30" t="s">
        <v>101</v>
      </c>
      <c r="B41" s="1"/>
      <c r="C41" s="29"/>
      <c r="D41" s="29"/>
      <c r="E41" s="29"/>
      <c r="F41" s="29"/>
      <c r="G41" s="29"/>
      <c r="H41" s="29"/>
      <c r="I41" s="29"/>
      <c r="J41" s="29"/>
      <c r="K41" s="29"/>
      <c r="L41" s="29"/>
      <c r="M41" s="31">
        <f>SUM(C41:L41)</f>
        <v>0</v>
      </c>
    </row>
    <row r="42" spans="1:13" hidden="1" x14ac:dyDescent="0.35">
      <c r="A42" s="30" t="s">
        <v>103</v>
      </c>
      <c r="B42" s="1"/>
      <c r="C42" s="24"/>
      <c r="D42" s="24"/>
      <c r="E42" s="24"/>
      <c r="F42" s="24"/>
      <c r="G42" s="24"/>
      <c r="H42" s="24"/>
      <c r="I42" s="24"/>
      <c r="J42" s="24"/>
      <c r="K42" s="24"/>
      <c r="L42" s="24"/>
      <c r="M42" s="32"/>
    </row>
    <row r="43" spans="1:13" hidden="1" x14ac:dyDescent="0.35">
      <c r="A43" s="30" t="s">
        <v>104</v>
      </c>
      <c r="B43" s="1"/>
      <c r="C43" s="29"/>
      <c r="D43" s="29"/>
      <c r="E43" s="29"/>
      <c r="F43" s="29"/>
      <c r="G43" s="29"/>
      <c r="H43" s="29"/>
      <c r="I43" s="29"/>
      <c r="J43" s="29"/>
      <c r="K43" s="29"/>
      <c r="L43" s="29"/>
      <c r="M43" s="31">
        <f>SUM(C43:L43)</f>
        <v>0</v>
      </c>
    </row>
    <row r="44" spans="1:13" x14ac:dyDescent="0.35">
      <c r="A44" s="1" t="s">
        <v>120</v>
      </c>
      <c r="B44" s="1"/>
      <c r="C44"/>
    </row>
    <row r="45" spans="1:13" x14ac:dyDescent="0.3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3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3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35">
      <c r="A48" s="1" t="s">
        <v>132</v>
      </c>
      <c r="B48" s="1"/>
      <c r="C48" s="27"/>
      <c r="D48" s="2"/>
      <c r="E48" s="2"/>
      <c r="F48" s="2"/>
      <c r="G48" s="2"/>
      <c r="H48" s="2"/>
      <c r="I48" s="2"/>
      <c r="J48" s="2"/>
      <c r="K48" s="2"/>
      <c r="L48" s="2"/>
    </row>
    <row r="49" spans="1:18" x14ac:dyDescent="0.35">
      <c r="A49" t="s">
        <v>133</v>
      </c>
      <c r="C49" s="41">
        <f>IF(C45&gt;6.1+4.2,4.2,MAX(C45-6.1,0))</f>
        <v>4.2</v>
      </c>
      <c r="D49" s="41">
        <f t="shared" ref="D49:G49" si="13">IF(D45&gt;6.1+4.2,4.2,MAX(D45-6.1,0))</f>
        <v>4.2</v>
      </c>
      <c r="E49" s="41">
        <f t="shared" si="13"/>
        <v>3.3782273122835065</v>
      </c>
      <c r="F49" s="41">
        <f t="shared" si="13"/>
        <v>2.4112853600768069</v>
      </c>
      <c r="G49" s="41">
        <f t="shared" si="13"/>
        <v>2.4079688711010352</v>
      </c>
      <c r="H49" s="41">
        <v>2</v>
      </c>
      <c r="I49" s="41">
        <v>2</v>
      </c>
      <c r="J49" s="41">
        <v>2</v>
      </c>
      <c r="K49" s="41">
        <v>2</v>
      </c>
      <c r="L49" s="41">
        <v>2</v>
      </c>
      <c r="M49" s="43"/>
      <c r="N49" s="1" t="s">
        <v>125</v>
      </c>
    </row>
    <row r="50" spans="1:18" x14ac:dyDescent="0.35">
      <c r="A50" t="s">
        <v>134</v>
      </c>
      <c r="C50" s="41">
        <f>7.5-IF(C26&lt;$O$51,$P$51,IF(C26&lt;=$O$58,VLOOKUP(C26,$O$51:$P$58,2),0))</f>
        <v>6.867</v>
      </c>
      <c r="D50" s="41">
        <f t="shared" ref="D50:G50" si="14">7.5-IF(D26&lt;$O$51,$P$51,IF(D26&lt;=$O$58,VLOOKUP(D26,$O$51:$P$58,2),0))</f>
        <v>6.867</v>
      </c>
      <c r="E50" s="41">
        <f t="shared" si="14"/>
        <v>6.7829999999999995</v>
      </c>
      <c r="F50" s="41">
        <f t="shared" si="14"/>
        <v>6.7829999999999995</v>
      </c>
      <c r="G50" s="41">
        <f t="shared" si="14"/>
        <v>6.7829999999999995</v>
      </c>
      <c r="H50" s="41">
        <f t="shared" ref="H50:L50" si="15">G50</f>
        <v>6.7829999999999995</v>
      </c>
      <c r="I50" s="41">
        <f t="shared" si="15"/>
        <v>6.7829999999999995</v>
      </c>
      <c r="J50" s="41">
        <f t="shared" si="15"/>
        <v>6.7829999999999995</v>
      </c>
      <c r="K50" s="41">
        <f t="shared" si="15"/>
        <v>6.7829999999999995</v>
      </c>
      <c r="L50" s="41">
        <f t="shared" si="15"/>
        <v>6.7829999999999995</v>
      </c>
      <c r="N50" s="35" t="s">
        <v>126</v>
      </c>
      <c r="O50" s="35" t="s">
        <v>127</v>
      </c>
      <c r="P50" s="36" t="s">
        <v>128</v>
      </c>
      <c r="Q50" s="36" t="s">
        <v>129</v>
      </c>
      <c r="R50" s="35" t="s">
        <v>130</v>
      </c>
    </row>
    <row r="51" spans="1:18" x14ac:dyDescent="0.35">
      <c r="A51" t="s">
        <v>135</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7">
        <v>1025</v>
      </c>
      <c r="O51" s="38">
        <v>5.981122</v>
      </c>
      <c r="P51" s="39">
        <f t="shared" ref="P51:P58" si="17">R51-Q51</f>
        <v>1.2</v>
      </c>
      <c r="Q51" s="40">
        <v>0.125</v>
      </c>
      <c r="R51" s="39">
        <v>1.325</v>
      </c>
    </row>
    <row r="52" spans="1:18" x14ac:dyDescent="0.35">
      <c r="A52" t="s">
        <v>136</v>
      </c>
      <c r="C52" s="24">
        <v>1.5</v>
      </c>
      <c r="D52" s="24">
        <v>1.5</v>
      </c>
      <c r="E52" s="24">
        <v>1.5</v>
      </c>
      <c r="F52" s="24">
        <v>1.5</v>
      </c>
      <c r="G52" s="24">
        <v>1.5</v>
      </c>
      <c r="H52" s="24">
        <v>1.5</v>
      </c>
      <c r="I52" s="24">
        <v>1.5</v>
      </c>
      <c r="J52" s="24">
        <v>1.5</v>
      </c>
      <c r="K52" s="24">
        <v>1.5</v>
      </c>
      <c r="L52" s="24">
        <v>1.5</v>
      </c>
      <c r="N52" s="37">
        <v>1030</v>
      </c>
      <c r="O52" s="38">
        <v>6.305377</v>
      </c>
      <c r="P52" s="39">
        <f t="shared" si="17"/>
        <v>1.117</v>
      </c>
      <c r="Q52" s="40">
        <v>7.0000000000000007E-2</v>
      </c>
      <c r="R52" s="39">
        <v>1.1870000000000001</v>
      </c>
    </row>
    <row r="53" spans="1:18" x14ac:dyDescent="0.35">
      <c r="A53" s="1" t="s">
        <v>137</v>
      </c>
      <c r="B53" s="1"/>
      <c r="D53" s="2"/>
      <c r="E53" s="2"/>
      <c r="F53" s="2"/>
      <c r="G53" s="2"/>
      <c r="H53" s="2"/>
      <c r="I53" s="2"/>
      <c r="J53" s="2"/>
      <c r="K53" s="2"/>
      <c r="L53" s="2"/>
      <c r="N53" s="37">
        <v>1035</v>
      </c>
      <c r="O53" s="38">
        <v>6.6375080000000004</v>
      </c>
      <c r="P53" s="39">
        <f t="shared" si="17"/>
        <v>1.0669999999999999</v>
      </c>
      <c r="Q53" s="40">
        <v>7.0000000000000007E-2</v>
      </c>
      <c r="R53" s="39">
        <v>1.137</v>
      </c>
    </row>
    <row r="54" spans="1:18" x14ac:dyDescent="0.3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7">
        <v>1040</v>
      </c>
      <c r="O54" s="38">
        <v>6.977665</v>
      </c>
      <c r="P54" s="39">
        <f t="shared" si="17"/>
        <v>1.0169999999999999</v>
      </c>
      <c r="Q54" s="40">
        <v>7.0000000000000007E-2</v>
      </c>
      <c r="R54" s="39">
        <v>1.087</v>
      </c>
    </row>
    <row r="55" spans="1:18" x14ac:dyDescent="0.3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7">
        <v>1045</v>
      </c>
      <c r="O55" s="38">
        <v>7.3260519999999998</v>
      </c>
      <c r="P55" s="39">
        <f t="shared" si="17"/>
        <v>0.96699999999999986</v>
      </c>
      <c r="Q55" s="40">
        <v>7.0000000000000007E-2</v>
      </c>
      <c r="R55" s="39">
        <v>1.0369999999999999</v>
      </c>
    </row>
    <row r="56" spans="1:18" x14ac:dyDescent="0.3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7">
        <v>1050</v>
      </c>
      <c r="O56" s="38">
        <v>7.6828779999999997</v>
      </c>
      <c r="P56" s="39">
        <f t="shared" si="17"/>
        <v>0.71700000000000008</v>
      </c>
      <c r="Q56" s="40">
        <v>7.0000000000000007E-2</v>
      </c>
      <c r="R56" s="39">
        <v>0.78700000000000003</v>
      </c>
    </row>
    <row r="57" spans="1:18" x14ac:dyDescent="0.35">
      <c r="A57" s="1" t="s">
        <v>121</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7">
        <v>1075</v>
      </c>
      <c r="O57" s="38">
        <v>9.6009879999900001</v>
      </c>
      <c r="P57" s="39">
        <f t="shared" si="17"/>
        <v>0.63300000000000001</v>
      </c>
      <c r="Q57" s="40">
        <v>0.05</v>
      </c>
      <c r="R57" s="39">
        <v>0.68300000000000005</v>
      </c>
    </row>
    <row r="58" spans="1:18" x14ac:dyDescent="0.35">
      <c r="N58" s="37">
        <v>1090</v>
      </c>
      <c r="O58" s="38">
        <v>10.857008</v>
      </c>
      <c r="P58" s="39">
        <f t="shared" si="17"/>
        <v>0.3</v>
      </c>
      <c r="Q58" s="36"/>
      <c r="R58" s="39">
        <v>0.3</v>
      </c>
    </row>
    <row r="59" spans="1:18" x14ac:dyDescent="0.35">
      <c r="A59" s="1" t="s">
        <v>123</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35">
      <c r="A60" t="s">
        <v>124</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35">
      <c r="D62" s="17"/>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7"/>
  <sheetViews>
    <sheetView topLeftCell="A3" zoomScale="280" zoomScaleNormal="280" workbookViewId="0">
      <selection activeCell="D6" sqref="D6"/>
    </sheetView>
  </sheetViews>
  <sheetFormatPr defaultRowHeight="14.5" x14ac:dyDescent="0.35"/>
  <cols>
    <col min="1" max="3" width="8.7265625" style="83"/>
    <col min="4" max="4" width="46.54296875" style="83" customWidth="1"/>
  </cols>
  <sheetData>
    <row r="1" spans="1:4" x14ac:dyDescent="0.35">
      <c r="A1" s="83" t="s">
        <v>383</v>
      </c>
    </row>
    <row r="3" spans="1:4" s="1" customFormat="1" x14ac:dyDescent="0.35">
      <c r="A3" s="273" t="s">
        <v>380</v>
      </c>
      <c r="B3" s="273"/>
      <c r="C3" s="273"/>
      <c r="D3" s="172" t="s">
        <v>379</v>
      </c>
    </row>
    <row r="4" spans="1:4" ht="29" x14ac:dyDescent="0.35">
      <c r="A4" s="269" t="s">
        <v>373</v>
      </c>
      <c r="B4" s="269"/>
      <c r="C4" s="269"/>
      <c r="D4" s="56" t="s">
        <v>378</v>
      </c>
    </row>
    <row r="5" spans="1:4" ht="43.5" x14ac:dyDescent="0.35">
      <c r="A5" s="270" t="s">
        <v>374</v>
      </c>
      <c r="B5" s="270"/>
      <c r="C5" s="270"/>
      <c r="D5" s="56" t="s">
        <v>394</v>
      </c>
    </row>
    <row r="6" spans="1:4" ht="58" x14ac:dyDescent="0.35">
      <c r="A6" s="271" t="s">
        <v>375</v>
      </c>
      <c r="B6" s="271"/>
      <c r="C6" s="271"/>
      <c r="D6" s="56" t="s">
        <v>377</v>
      </c>
    </row>
    <row r="7" spans="1:4" ht="29" x14ac:dyDescent="0.35">
      <c r="A7" s="272" t="s">
        <v>46</v>
      </c>
      <c r="B7" s="272"/>
      <c r="C7" s="272"/>
      <c r="D7" s="56" t="s">
        <v>376</v>
      </c>
    </row>
  </sheetData>
  <mergeCells count="5">
    <mergeCell ref="A4:C4"/>
    <mergeCell ref="A5:C5"/>
    <mergeCell ref="A6:C6"/>
    <mergeCell ref="A7:C7"/>
    <mergeCell ref="A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39"/>
  <sheetViews>
    <sheetView zoomScale="150" zoomScaleNormal="150" workbookViewId="0">
      <selection activeCell="E1" sqref="E1"/>
    </sheetView>
  </sheetViews>
  <sheetFormatPr defaultRowHeight="14.5" x14ac:dyDescent="0.35"/>
  <cols>
    <col min="1" max="1" width="12.54296875" style="57" customWidth="1"/>
    <col min="2" max="2" width="7.81640625" style="199" customWidth="1"/>
    <col min="3" max="3" width="29.81640625" style="56" customWidth="1"/>
    <col min="4" max="4" width="12.453125" style="59" customWidth="1"/>
    <col min="5" max="5" width="15.1796875" style="59" customWidth="1"/>
    <col min="6" max="6" width="12" style="57" customWidth="1"/>
    <col min="8" max="8" width="32.453125" style="77" customWidth="1"/>
    <col min="9" max="9" width="12.453125" style="77" customWidth="1"/>
    <col min="10" max="10" width="11" style="147" customWidth="1"/>
  </cols>
  <sheetData>
    <row r="1" spans="1:10" s="53" customFormat="1" ht="30.65" customHeight="1" x14ac:dyDescent="0.35">
      <c r="A1" s="54" t="s">
        <v>156</v>
      </c>
      <c r="B1" s="197" t="s">
        <v>175</v>
      </c>
      <c r="C1" s="55" t="s">
        <v>157</v>
      </c>
      <c r="D1" s="54" t="s">
        <v>159</v>
      </c>
      <c r="E1" s="54" t="s">
        <v>158</v>
      </c>
      <c r="F1" s="54" t="s">
        <v>160</v>
      </c>
      <c r="H1" s="144" t="s">
        <v>220</v>
      </c>
      <c r="I1" s="144" t="s">
        <v>158</v>
      </c>
      <c r="J1" s="145" t="s">
        <v>160</v>
      </c>
    </row>
    <row r="2" spans="1:10" x14ac:dyDescent="0.35">
      <c r="A2" s="80"/>
      <c r="B2" s="198"/>
      <c r="C2" s="79"/>
      <c r="D2" s="78"/>
      <c r="E2" s="78"/>
      <c r="F2" s="80"/>
      <c r="H2" s="56"/>
      <c r="I2" s="56"/>
      <c r="J2" s="57"/>
    </row>
    <row r="3" spans="1:10" ht="29" x14ac:dyDescent="0.35">
      <c r="A3" s="80">
        <v>44501</v>
      </c>
      <c r="B3" s="198" t="s">
        <v>476</v>
      </c>
      <c r="C3" s="79" t="s">
        <v>477</v>
      </c>
      <c r="D3" s="78" t="s">
        <v>150</v>
      </c>
      <c r="E3" s="78" t="s">
        <v>150</v>
      </c>
      <c r="F3" s="80"/>
      <c r="H3" s="56"/>
      <c r="I3" s="56"/>
      <c r="J3" s="57"/>
    </row>
    <row r="4" spans="1:10" ht="72.5" x14ac:dyDescent="0.35">
      <c r="A4" s="80">
        <v>44500</v>
      </c>
      <c r="B4" s="198" t="s">
        <v>474</v>
      </c>
      <c r="C4" s="79" t="s">
        <v>475</v>
      </c>
      <c r="D4" s="78" t="s">
        <v>150</v>
      </c>
      <c r="E4" s="78" t="s">
        <v>150</v>
      </c>
      <c r="F4" s="80"/>
      <c r="H4" s="56"/>
      <c r="I4" s="56"/>
      <c r="J4" s="58"/>
    </row>
    <row r="5" spans="1:10" ht="40.5" customHeight="1" x14ac:dyDescent="0.35">
      <c r="A5" s="80">
        <v>44496</v>
      </c>
      <c r="B5" s="198" t="s">
        <v>467</v>
      </c>
      <c r="C5" s="79" t="s">
        <v>468</v>
      </c>
      <c r="D5" s="78" t="s">
        <v>150</v>
      </c>
      <c r="E5" s="78" t="s">
        <v>458</v>
      </c>
      <c r="F5" s="80"/>
      <c r="H5" s="56"/>
      <c r="I5" s="56"/>
      <c r="J5" s="58"/>
    </row>
    <row r="6" spans="1:10" ht="38.5" customHeight="1" x14ac:dyDescent="0.35">
      <c r="A6" s="80">
        <v>44496</v>
      </c>
      <c r="B6" s="198" t="s">
        <v>464</v>
      </c>
      <c r="C6" s="79" t="s">
        <v>465</v>
      </c>
      <c r="D6" s="78" t="s">
        <v>150</v>
      </c>
      <c r="E6" s="78" t="s">
        <v>466</v>
      </c>
      <c r="F6" s="80">
        <v>44495</v>
      </c>
      <c r="H6" s="56" t="s">
        <v>221</v>
      </c>
      <c r="I6" s="56" t="s">
        <v>150</v>
      </c>
      <c r="J6" s="57"/>
    </row>
    <row r="7" spans="1:10" ht="29" x14ac:dyDescent="0.35">
      <c r="A7" s="80">
        <v>44480</v>
      </c>
      <c r="B7" s="198" t="s">
        <v>457</v>
      </c>
      <c r="C7" s="79" t="s">
        <v>454</v>
      </c>
      <c r="D7" s="78" t="s">
        <v>150</v>
      </c>
      <c r="E7" s="78"/>
      <c r="F7" s="80"/>
      <c r="H7" s="56" t="s">
        <v>459</v>
      </c>
      <c r="I7" s="146" t="s">
        <v>245</v>
      </c>
      <c r="J7" s="58">
        <v>44482</v>
      </c>
    </row>
    <row r="8" spans="1:10" ht="29" x14ac:dyDescent="0.35">
      <c r="A8" s="80">
        <v>44480</v>
      </c>
      <c r="B8" s="198" t="s">
        <v>456</v>
      </c>
      <c r="C8" s="79" t="s">
        <v>452</v>
      </c>
      <c r="D8" s="78" t="s">
        <v>150</v>
      </c>
      <c r="E8" s="78" t="s">
        <v>150</v>
      </c>
      <c r="F8" s="80"/>
      <c r="H8" s="56" t="s">
        <v>460</v>
      </c>
      <c r="I8" s="146" t="s">
        <v>150</v>
      </c>
      <c r="J8" s="58"/>
    </row>
    <row r="9" spans="1:10" ht="29" x14ac:dyDescent="0.35">
      <c r="A9" s="80">
        <v>44480</v>
      </c>
      <c r="B9" s="198" t="s">
        <v>455</v>
      </c>
      <c r="C9" s="79" t="s">
        <v>451</v>
      </c>
      <c r="D9" s="78" t="s">
        <v>150</v>
      </c>
      <c r="E9" s="78" t="s">
        <v>406</v>
      </c>
      <c r="F9" s="80" t="s">
        <v>407</v>
      </c>
      <c r="H9" s="56" t="s">
        <v>250</v>
      </c>
      <c r="I9" s="56" t="s">
        <v>245</v>
      </c>
      <c r="J9" s="58">
        <v>44385</v>
      </c>
    </row>
    <row r="10" spans="1:10" ht="43.5" x14ac:dyDescent="0.35">
      <c r="A10" s="80">
        <v>44474</v>
      </c>
      <c r="B10" s="78">
        <v>3.7</v>
      </c>
      <c r="C10" s="79" t="s">
        <v>386</v>
      </c>
      <c r="D10" s="78" t="s">
        <v>150</v>
      </c>
      <c r="E10" s="78" t="s">
        <v>150</v>
      </c>
      <c r="F10" s="80"/>
      <c r="H10" s="56" t="s">
        <v>323</v>
      </c>
      <c r="I10" s="146" t="s">
        <v>312</v>
      </c>
      <c r="J10" s="58">
        <v>44391</v>
      </c>
    </row>
    <row r="11" spans="1:10" ht="72.5" x14ac:dyDescent="0.35">
      <c r="A11" s="80">
        <v>44463</v>
      </c>
      <c r="B11" s="78" t="s">
        <v>473</v>
      </c>
      <c r="C11" s="79" t="s">
        <v>364</v>
      </c>
      <c r="D11" s="78" t="s">
        <v>150</v>
      </c>
      <c r="E11" s="78" t="s">
        <v>346</v>
      </c>
      <c r="F11" s="80">
        <v>44432</v>
      </c>
      <c r="H11" s="56" t="s">
        <v>248</v>
      </c>
      <c r="I11" s="146" t="s">
        <v>312</v>
      </c>
      <c r="J11" s="58">
        <v>44391</v>
      </c>
    </row>
    <row r="12" spans="1:10" ht="58" x14ac:dyDescent="0.35">
      <c r="A12" s="80">
        <v>44459</v>
      </c>
      <c r="B12" s="78" t="s">
        <v>337</v>
      </c>
      <c r="C12" s="79" t="s">
        <v>338</v>
      </c>
      <c r="D12" s="78" t="s">
        <v>150</v>
      </c>
      <c r="E12" s="78" t="s">
        <v>150</v>
      </c>
      <c r="F12" s="80"/>
      <c r="H12" s="56" t="s">
        <v>249</v>
      </c>
      <c r="I12" s="146" t="s">
        <v>312</v>
      </c>
      <c r="J12" s="58">
        <v>44391</v>
      </c>
    </row>
    <row r="13" spans="1:10" ht="43.5" x14ac:dyDescent="0.35">
      <c r="A13" s="80">
        <v>44459</v>
      </c>
      <c r="B13" s="78">
        <v>3.6</v>
      </c>
      <c r="C13" s="79" t="s">
        <v>339</v>
      </c>
      <c r="D13" s="78" t="s">
        <v>150</v>
      </c>
      <c r="E13" s="78" t="s">
        <v>150</v>
      </c>
      <c r="F13" s="80"/>
      <c r="H13" s="56"/>
      <c r="I13" s="56"/>
      <c r="J13" s="57"/>
    </row>
    <row r="14" spans="1:10" ht="58" x14ac:dyDescent="0.35">
      <c r="A14" s="80">
        <v>44432</v>
      </c>
      <c r="B14" s="78">
        <v>3.5</v>
      </c>
      <c r="C14" s="79" t="s">
        <v>328</v>
      </c>
      <c r="D14" s="78" t="s">
        <v>150</v>
      </c>
      <c r="E14" s="78" t="s">
        <v>150</v>
      </c>
      <c r="F14" s="80">
        <v>44424</v>
      </c>
      <c r="H14" s="56"/>
      <c r="I14" s="56"/>
      <c r="J14" s="57"/>
    </row>
    <row r="15" spans="1:10" ht="101.5" x14ac:dyDescent="0.35">
      <c r="A15" s="80">
        <v>44432</v>
      </c>
      <c r="B15" s="78">
        <v>3.5</v>
      </c>
      <c r="C15" s="79" t="s">
        <v>334</v>
      </c>
      <c r="D15" s="78" t="s">
        <v>150</v>
      </c>
      <c r="E15" s="78" t="s">
        <v>324</v>
      </c>
      <c r="F15" s="80">
        <v>44424</v>
      </c>
      <c r="H15" s="56"/>
      <c r="I15" s="56"/>
      <c r="J15" s="57"/>
    </row>
    <row r="16" spans="1:10" ht="87" x14ac:dyDescent="0.35">
      <c r="A16" s="80">
        <v>44432</v>
      </c>
      <c r="B16" s="78">
        <v>3.5</v>
      </c>
      <c r="C16" s="79" t="s">
        <v>325</v>
      </c>
      <c r="D16" s="78" t="s">
        <v>150</v>
      </c>
      <c r="E16" s="78"/>
      <c r="F16" s="80"/>
      <c r="H16" s="56"/>
      <c r="I16" s="56"/>
      <c r="J16" s="57"/>
    </row>
    <row r="17" spans="1:6" ht="43.5" x14ac:dyDescent="0.35">
      <c r="A17" s="80">
        <v>44423</v>
      </c>
      <c r="B17" s="78" t="s">
        <v>315</v>
      </c>
      <c r="C17" s="79" t="s">
        <v>316</v>
      </c>
      <c r="D17" s="78" t="s">
        <v>150</v>
      </c>
      <c r="E17" s="78" t="s">
        <v>150</v>
      </c>
      <c r="F17" s="80"/>
    </row>
    <row r="18" spans="1:6" ht="43.5" x14ac:dyDescent="0.35">
      <c r="A18" s="80">
        <v>44405</v>
      </c>
      <c r="B18" s="78" t="s">
        <v>311</v>
      </c>
      <c r="C18" s="56" t="s">
        <v>313</v>
      </c>
      <c r="D18" s="78" t="s">
        <v>150</v>
      </c>
      <c r="E18" s="78" t="s">
        <v>312</v>
      </c>
      <c r="F18" s="80">
        <v>44405</v>
      </c>
    </row>
    <row r="19" spans="1:6" ht="29" x14ac:dyDescent="0.35">
      <c r="A19" s="80">
        <v>44405</v>
      </c>
      <c r="B19" s="78" t="s">
        <v>309</v>
      </c>
      <c r="C19" s="79" t="s">
        <v>310</v>
      </c>
      <c r="D19" s="78" t="s">
        <v>150</v>
      </c>
      <c r="E19" s="78" t="s">
        <v>150</v>
      </c>
      <c r="F19" s="80">
        <v>44405</v>
      </c>
    </row>
    <row r="20" spans="1:6" ht="72.5" x14ac:dyDescent="0.35">
      <c r="A20" s="80">
        <v>44405</v>
      </c>
      <c r="B20" s="78" t="s">
        <v>280</v>
      </c>
      <c r="C20" s="79" t="s">
        <v>308</v>
      </c>
      <c r="D20" s="78" t="s">
        <v>150</v>
      </c>
      <c r="E20" s="78" t="s">
        <v>312</v>
      </c>
      <c r="F20" s="80">
        <v>44391</v>
      </c>
    </row>
    <row r="21" spans="1:6" ht="43.5" x14ac:dyDescent="0.35">
      <c r="A21" s="78" t="s">
        <v>276</v>
      </c>
      <c r="B21" s="78" t="s">
        <v>275</v>
      </c>
      <c r="C21" s="56" t="s">
        <v>277</v>
      </c>
      <c r="D21" s="78" t="s">
        <v>150</v>
      </c>
      <c r="E21" s="78" t="s">
        <v>312</v>
      </c>
      <c r="F21" s="80">
        <v>44391</v>
      </c>
    </row>
    <row r="22" spans="1:6" ht="29" x14ac:dyDescent="0.35">
      <c r="A22" s="78" t="s">
        <v>276</v>
      </c>
      <c r="B22" s="78" t="s">
        <v>275</v>
      </c>
      <c r="C22" s="56" t="s">
        <v>247</v>
      </c>
      <c r="D22" s="78" t="s">
        <v>150</v>
      </c>
      <c r="E22" s="78" t="s">
        <v>312</v>
      </c>
      <c r="F22" s="80">
        <v>44391</v>
      </c>
    </row>
    <row r="23" spans="1:6" ht="101.5" x14ac:dyDescent="0.35">
      <c r="A23" s="80">
        <v>44403</v>
      </c>
      <c r="B23" s="78" t="s">
        <v>253</v>
      </c>
      <c r="C23" s="79" t="s">
        <v>254</v>
      </c>
      <c r="D23" s="78" t="s">
        <v>150</v>
      </c>
      <c r="E23" s="78" t="s">
        <v>312</v>
      </c>
      <c r="F23" s="80">
        <v>44391</v>
      </c>
    </row>
    <row r="24" spans="1:6" ht="58" x14ac:dyDescent="0.35">
      <c r="A24" s="58">
        <v>44389</v>
      </c>
      <c r="B24" s="57" t="s">
        <v>240</v>
      </c>
      <c r="C24" s="56" t="s">
        <v>241</v>
      </c>
      <c r="D24" s="59" t="s">
        <v>150</v>
      </c>
      <c r="E24" s="59" t="s">
        <v>150</v>
      </c>
      <c r="F24" s="58">
        <v>44389</v>
      </c>
    </row>
    <row r="25" spans="1:6" ht="29" x14ac:dyDescent="0.35">
      <c r="A25" s="58">
        <v>44389</v>
      </c>
      <c r="B25" s="57" t="s">
        <v>238</v>
      </c>
      <c r="C25" s="56" t="s">
        <v>239</v>
      </c>
      <c r="D25" s="59" t="s">
        <v>150</v>
      </c>
      <c r="E25" s="59" t="s">
        <v>245</v>
      </c>
      <c r="F25" s="58">
        <v>44385</v>
      </c>
    </row>
    <row r="26" spans="1:6" ht="58" x14ac:dyDescent="0.35">
      <c r="A26" s="58">
        <v>44385</v>
      </c>
      <c r="B26" s="57" t="s">
        <v>216</v>
      </c>
      <c r="C26" s="56" t="s">
        <v>217</v>
      </c>
      <c r="D26" s="59" t="s">
        <v>150</v>
      </c>
      <c r="E26" s="59" t="s">
        <v>150</v>
      </c>
      <c r="F26" s="58">
        <f>A26</f>
        <v>44385</v>
      </c>
    </row>
    <row r="27" spans="1:6" ht="29" x14ac:dyDescent="0.35">
      <c r="A27" s="58">
        <v>44384</v>
      </c>
      <c r="B27" s="57" t="s">
        <v>199</v>
      </c>
      <c r="C27" s="56" t="s">
        <v>218</v>
      </c>
      <c r="D27" s="59" t="s">
        <v>150</v>
      </c>
      <c r="E27" s="59" t="s">
        <v>150</v>
      </c>
      <c r="F27" s="58">
        <v>44384</v>
      </c>
    </row>
    <row r="28" spans="1:6" ht="43.5" x14ac:dyDescent="0.35">
      <c r="A28" s="58">
        <v>44384</v>
      </c>
      <c r="B28" s="57" t="s">
        <v>196</v>
      </c>
      <c r="C28" s="56" t="s">
        <v>219</v>
      </c>
      <c r="D28" s="59" t="s">
        <v>150</v>
      </c>
      <c r="E28" s="59" t="s">
        <v>150</v>
      </c>
      <c r="F28" s="58">
        <v>44384</v>
      </c>
    </row>
    <row r="29" spans="1:6" ht="43.5" x14ac:dyDescent="0.35">
      <c r="A29" s="58">
        <v>44378</v>
      </c>
      <c r="B29" s="57" t="s">
        <v>187</v>
      </c>
      <c r="C29" s="56" t="s">
        <v>188</v>
      </c>
      <c r="D29" s="59" t="s">
        <v>150</v>
      </c>
      <c r="E29" s="59" t="s">
        <v>150</v>
      </c>
      <c r="F29" s="58">
        <v>44378</v>
      </c>
    </row>
    <row r="30" spans="1:6" x14ac:dyDescent="0.35">
      <c r="A30" s="58">
        <v>44377</v>
      </c>
      <c r="B30" s="57" t="s">
        <v>185</v>
      </c>
      <c r="C30" s="56" t="s">
        <v>189</v>
      </c>
      <c r="D30" s="59" t="s">
        <v>150</v>
      </c>
      <c r="E30" s="59" t="s">
        <v>150</v>
      </c>
      <c r="F30" s="58">
        <v>44377</v>
      </c>
    </row>
    <row r="31" spans="1:6" ht="72.5" x14ac:dyDescent="0.35">
      <c r="A31" s="58">
        <v>44377</v>
      </c>
      <c r="B31" s="57" t="s">
        <v>183</v>
      </c>
      <c r="C31" s="56" t="s">
        <v>184</v>
      </c>
      <c r="D31" s="59" t="s">
        <v>150</v>
      </c>
      <c r="E31" s="59" t="s">
        <v>246</v>
      </c>
      <c r="F31" s="58">
        <v>44372</v>
      </c>
    </row>
    <row r="32" spans="1:6" ht="43.5" x14ac:dyDescent="0.35">
      <c r="A32" s="58">
        <v>44377</v>
      </c>
      <c r="B32" s="57">
        <v>3.3</v>
      </c>
      <c r="C32" s="56" t="s">
        <v>177</v>
      </c>
      <c r="D32" s="59" t="s">
        <v>150</v>
      </c>
      <c r="E32" s="59" t="s">
        <v>246</v>
      </c>
      <c r="F32" s="58">
        <v>44372</v>
      </c>
    </row>
    <row r="33" spans="1:6" ht="29" x14ac:dyDescent="0.35">
      <c r="A33" s="58">
        <v>44377</v>
      </c>
      <c r="B33" s="57" t="s">
        <v>176</v>
      </c>
      <c r="C33" s="56" t="s">
        <v>161</v>
      </c>
      <c r="D33" s="59" t="s">
        <v>150</v>
      </c>
      <c r="E33" s="59" t="s">
        <v>150</v>
      </c>
      <c r="F33" s="58">
        <v>44377</v>
      </c>
    </row>
    <row r="34" spans="1:6" ht="116" x14ac:dyDescent="0.35">
      <c r="A34" s="58">
        <v>44367</v>
      </c>
      <c r="B34" s="57">
        <v>3.2</v>
      </c>
      <c r="C34" s="56" t="s">
        <v>168</v>
      </c>
      <c r="D34" s="59" t="s">
        <v>150</v>
      </c>
      <c r="E34" s="59" t="s">
        <v>150</v>
      </c>
      <c r="F34" s="58">
        <v>44367</v>
      </c>
    </row>
    <row r="35" spans="1:6" ht="29" x14ac:dyDescent="0.35">
      <c r="A35" s="58">
        <v>44331</v>
      </c>
      <c r="B35" s="57">
        <v>3.1</v>
      </c>
      <c r="C35" s="56" t="s">
        <v>167</v>
      </c>
      <c r="D35" s="59" t="s">
        <v>150</v>
      </c>
      <c r="E35" s="59" t="s">
        <v>150</v>
      </c>
      <c r="F35" s="58">
        <v>44331</v>
      </c>
    </row>
    <row r="36" spans="1:6" ht="72.5" x14ac:dyDescent="0.35">
      <c r="A36" s="58">
        <v>44319</v>
      </c>
      <c r="B36" s="57">
        <v>3</v>
      </c>
      <c r="C36" s="56" t="s">
        <v>166</v>
      </c>
      <c r="D36" s="59" t="s">
        <v>150</v>
      </c>
      <c r="E36" s="59" t="s">
        <v>162</v>
      </c>
      <c r="F36" s="58">
        <v>44315</v>
      </c>
    </row>
    <row r="37" spans="1:6" ht="29" x14ac:dyDescent="0.35">
      <c r="A37" s="58">
        <v>44307</v>
      </c>
      <c r="B37" s="57">
        <v>2</v>
      </c>
      <c r="C37" s="56" t="s">
        <v>163</v>
      </c>
      <c r="D37" s="59" t="s">
        <v>150</v>
      </c>
      <c r="E37" s="59" t="s">
        <v>245</v>
      </c>
      <c r="F37" s="58">
        <v>44294</v>
      </c>
    </row>
    <row r="38" spans="1:6" ht="29" x14ac:dyDescent="0.35">
      <c r="A38" s="58">
        <v>44293</v>
      </c>
      <c r="B38" s="61">
        <v>1</v>
      </c>
      <c r="C38" s="56" t="s">
        <v>165</v>
      </c>
      <c r="D38" s="59" t="s">
        <v>150</v>
      </c>
      <c r="E38" s="59" t="s">
        <v>164</v>
      </c>
      <c r="F38" s="58">
        <v>44291</v>
      </c>
    </row>
    <row r="39" spans="1:6" x14ac:dyDescent="0.35">
      <c r="A39" s="58">
        <v>44291</v>
      </c>
      <c r="B39" s="61">
        <v>0.5</v>
      </c>
      <c r="C39" s="56" t="s">
        <v>472</v>
      </c>
      <c r="D39" s="59" t="s">
        <v>150</v>
      </c>
      <c r="E39" s="59" t="s">
        <v>150</v>
      </c>
      <c r="F39" s="58">
        <v>44285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4"/>
  <sheetViews>
    <sheetView tabSelected="1" topLeftCell="A16" zoomScale="150" zoomScaleNormal="150" workbookViewId="0">
      <selection activeCell="N25" sqref="N25"/>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188"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x14ac:dyDescent="0.35">
      <c r="A1" s="1" t="str">
        <f>'ReadMe-Directions'!A1</f>
        <v>Pilot flex accounting to encourage more water conservation in a combined Lake Powell-Lake Mead system</v>
      </c>
      <c r="B1" s="1"/>
    </row>
    <row r="2" spans="1:14" x14ac:dyDescent="0.35">
      <c r="A2" s="1" t="s">
        <v>368</v>
      </c>
      <c r="B2" s="1"/>
    </row>
    <row r="3" spans="1:14" ht="32.15" customHeight="1" x14ac:dyDescent="0.35">
      <c r="A3" s="243" t="s">
        <v>393</v>
      </c>
      <c r="B3" s="243"/>
      <c r="C3" s="243"/>
      <c r="D3" s="243"/>
      <c r="E3" s="243"/>
      <c r="F3" s="243"/>
      <c r="G3" s="243"/>
      <c r="H3" s="112"/>
      <c r="I3" s="112"/>
      <c r="J3" s="112"/>
      <c r="K3" s="112"/>
      <c r="N3" s="184" t="s">
        <v>448</v>
      </c>
    </row>
    <row r="4" spans="1:14" x14ac:dyDescent="0.35">
      <c r="A4" s="171" t="s">
        <v>370</v>
      </c>
      <c r="B4" s="171" t="s">
        <v>42</v>
      </c>
      <c r="C4" s="244" t="s">
        <v>43</v>
      </c>
      <c r="D4" s="245"/>
      <c r="E4" s="245"/>
      <c r="F4" s="245"/>
      <c r="G4" s="246"/>
      <c r="N4" s="186" t="s">
        <v>412</v>
      </c>
    </row>
    <row r="5" spans="1:14" x14ac:dyDescent="0.35">
      <c r="A5" s="122" t="s">
        <v>39</v>
      </c>
      <c r="B5" s="122"/>
      <c r="C5" s="247"/>
      <c r="D5" s="242"/>
      <c r="E5" s="242"/>
      <c r="F5" s="242"/>
      <c r="G5" s="242"/>
      <c r="N5" s="190"/>
    </row>
    <row r="6" spans="1:14" x14ac:dyDescent="0.35">
      <c r="A6" s="122" t="s">
        <v>40</v>
      </c>
      <c r="B6" s="122"/>
      <c r="C6" s="247"/>
      <c r="D6" s="242"/>
      <c r="E6" s="242"/>
      <c r="F6" s="242"/>
      <c r="G6" s="242"/>
      <c r="N6" s="190"/>
    </row>
    <row r="7" spans="1:14" x14ac:dyDescent="0.35">
      <c r="A7" s="122" t="s">
        <v>41</v>
      </c>
      <c r="B7" s="122"/>
      <c r="C7" s="247"/>
      <c r="D7" s="242"/>
      <c r="E7" s="242"/>
      <c r="F7" s="242"/>
      <c r="G7" s="242"/>
      <c r="N7" s="190"/>
    </row>
    <row r="8" spans="1:14" x14ac:dyDescent="0.35">
      <c r="A8" s="154" t="s">
        <v>145</v>
      </c>
      <c r="B8" s="153"/>
      <c r="C8" s="242"/>
      <c r="D8" s="242"/>
      <c r="E8" s="242"/>
      <c r="F8" s="242"/>
      <c r="G8" s="242"/>
      <c r="N8" s="190"/>
    </row>
    <row r="9" spans="1:14" x14ac:dyDescent="0.35">
      <c r="A9" s="183" t="s">
        <v>453</v>
      </c>
      <c r="B9" s="122"/>
      <c r="C9" s="248"/>
      <c r="D9" s="248"/>
      <c r="E9" s="248"/>
      <c r="F9" s="248"/>
      <c r="G9" s="248"/>
      <c r="N9" s="190"/>
    </row>
    <row r="10" spans="1:14" x14ac:dyDescent="0.35">
      <c r="A10" s="155" t="s">
        <v>154</v>
      </c>
      <c r="B10" s="155"/>
      <c r="C10" s="249"/>
      <c r="D10" s="249"/>
      <c r="E10" s="249"/>
      <c r="F10" s="249"/>
      <c r="G10" s="249"/>
      <c r="N10" s="190"/>
    </row>
    <row r="11" spans="1:14" x14ac:dyDescent="0.35">
      <c r="A11" s="15"/>
      <c r="B11" s="2"/>
      <c r="C11"/>
      <c r="N11" s="190"/>
    </row>
    <row r="12" spans="1:14" x14ac:dyDescent="0.35">
      <c r="A12" s="18" t="s">
        <v>371</v>
      </c>
      <c r="B12" s="250" t="s">
        <v>373</v>
      </c>
      <c r="C12" s="251"/>
      <c r="D12" s="252"/>
      <c r="N12" s="189" t="s">
        <v>413</v>
      </c>
    </row>
    <row r="13" spans="1:14" x14ac:dyDescent="0.35">
      <c r="B13" s="253" t="s">
        <v>374</v>
      </c>
      <c r="C13" s="254"/>
      <c r="D13" s="255"/>
      <c r="N13" s="190"/>
    </row>
    <row r="14" spans="1:14" x14ac:dyDescent="0.35">
      <c r="B14" s="234" t="s">
        <v>375</v>
      </c>
      <c r="C14" s="235"/>
      <c r="D14" s="236"/>
      <c r="N14" s="190"/>
    </row>
    <row r="15" spans="1:14" x14ac:dyDescent="0.35">
      <c r="B15" s="237" t="s">
        <v>46</v>
      </c>
      <c r="C15" s="238"/>
      <c r="D15" s="239"/>
      <c r="N15" s="190"/>
    </row>
    <row r="16" spans="1:14" x14ac:dyDescent="0.35">
      <c r="N16" s="190"/>
    </row>
    <row r="17" spans="1:14" x14ac:dyDescent="0.35">
      <c r="A17" s="1" t="s">
        <v>372</v>
      </c>
      <c r="B17" s="1" t="s">
        <v>108</v>
      </c>
      <c r="C17" s="13" t="s">
        <v>109</v>
      </c>
      <c r="N17" s="189" t="s">
        <v>414</v>
      </c>
    </row>
    <row r="18" spans="1:14" x14ac:dyDescent="0.35">
      <c r="A18" t="s">
        <v>107</v>
      </c>
      <c r="B18" s="148">
        <v>5.73</v>
      </c>
      <c r="C18" s="148">
        <v>6</v>
      </c>
      <c r="D18" s="22"/>
      <c r="N18" s="189" t="s">
        <v>416</v>
      </c>
    </row>
    <row r="19" spans="1:14" x14ac:dyDescent="0.35">
      <c r="A19" t="s">
        <v>408</v>
      </c>
      <c r="B19" s="148">
        <v>7.2</v>
      </c>
      <c r="C19" s="148">
        <v>9</v>
      </c>
      <c r="D19" s="173" t="s">
        <v>382</v>
      </c>
      <c r="F19" s="43"/>
      <c r="N19" s="189" t="s">
        <v>415</v>
      </c>
    </row>
    <row r="20" spans="1:14" x14ac:dyDescent="0.35">
      <c r="A20" t="s">
        <v>186</v>
      </c>
      <c r="B20" s="208">
        <v>3525</v>
      </c>
      <c r="C20" s="208">
        <v>1020</v>
      </c>
      <c r="D20" s="11"/>
      <c r="N20" s="189" t="s">
        <v>417</v>
      </c>
    </row>
    <row r="21" spans="1:14" x14ac:dyDescent="0.35">
      <c r="A21" t="s">
        <v>172</v>
      </c>
      <c r="B21" s="148">
        <f>VLOOKUP(B20,'Powell-Elevation-Area'!$A$5:$B$689,2)/1000000</f>
        <v>5.9265762500000001</v>
      </c>
      <c r="C21" s="148">
        <f>VLOOKUP(C20,'Mead-Elevation-Area'!$A$5:$B$689,2)/1000000</f>
        <v>5.664593</v>
      </c>
      <c r="D21" s="11"/>
      <c r="E21" s="43"/>
      <c r="N21" s="189" t="s">
        <v>419</v>
      </c>
    </row>
    <row r="22" spans="1:14" x14ac:dyDescent="0.35">
      <c r="A22" t="s">
        <v>388</v>
      </c>
      <c r="B22" s="148">
        <f>78.1</f>
        <v>78.099999999999994</v>
      </c>
      <c r="C22"/>
      <c r="D22" s="150"/>
      <c r="E22" s="43"/>
      <c r="N22" s="189" t="s">
        <v>418</v>
      </c>
    </row>
    <row r="23" spans="1:14" x14ac:dyDescent="0.35">
      <c r="A23" t="s">
        <v>389</v>
      </c>
      <c r="B23" s="174">
        <v>0.17</v>
      </c>
      <c r="C23"/>
      <c r="D23" s="150"/>
      <c r="E23" s="43"/>
      <c r="N23" s="189" t="s">
        <v>420</v>
      </c>
    </row>
    <row r="24" spans="1:14" x14ac:dyDescent="0.35">
      <c r="A24" t="s">
        <v>387</v>
      </c>
      <c r="B24" s="148">
        <f>10*(7.5+1.5/2)-B22-B23</f>
        <v>4.2300000000000058</v>
      </c>
      <c r="C24"/>
      <c r="D24" s="150"/>
      <c r="E24" s="43"/>
      <c r="N24" s="189" t="s">
        <v>421</v>
      </c>
    </row>
    <row r="25" spans="1:14" x14ac:dyDescent="0.35">
      <c r="A25" t="s">
        <v>461</v>
      </c>
      <c r="B25" s="148">
        <f>2.7 + 0.3 - IF(A9&lt;&gt;"",1.06,0)</f>
        <v>1.94</v>
      </c>
      <c r="C25"/>
      <c r="D25" s="150"/>
      <c r="E25" s="43"/>
      <c r="N25" s="274" t="s">
        <v>469</v>
      </c>
    </row>
    <row r="26" spans="1:14" x14ac:dyDescent="0.35">
      <c r="B26" s="43"/>
      <c r="N26" s="190"/>
    </row>
    <row r="27" spans="1:14" s="1" customFormat="1" x14ac:dyDescent="0.35">
      <c r="A27" s="135" t="s">
        <v>359</v>
      </c>
      <c r="B27" s="136" t="s">
        <v>48</v>
      </c>
      <c r="C27" s="136" t="s">
        <v>5</v>
      </c>
      <c r="D27" s="136" t="s">
        <v>6</v>
      </c>
      <c r="E27" s="136" t="s">
        <v>7</v>
      </c>
      <c r="F27" s="136" t="s">
        <v>8</v>
      </c>
      <c r="G27" s="136" t="s">
        <v>9</v>
      </c>
      <c r="H27" s="136" t="s">
        <v>10</v>
      </c>
      <c r="I27" s="136" t="s">
        <v>11</v>
      </c>
      <c r="J27" s="136" t="s">
        <v>12</v>
      </c>
      <c r="K27" s="136" t="s">
        <v>36</v>
      </c>
      <c r="L27" s="136" t="s">
        <v>37</v>
      </c>
      <c r="M27" s="136" t="s">
        <v>105</v>
      </c>
      <c r="N27" s="185" t="str">
        <f>N3</f>
        <v>HELP, CONTEXT, and SUGGESTIONS</v>
      </c>
    </row>
    <row r="28" spans="1:14" x14ac:dyDescent="0.35">
      <c r="A28" s="168" t="s">
        <v>355</v>
      </c>
      <c r="B28" s="1"/>
      <c r="C28" s="130"/>
      <c r="D28" s="130"/>
      <c r="E28" s="130"/>
      <c r="F28" s="130"/>
      <c r="G28" s="130"/>
      <c r="H28" s="130"/>
      <c r="I28" s="130"/>
      <c r="J28" s="130"/>
      <c r="K28" s="130"/>
      <c r="L28" s="130"/>
      <c r="N28" s="186" t="s">
        <v>422</v>
      </c>
    </row>
    <row r="29" spans="1:14" x14ac:dyDescent="0.35">
      <c r="A29" s="1" t="s">
        <v>119</v>
      </c>
      <c r="B29" s="1"/>
      <c r="C29" s="129" t="str">
        <f>IF(C$28&lt;&gt;"",0.8,"")</f>
        <v/>
      </c>
      <c r="D29" s="129" t="str">
        <f t="shared" ref="D29:L29" si="0">IF(D$28&lt;&gt;"",0.8,"")</f>
        <v/>
      </c>
      <c r="E29" s="129" t="str">
        <f t="shared" si="0"/>
        <v/>
      </c>
      <c r="F29" s="129" t="str">
        <f t="shared" si="0"/>
        <v/>
      </c>
      <c r="G29" s="129" t="str">
        <f t="shared" si="0"/>
        <v/>
      </c>
      <c r="H29" s="129" t="str">
        <f t="shared" si="0"/>
        <v/>
      </c>
      <c r="I29" s="129" t="str">
        <f t="shared" si="0"/>
        <v/>
      </c>
      <c r="J29" s="129" t="str">
        <f t="shared" si="0"/>
        <v/>
      </c>
      <c r="K29" s="129" t="str">
        <f t="shared" si="0"/>
        <v/>
      </c>
      <c r="L29" s="129" t="str">
        <f t="shared" si="0"/>
        <v/>
      </c>
      <c r="N29" s="189" t="s">
        <v>423</v>
      </c>
    </row>
    <row r="30" spans="1:14" x14ac:dyDescent="0.35">
      <c r="A30" s="1" t="s">
        <v>322</v>
      </c>
      <c r="B30" s="1"/>
      <c r="C30" s="129" t="str">
        <f>IF(C$28&lt;&gt;"",0.2,"")</f>
        <v/>
      </c>
      <c r="D30" s="129" t="str">
        <f t="shared" ref="D30:L30" si="1">IF(D$28&lt;&gt;"",0.2,"")</f>
        <v/>
      </c>
      <c r="E30" s="129" t="str">
        <f t="shared" si="1"/>
        <v/>
      </c>
      <c r="F30" s="129" t="str">
        <f t="shared" si="1"/>
        <v/>
      </c>
      <c r="G30" s="129" t="str">
        <f t="shared" si="1"/>
        <v/>
      </c>
      <c r="H30" s="129" t="str">
        <f t="shared" si="1"/>
        <v/>
      </c>
      <c r="I30" s="129" t="str">
        <f t="shared" si="1"/>
        <v/>
      </c>
      <c r="J30" s="129" t="str">
        <f t="shared" si="1"/>
        <v/>
      </c>
      <c r="K30" s="129" t="str">
        <f t="shared" si="1"/>
        <v/>
      </c>
      <c r="L30" s="129" t="str">
        <f t="shared" si="1"/>
        <v/>
      </c>
      <c r="N30" s="189" t="s">
        <v>424</v>
      </c>
    </row>
    <row r="31" spans="1:14" x14ac:dyDescent="0.35">
      <c r="A31" s="1" t="s">
        <v>278</v>
      </c>
      <c r="B31" s="1"/>
      <c r="C31" s="129" t="str">
        <f>IF(C$28&lt;&gt;"",0.6,"")</f>
        <v/>
      </c>
      <c r="D31" s="129" t="str">
        <f t="shared" ref="D31:L31" si="2">IF(D$28&lt;&gt;"",0.6,"")</f>
        <v/>
      </c>
      <c r="E31" s="129" t="str">
        <f t="shared" si="2"/>
        <v/>
      </c>
      <c r="F31" s="129" t="str">
        <f t="shared" si="2"/>
        <v/>
      </c>
      <c r="G31" s="129" t="str">
        <f t="shared" si="2"/>
        <v/>
      </c>
      <c r="H31" s="129" t="str">
        <f t="shared" si="2"/>
        <v/>
      </c>
      <c r="I31" s="129" t="str">
        <f t="shared" si="2"/>
        <v/>
      </c>
      <c r="J31" s="129" t="str">
        <f t="shared" si="2"/>
        <v/>
      </c>
      <c r="K31" s="129" t="str">
        <f t="shared" si="2"/>
        <v/>
      </c>
      <c r="L31" s="129" t="str">
        <f t="shared" si="2"/>
        <v/>
      </c>
      <c r="N31" s="189" t="s">
        <v>425</v>
      </c>
    </row>
    <row r="32" spans="1:14" x14ac:dyDescent="0.35">
      <c r="A32" s="168" t="s">
        <v>356</v>
      </c>
      <c r="C32" s="14" t="str">
        <f>IF(C$28&lt;&gt;"",SUM(B19:C19),"")</f>
        <v/>
      </c>
      <c r="D32" s="14" t="str">
        <f>IF(D$28&lt;&gt;"",C131,"")</f>
        <v/>
      </c>
      <c r="E32" s="14" t="str">
        <f t="shared" ref="E32:L32" si="3">IF(E$28&lt;&gt;"",D131,"")</f>
        <v/>
      </c>
      <c r="F32" s="14" t="str">
        <f t="shared" si="3"/>
        <v/>
      </c>
      <c r="G32" s="14" t="str">
        <f t="shared" si="3"/>
        <v/>
      </c>
      <c r="H32" s="14" t="str">
        <f t="shared" si="3"/>
        <v/>
      </c>
      <c r="I32" s="14" t="str">
        <f t="shared" si="3"/>
        <v/>
      </c>
      <c r="J32" s="14" t="str">
        <f t="shared" si="3"/>
        <v/>
      </c>
      <c r="K32" s="14" t="str">
        <f t="shared" si="3"/>
        <v/>
      </c>
      <c r="L32" s="14" t="str">
        <f t="shared" si="3"/>
        <v/>
      </c>
      <c r="N32" s="186" t="s">
        <v>426</v>
      </c>
    </row>
    <row r="33" spans="1:14" x14ac:dyDescent="0.35">
      <c r="A33" t="str">
        <f t="shared" ref="A33:A38" si="4">IF(A5="","","    "&amp;A5&amp;" Balance")</f>
        <v xml:space="preserve">    Upper Basin Balance</v>
      </c>
      <c r="B33" s="109">
        <f>B19-B21</f>
        <v>1.2734237500000001</v>
      </c>
      <c r="C33" s="106" t="str">
        <f>IF(OR(C$28="",$A33=""),"",B33)</f>
        <v/>
      </c>
      <c r="D33" s="14" t="str">
        <f t="shared" ref="D33:D38" si="5">IF(OR(D$28="",$A33=""),"",C125)</f>
        <v/>
      </c>
      <c r="E33" s="14" t="str">
        <f t="shared" ref="E33:L33" si="6">IF(OR(E$28="",$A33=""),"",D125)</f>
        <v/>
      </c>
      <c r="F33" s="14" t="str">
        <f t="shared" si="6"/>
        <v/>
      </c>
      <c r="G33" s="14" t="str">
        <f t="shared" si="6"/>
        <v/>
      </c>
      <c r="H33" s="14" t="str">
        <f t="shared" si="6"/>
        <v/>
      </c>
      <c r="I33" s="14" t="str">
        <f t="shared" si="6"/>
        <v/>
      </c>
      <c r="J33" s="14" t="str">
        <f t="shared" si="6"/>
        <v/>
      </c>
      <c r="K33" s="14" t="str">
        <f t="shared" si="6"/>
        <v/>
      </c>
      <c r="L33" s="14" t="str">
        <f t="shared" si="6"/>
        <v/>
      </c>
      <c r="N33" s="190"/>
    </row>
    <row r="34" spans="1:14" x14ac:dyDescent="0.35">
      <c r="A34" t="str">
        <f t="shared" si="4"/>
        <v xml:space="preserve">    Lower Basin Balance</v>
      </c>
      <c r="B34" s="109">
        <f>C19-C21-B35</f>
        <v>3.1614070000000001</v>
      </c>
      <c r="C34" s="106" t="str">
        <f t="shared" ref="C34:C38" si="7">IF(OR(C$28="",$A34=""),"",B34)</f>
        <v/>
      </c>
      <c r="D34" s="14" t="str">
        <f t="shared" si="5"/>
        <v/>
      </c>
      <c r="E34" s="14" t="str">
        <f t="shared" ref="E34:L38" si="8">IF(OR(E$28="",$A34=""),"",D126)</f>
        <v/>
      </c>
      <c r="F34" s="14" t="str">
        <f t="shared" si="8"/>
        <v/>
      </c>
      <c r="G34" s="14" t="str">
        <f t="shared" si="8"/>
        <v/>
      </c>
      <c r="H34" s="14" t="str">
        <f t="shared" si="8"/>
        <v/>
      </c>
      <c r="I34" s="14" t="str">
        <f t="shared" si="8"/>
        <v/>
      </c>
      <c r="J34" s="14" t="str">
        <f t="shared" si="8"/>
        <v/>
      </c>
      <c r="K34" s="14" t="str">
        <f t="shared" si="8"/>
        <v/>
      </c>
      <c r="L34" s="14" t="str">
        <f t="shared" si="8"/>
        <v/>
      </c>
      <c r="N34" s="190"/>
    </row>
    <row r="35" spans="1:14" x14ac:dyDescent="0.35">
      <c r="A35" t="str">
        <f t="shared" si="4"/>
        <v xml:space="preserve">    Mexico Balance</v>
      </c>
      <c r="B35" s="110">
        <v>0.17399999999999999</v>
      </c>
      <c r="C35" s="107" t="str">
        <f t="shared" si="7"/>
        <v/>
      </c>
      <c r="D35" s="50" t="str">
        <f t="shared" si="5"/>
        <v/>
      </c>
      <c r="E35" s="50" t="str">
        <f t="shared" si="8"/>
        <v/>
      </c>
      <c r="F35" s="50" t="str">
        <f t="shared" si="8"/>
        <v/>
      </c>
      <c r="G35" s="50" t="str">
        <f t="shared" si="8"/>
        <v/>
      </c>
      <c r="H35" s="14" t="str">
        <f t="shared" si="8"/>
        <v/>
      </c>
      <c r="I35" s="14" t="str">
        <f t="shared" si="8"/>
        <v/>
      </c>
      <c r="J35" s="14" t="str">
        <f t="shared" si="8"/>
        <v/>
      </c>
      <c r="K35" s="14" t="str">
        <f t="shared" si="8"/>
        <v/>
      </c>
      <c r="L35" s="14" t="str">
        <f t="shared" si="8"/>
        <v/>
      </c>
      <c r="N35" s="190"/>
    </row>
    <row r="36" spans="1:14" x14ac:dyDescent="0.35">
      <c r="A36" t="str">
        <f t="shared" si="4"/>
        <v xml:space="preserve">    Colorado River Delta Balance</v>
      </c>
      <c r="B36" s="109">
        <v>0</v>
      </c>
      <c r="C36" s="106" t="str">
        <f t="shared" si="7"/>
        <v/>
      </c>
      <c r="D36" s="14" t="str">
        <f t="shared" si="5"/>
        <v/>
      </c>
      <c r="E36" s="14" t="str">
        <f t="shared" si="8"/>
        <v/>
      </c>
      <c r="F36" s="14" t="str">
        <f t="shared" si="8"/>
        <v/>
      </c>
      <c r="G36" s="14" t="str">
        <f t="shared" si="8"/>
        <v/>
      </c>
      <c r="H36" s="14" t="str">
        <f t="shared" si="8"/>
        <v/>
      </c>
      <c r="I36" s="14" t="str">
        <f t="shared" si="8"/>
        <v/>
      </c>
      <c r="J36" s="14" t="str">
        <f t="shared" si="8"/>
        <v/>
      </c>
      <c r="K36" s="14" t="str">
        <f t="shared" si="8"/>
        <v/>
      </c>
      <c r="L36" s="14" t="str">
        <f t="shared" si="8"/>
        <v/>
      </c>
      <c r="N36" s="190"/>
    </row>
    <row r="37" spans="1:14" x14ac:dyDescent="0.35">
      <c r="A37" t="str">
        <f t="shared" si="4"/>
        <v xml:space="preserve">    First Nations Balance</v>
      </c>
      <c r="B37" s="109">
        <f>IF(A37&lt;&gt;"",0,"")</f>
        <v>0</v>
      </c>
      <c r="C37" s="106" t="str">
        <f t="shared" si="7"/>
        <v/>
      </c>
      <c r="D37" s="14" t="str">
        <f t="shared" si="5"/>
        <v/>
      </c>
      <c r="E37" s="14" t="str">
        <f t="shared" si="8"/>
        <v/>
      </c>
      <c r="F37" s="14" t="str">
        <f t="shared" si="8"/>
        <v/>
      </c>
      <c r="G37" s="14" t="str">
        <f t="shared" si="8"/>
        <v/>
      </c>
      <c r="H37" s="14" t="str">
        <f t="shared" si="8"/>
        <v/>
      </c>
      <c r="I37" s="14" t="str">
        <f t="shared" si="8"/>
        <v/>
      </c>
      <c r="J37" s="14" t="str">
        <f t="shared" si="8"/>
        <v/>
      </c>
      <c r="K37" s="14" t="str">
        <f t="shared" si="8"/>
        <v/>
      </c>
      <c r="L37" s="14" t="str">
        <f t="shared" si="8"/>
        <v/>
      </c>
      <c r="N37" s="190"/>
    </row>
    <row r="38" spans="1:14" x14ac:dyDescent="0.35">
      <c r="A38" t="str">
        <f t="shared" si="4"/>
        <v xml:space="preserve">    Shared, Reserve Balance</v>
      </c>
      <c r="B38" s="109">
        <f>SUM(B21:C21)</f>
        <v>11.59116925</v>
      </c>
      <c r="C38" s="106" t="str">
        <f t="shared" si="7"/>
        <v/>
      </c>
      <c r="D38" s="14" t="str">
        <f t="shared" si="5"/>
        <v/>
      </c>
      <c r="E38" s="14" t="str">
        <f t="shared" si="8"/>
        <v/>
      </c>
      <c r="F38" s="14" t="str">
        <f t="shared" si="8"/>
        <v/>
      </c>
      <c r="G38" s="14" t="str">
        <f t="shared" si="8"/>
        <v/>
      </c>
      <c r="H38" s="14" t="str">
        <f t="shared" si="8"/>
        <v/>
      </c>
      <c r="I38" s="14" t="str">
        <f t="shared" si="8"/>
        <v/>
      </c>
      <c r="J38" s="14" t="str">
        <f t="shared" si="8"/>
        <v/>
      </c>
      <c r="K38" s="14" t="str">
        <f t="shared" si="8"/>
        <v/>
      </c>
      <c r="L38" s="14" t="str">
        <f t="shared" si="8"/>
        <v/>
      </c>
      <c r="N38" s="190"/>
    </row>
    <row r="39" spans="1:14" x14ac:dyDescent="0.35">
      <c r="A39" s="1" t="s">
        <v>369</v>
      </c>
      <c r="C39"/>
      <c r="N39" s="189" t="s">
        <v>446</v>
      </c>
    </row>
    <row r="40" spans="1:14" x14ac:dyDescent="0.35">
      <c r="A40" t="s">
        <v>111</v>
      </c>
      <c r="C40" s="14" t="str">
        <f>IF(C$28&lt;&gt;"",IF(COLUMN(C27)=COLUMN($C27),$B$19,B133),"")</f>
        <v/>
      </c>
      <c r="D40" s="14" t="str">
        <f t="shared" ref="D40:L40" si="9">IF(D$28&lt;&gt;"",IF(COLUMN(D27)=COLUMN($C27),$B$19,C133),"")</f>
        <v/>
      </c>
      <c r="E40" s="14" t="str">
        <f t="shared" si="9"/>
        <v/>
      </c>
      <c r="F40" s="14" t="str">
        <f t="shared" si="9"/>
        <v/>
      </c>
      <c r="G40" s="14" t="str">
        <f t="shared" si="9"/>
        <v/>
      </c>
      <c r="H40" s="14" t="str">
        <f t="shared" si="9"/>
        <v/>
      </c>
      <c r="I40" s="14" t="str">
        <f t="shared" si="9"/>
        <v/>
      </c>
      <c r="J40" s="14" t="str">
        <f t="shared" si="9"/>
        <v/>
      </c>
      <c r="K40" s="14" t="str">
        <f t="shared" si="9"/>
        <v/>
      </c>
      <c r="L40" s="14" t="str">
        <f t="shared" si="9"/>
        <v/>
      </c>
      <c r="N40" s="190"/>
    </row>
    <row r="41" spans="1:14" x14ac:dyDescent="0.35">
      <c r="A41" t="s">
        <v>112</v>
      </c>
      <c r="C41" s="14" t="str">
        <f>IF(C$28&lt;&gt;"",IF(COLUMN(C28)=COLUMN($C28),$C$19,B134),"")</f>
        <v/>
      </c>
      <c r="D41" s="14" t="str">
        <f t="shared" ref="D41:L41" si="10">IF(D$28&lt;&gt;"",IF(COLUMN(D28)=COLUMN($C28),$C$19,C134),"")</f>
        <v/>
      </c>
      <c r="E41" s="14" t="str">
        <f t="shared" si="10"/>
        <v/>
      </c>
      <c r="F41" s="14" t="str">
        <f t="shared" si="10"/>
        <v/>
      </c>
      <c r="G41" s="14" t="str">
        <f t="shared" si="10"/>
        <v/>
      </c>
      <c r="H41" s="14" t="str">
        <f t="shared" si="10"/>
        <v/>
      </c>
      <c r="I41" s="14" t="str">
        <f t="shared" si="10"/>
        <v/>
      </c>
      <c r="J41" s="14" t="str">
        <f t="shared" si="10"/>
        <v/>
      </c>
      <c r="K41" s="14" t="str">
        <f t="shared" si="10"/>
        <v/>
      </c>
      <c r="L41" s="14" t="str">
        <f t="shared" si="10"/>
        <v/>
      </c>
      <c r="N41" s="190"/>
    </row>
    <row r="42" spans="1:14" x14ac:dyDescent="0.35">
      <c r="A42" s="1" t="s">
        <v>357</v>
      </c>
      <c r="B42" s="1"/>
      <c r="C42" s="14" t="str">
        <f>IF(C$28&lt;&gt;"",VLOOKUP(C40*1000000,'Powell-Elevation-Area'!$B$5:$D$689,3)*$B$18/1000000 + VLOOKUP(C41*1000000,'Mead-Elevation-Area'!$B$5:$D$676,3)*$C$18/1000000,"")</f>
        <v/>
      </c>
      <c r="D42" s="14" t="str">
        <f>IF(D$28&lt;&gt;"",VLOOKUP(D40*1000000,'Powell-Elevation-Area'!$B$5:$D$689,3)*$B$18/1000000 + VLOOKUP(D41*1000000,'Mead-Elevation-Area'!$B$5:$D$676,3)*$C$18/1000000,"")</f>
        <v/>
      </c>
      <c r="E42" s="14" t="str">
        <f>IF(E$28&lt;&gt;"",VLOOKUP(E40*1000000,'Powell-Elevation-Area'!$B$5:$D$689,3)*$B$18/1000000 + VLOOKUP(E41*1000000,'Mead-Elevation-Area'!$B$5:$D$676,3)*$C$18/1000000,"")</f>
        <v/>
      </c>
      <c r="F42" s="14" t="str">
        <f>IF(F$28&lt;&gt;"",VLOOKUP(F40*1000000,'Powell-Elevation-Area'!$B$5:$D$689,3)*$B$18/1000000 + VLOOKUP(F41*1000000,'Mead-Elevation-Area'!$B$5:$D$676,3)*$C$18/1000000,"")</f>
        <v/>
      </c>
      <c r="G42" s="14" t="str">
        <f>IF(G$28&lt;&gt;"",VLOOKUP(G40*1000000,'Powell-Elevation-Area'!$B$5:$D$689,3)*$B$18/1000000 + VLOOKUP(G41*1000000,'Mead-Elevation-Area'!$B$5:$D$676,3)*$C$18/1000000,"")</f>
        <v/>
      </c>
      <c r="H42" s="14" t="str">
        <f>IF(H$28&lt;&gt;"",VLOOKUP(H40*1000000,'Powell-Elevation-Area'!$B$5:$D$689,3)*$B$18/1000000 + VLOOKUP(H41*1000000,'Mead-Elevation-Area'!$B$5:$D$676,3)*$C$18/1000000,"")</f>
        <v/>
      </c>
      <c r="I42" s="14" t="str">
        <f>IF(I$28&lt;&gt;"",VLOOKUP(I40*1000000,'Powell-Elevation-Area'!$B$5:$D$689,3)*$B$18/1000000 + VLOOKUP(I41*1000000,'Mead-Elevation-Area'!$B$5:$D$676,3)*$C$18/1000000,"")</f>
        <v/>
      </c>
      <c r="J42" s="14" t="str">
        <f>IF(J$28&lt;&gt;"",VLOOKUP(J40*1000000,'Powell-Elevation-Area'!$B$5:$D$689,3)*$B$18/1000000 + VLOOKUP(J41*1000000,'Mead-Elevation-Area'!$B$5:$D$676,3)*$C$18/1000000,"")</f>
        <v/>
      </c>
      <c r="K42" s="14" t="str">
        <f>IF(K$28&lt;&gt;"",VLOOKUP(K40*1000000,'Powell-Elevation-Area'!$B$5:$D$689,3)*$B$18/1000000 + VLOOKUP(K41*1000000,'Mead-Elevation-Area'!$B$5:$D$676,3)*$C$18/1000000,"")</f>
        <v/>
      </c>
      <c r="L42" s="14" t="str">
        <f>IF(L$28&lt;&gt;"",VLOOKUP(L40*1000000,'Powell-Elevation-Area'!$B$5:$D$689,3)*$B$18/1000000 + VLOOKUP(L41*1000000,'Mead-Elevation-Area'!$B$5:$D$676,3)*$C$18/1000000,"")</f>
        <v/>
      </c>
      <c r="N42" s="189" t="s">
        <v>427</v>
      </c>
    </row>
    <row r="43" spans="1:14" x14ac:dyDescent="0.35">
      <c r="A43" t="str">
        <f t="shared" ref="A43:A48" si="11">IF(A5="","","    "&amp;A5&amp;" Share")</f>
        <v xml:space="preserve">    Upper Basin Share</v>
      </c>
      <c r="B43" s="1"/>
      <c r="C43" s="14" t="str">
        <f t="shared" ref="C43:L43" si="12">IF(OR(C$28="",$A43=""),"",C$42*C33/C$32)</f>
        <v/>
      </c>
      <c r="D43" s="14" t="str">
        <f t="shared" si="12"/>
        <v/>
      </c>
      <c r="E43" s="14" t="str">
        <f t="shared" si="12"/>
        <v/>
      </c>
      <c r="F43" s="14" t="str">
        <f t="shared" si="12"/>
        <v/>
      </c>
      <c r="G43" s="14" t="str">
        <f t="shared" si="12"/>
        <v/>
      </c>
      <c r="H43" s="14" t="str">
        <f t="shared" si="12"/>
        <v/>
      </c>
      <c r="I43" s="14" t="str">
        <f t="shared" si="12"/>
        <v/>
      </c>
      <c r="J43" s="14" t="str">
        <f t="shared" si="12"/>
        <v/>
      </c>
      <c r="K43" s="14" t="str">
        <f t="shared" si="12"/>
        <v/>
      </c>
      <c r="L43" s="14" t="str">
        <f t="shared" si="12"/>
        <v/>
      </c>
      <c r="N43" s="190"/>
    </row>
    <row r="44" spans="1:14" x14ac:dyDescent="0.35">
      <c r="A44" t="str">
        <f t="shared" si="11"/>
        <v xml:space="preserve">    Lower Basin Share</v>
      </c>
      <c r="B44" s="1"/>
      <c r="C44" s="14" t="str">
        <f t="shared" ref="C44:L44" si="13">IF(OR(C$28="",$A44=""),"",C$42*C34/C$32)</f>
        <v/>
      </c>
      <c r="D44" s="14" t="str">
        <f t="shared" si="13"/>
        <v/>
      </c>
      <c r="E44" s="14" t="str">
        <f t="shared" si="13"/>
        <v/>
      </c>
      <c r="F44" s="14" t="str">
        <f t="shared" si="13"/>
        <v/>
      </c>
      <c r="G44" s="14" t="str">
        <f t="shared" si="13"/>
        <v/>
      </c>
      <c r="H44" s="14" t="str">
        <f t="shared" si="13"/>
        <v/>
      </c>
      <c r="I44" s="14" t="str">
        <f t="shared" si="13"/>
        <v/>
      </c>
      <c r="J44" s="14" t="str">
        <f t="shared" si="13"/>
        <v/>
      </c>
      <c r="K44" s="14" t="str">
        <f t="shared" si="13"/>
        <v/>
      </c>
      <c r="L44" s="14" t="str">
        <f t="shared" si="13"/>
        <v/>
      </c>
      <c r="N44" s="190"/>
    </row>
    <row r="45" spans="1:14" x14ac:dyDescent="0.35">
      <c r="A45" t="str">
        <f t="shared" si="11"/>
        <v xml:space="preserve">    Mexico Share</v>
      </c>
      <c r="B45" s="1"/>
      <c r="C45" s="14" t="str">
        <f t="shared" ref="C45:L45" si="14">IF(OR(C$28="",$A45=""),"",C$42*C35/C$32)</f>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c r="N45" s="190"/>
    </row>
    <row r="46" spans="1:14" x14ac:dyDescent="0.35">
      <c r="A46" t="str">
        <f t="shared" si="11"/>
        <v xml:space="preserve">    Colorado River Delta Share</v>
      </c>
      <c r="B46" s="1"/>
      <c r="C46" s="14" t="str">
        <f t="shared" ref="C46:L46" si="15">IF(OR(C$28="",$A46=""),"",C$42*C36/C$32)</f>
        <v/>
      </c>
      <c r="D46" s="14" t="str">
        <f t="shared" si="15"/>
        <v/>
      </c>
      <c r="E46" s="14" t="str">
        <f t="shared" si="15"/>
        <v/>
      </c>
      <c r="F46" s="14" t="str">
        <f t="shared" si="15"/>
        <v/>
      </c>
      <c r="G46" s="14" t="str">
        <f t="shared" si="15"/>
        <v/>
      </c>
      <c r="H46" s="14" t="str">
        <f t="shared" si="15"/>
        <v/>
      </c>
      <c r="I46" s="14" t="str">
        <f t="shared" si="15"/>
        <v/>
      </c>
      <c r="J46" s="14" t="str">
        <f t="shared" si="15"/>
        <v/>
      </c>
      <c r="K46" s="14" t="str">
        <f t="shared" si="15"/>
        <v/>
      </c>
      <c r="L46" s="14" t="str">
        <f t="shared" si="15"/>
        <v/>
      </c>
      <c r="N46" s="190"/>
    </row>
    <row r="47" spans="1:14" x14ac:dyDescent="0.35">
      <c r="A47" t="str">
        <f t="shared" si="11"/>
        <v xml:space="preserve">    First Nations Share</v>
      </c>
      <c r="B47" s="1"/>
      <c r="C47" s="14" t="str">
        <f t="shared" ref="C47:L47" si="16">IF(OR(C$28="",$A47=""),"",C$42*C37/C$32)</f>
        <v/>
      </c>
      <c r="D47" s="14" t="str">
        <f t="shared" si="16"/>
        <v/>
      </c>
      <c r="E47" s="14" t="str">
        <f t="shared" si="16"/>
        <v/>
      </c>
      <c r="F47" s="14" t="str">
        <f t="shared" si="16"/>
        <v/>
      </c>
      <c r="G47" s="14" t="str">
        <f t="shared" si="16"/>
        <v/>
      </c>
      <c r="H47" s="14" t="str">
        <f t="shared" si="16"/>
        <v/>
      </c>
      <c r="I47" s="14" t="str">
        <f t="shared" si="16"/>
        <v/>
      </c>
      <c r="J47" s="14" t="str">
        <f t="shared" si="16"/>
        <v/>
      </c>
      <c r="K47" s="14" t="str">
        <f t="shared" si="16"/>
        <v/>
      </c>
      <c r="L47" s="14" t="str">
        <f t="shared" si="16"/>
        <v/>
      </c>
      <c r="N47" s="190"/>
    </row>
    <row r="48" spans="1:14" x14ac:dyDescent="0.35">
      <c r="A48" t="str">
        <f t="shared" si="11"/>
        <v xml:space="preserve">    Shared, Reserve Share</v>
      </c>
      <c r="B48" s="1"/>
      <c r="C48" s="14" t="str">
        <f t="shared" ref="C48:L48" si="17">IF(OR(C$28="",$A48=""),"",C$42*C38/C$32)</f>
        <v/>
      </c>
      <c r="D48" s="14" t="str">
        <f t="shared" si="17"/>
        <v/>
      </c>
      <c r="E48" s="14" t="str">
        <f t="shared" si="17"/>
        <v/>
      </c>
      <c r="F48" s="14" t="str">
        <f t="shared" si="17"/>
        <v/>
      </c>
      <c r="G48" s="14" t="str">
        <f t="shared" si="17"/>
        <v/>
      </c>
      <c r="H48" s="14" t="str">
        <f t="shared" si="17"/>
        <v/>
      </c>
      <c r="I48" s="14" t="str">
        <f t="shared" si="17"/>
        <v/>
      </c>
      <c r="J48" s="14" t="str">
        <f t="shared" si="17"/>
        <v/>
      </c>
      <c r="K48" s="14" t="str">
        <f t="shared" si="17"/>
        <v/>
      </c>
      <c r="L48" s="14" t="str">
        <f t="shared" si="17"/>
        <v/>
      </c>
      <c r="N48" s="190"/>
    </row>
    <row r="49" spans="1:16" x14ac:dyDescent="0.35">
      <c r="A49" s="1" t="s">
        <v>358</v>
      </c>
      <c r="B49" s="72"/>
      <c r="C49" s="47" t="str">
        <f>IF(C$28&lt;&gt;"",1.5-0.21/9/2-VLOOKUP(C41,MandatoryConservation!$C$5:$P$13,13),"")</f>
        <v/>
      </c>
      <c r="D49" s="47" t="str">
        <f>IF(D$28&lt;&gt;"",1.5-0.21/9/2-VLOOKUP(D41,MandatoryConservation!$C$5:$P$13,13),"")</f>
        <v/>
      </c>
      <c r="E49" s="47" t="str">
        <f>IF(E$28&lt;&gt;"",1.5-0.21/9/2-VLOOKUP(E41,MandatoryConservation!$C$5:$P$13,13),"")</f>
        <v/>
      </c>
      <c r="F49" s="47" t="str">
        <f>IF(F$28&lt;&gt;"",1.5-0.21/9/2-VLOOKUP(F41,MandatoryConservation!$C$5:$P$13,13),"")</f>
        <v/>
      </c>
      <c r="G49" s="47" t="str">
        <f>IF(G$28&lt;&gt;"",1.5-0.21/9/2-VLOOKUP(G41,MandatoryConservation!$C$5:$P$13,13),"")</f>
        <v/>
      </c>
      <c r="H49" s="47" t="str">
        <f>IF(H$28&lt;&gt;"",1.5-0.21/9/2-VLOOKUP(H41,MandatoryConservation!$C$5:$P$13,13),"")</f>
        <v/>
      </c>
      <c r="I49" s="47" t="str">
        <f>IF(I$28&lt;&gt;"",1.5-0.21/9/2-VLOOKUP(I41,MandatoryConservation!$C$5:$P$13,13),"")</f>
        <v/>
      </c>
      <c r="J49" s="47" t="str">
        <f>IF(J$28&lt;&gt;"",1.5-0.21/9/2-VLOOKUP(J41,MandatoryConservation!$C$5:$P$13,13),"")</f>
        <v/>
      </c>
      <c r="K49" s="47" t="str">
        <f>IF(K$28&lt;&gt;"",1.5-0.21/9/2-VLOOKUP(K41,MandatoryConservation!$C$5:$P$13,13),"")</f>
        <v/>
      </c>
      <c r="L49" s="47" t="str">
        <f>IF(L$28&lt;&gt;"",1.5-0.21/9/2-VLOOKUP(L41,MandatoryConservation!$C$5:$P$13,13),"")</f>
        <v/>
      </c>
      <c r="N49" s="189" t="s">
        <v>428</v>
      </c>
    </row>
    <row r="50" spans="1:16" x14ac:dyDescent="0.35">
      <c r="A50" s="168" t="s">
        <v>390</v>
      </c>
      <c r="B50" s="1"/>
      <c r="C50" s="14" t="str">
        <f>IF(C28="","",SUM(C28:C30))</f>
        <v/>
      </c>
      <c r="D50" s="14" t="str">
        <f t="shared" ref="D50:L50" si="18">IF(D28="","",SUM(D28:D30))</f>
        <v/>
      </c>
      <c r="E50" s="14" t="str">
        <f t="shared" si="18"/>
        <v/>
      </c>
      <c r="F50" s="14" t="str">
        <f t="shared" si="18"/>
        <v/>
      </c>
      <c r="G50" s="14" t="str">
        <f t="shared" si="18"/>
        <v/>
      </c>
      <c r="H50" s="14" t="str">
        <f t="shared" si="18"/>
        <v/>
      </c>
      <c r="I50" s="14" t="str">
        <f t="shared" si="18"/>
        <v/>
      </c>
      <c r="J50" s="14" t="str">
        <f t="shared" si="18"/>
        <v/>
      </c>
      <c r="K50" s="14" t="str">
        <f t="shared" si="18"/>
        <v/>
      </c>
      <c r="L50" s="14" t="str">
        <f t="shared" si="18"/>
        <v/>
      </c>
      <c r="M50" s="43"/>
      <c r="N50" s="187" t="s">
        <v>429</v>
      </c>
      <c r="P50" t="s">
        <v>450</v>
      </c>
    </row>
    <row r="51" spans="1:16" x14ac:dyDescent="0.35">
      <c r="A51" t="str">
        <f t="shared" ref="A51:A56" si="19">IF(A5="","","    To "&amp;A5)</f>
        <v xml:space="preserve">    To Upper Basin</v>
      </c>
      <c r="B51" s="127" t="s">
        <v>462</v>
      </c>
      <c r="C51" s="106" t="str">
        <f>IF(OR(C$28="",$A52=""),"",MAX(0,MAX(0,C50-SUM(C52:C57))))</f>
        <v/>
      </c>
      <c r="D51" s="106" t="str">
        <f t="shared" ref="D51:L51" si="20">IF(OR(D$28="",$A52=""),"",MAX(0,MAX(0,D50-SUM(D52:D57))))</f>
        <v/>
      </c>
      <c r="E51" s="106" t="str">
        <f t="shared" si="20"/>
        <v/>
      </c>
      <c r="F51" s="106" t="str">
        <f t="shared" si="20"/>
        <v/>
      </c>
      <c r="G51" s="106" t="str">
        <f t="shared" si="20"/>
        <v/>
      </c>
      <c r="H51" s="106" t="str">
        <f t="shared" si="20"/>
        <v/>
      </c>
      <c r="I51" s="106" t="str">
        <f t="shared" si="20"/>
        <v/>
      </c>
      <c r="J51" s="106" t="str">
        <f t="shared" si="20"/>
        <v/>
      </c>
      <c r="K51" s="106" t="str">
        <f t="shared" si="20"/>
        <v/>
      </c>
      <c r="L51" s="106" t="str">
        <f t="shared" si="20"/>
        <v/>
      </c>
      <c r="M51" s="27"/>
      <c r="N51" s="191"/>
      <c r="P51" s="106" t="str">
        <f>IF(OR(P$28="",$A51=""),"",MAX(P28-($B$24)-P56*$B$21/SUM($B$21:$C$21),0))</f>
        <v/>
      </c>
    </row>
    <row r="52" spans="1:16" x14ac:dyDescent="0.35">
      <c r="A52" t="str">
        <f t="shared" si="19"/>
        <v xml:space="preserve">    To Lower Basin</v>
      </c>
      <c r="B52" s="128" t="e">
        <f>7.5-IF($A$9="",0,0.95)-C57*IF($A$9="",(7.2/8.7),(7.2-0.95)/8.7)</f>
        <v>#VALUE!</v>
      </c>
      <c r="C52" s="106" t="str">
        <f>IF(OR(C$28="",$A52=""),"",MAX(0,MIN($B$52,C28-SUM(C53/2,C54/4,C55,C56/2,C57)-MAX(0,MIN($B$25,C28-SUM(C56/2,C54/4,C53/2,1.06))))))</f>
        <v/>
      </c>
      <c r="D52" s="106" t="str">
        <f t="shared" ref="D52:L52" si="21">IF(OR(D$28="",$A52=""),"",MAX(0,MIN($B$52,D28-SUM(D53/2,D54/4,D55,D56/2,D57)-MAX(0,MIN($B$25,D28-SUM(D56/2,D54/4,D53/2,1.06))))))</f>
        <v/>
      </c>
      <c r="E52" s="106" t="str">
        <f t="shared" si="21"/>
        <v/>
      </c>
      <c r="F52" s="106" t="str">
        <f t="shared" si="21"/>
        <v/>
      </c>
      <c r="G52" s="106" t="str">
        <f t="shared" si="21"/>
        <v/>
      </c>
      <c r="H52" s="106" t="str">
        <f t="shared" si="21"/>
        <v/>
      </c>
      <c r="I52" s="106" t="str">
        <f t="shared" si="21"/>
        <v/>
      </c>
      <c r="J52" s="106" t="str">
        <f t="shared" si="21"/>
        <v/>
      </c>
      <c r="K52" s="106" t="str">
        <f t="shared" si="21"/>
        <v/>
      </c>
      <c r="L52" s="106" t="str">
        <f t="shared" si="21"/>
        <v/>
      </c>
      <c r="M52" s="27"/>
      <c r="N52" s="191"/>
      <c r="P52" s="106" t="str">
        <f>IF(OR(P$28="",$A52=""),"",P29+P30-P31-P56*$C$21/SUM($B$21:$C$21)-P53+MIN($B$24,P28))</f>
        <v/>
      </c>
    </row>
    <row r="53" spans="1:16" x14ac:dyDescent="0.35">
      <c r="A53" t="str">
        <f t="shared" si="19"/>
        <v xml:space="preserve">    To Mexico</v>
      </c>
      <c r="B53" s="128" t="s">
        <v>327</v>
      </c>
      <c r="C53" s="107" t="str">
        <f>IF(OR(C$28="",$A53=""),"",MIN(C49-C54/2,C$50-SUM(C54:C57))-C57*(1.5/8.7))</f>
        <v/>
      </c>
      <c r="D53" s="107" t="str">
        <f t="shared" ref="D53:L53" si="22">IF(OR(D$28="",$A53=""),"",MIN(D49-D54/2,D$50-SUM(D54:D57))-D57*(1.5/8.7))</f>
        <v/>
      </c>
      <c r="E53" s="107" t="str">
        <f t="shared" si="22"/>
        <v/>
      </c>
      <c r="F53" s="107" t="str">
        <f t="shared" si="22"/>
        <v/>
      </c>
      <c r="G53" s="107" t="str">
        <f t="shared" si="22"/>
        <v/>
      </c>
      <c r="H53" s="107" t="str">
        <f t="shared" si="22"/>
        <v/>
      </c>
      <c r="I53" s="107" t="str">
        <f t="shared" si="22"/>
        <v/>
      </c>
      <c r="J53" s="107" t="str">
        <f t="shared" si="22"/>
        <v/>
      </c>
      <c r="K53" s="107" t="str">
        <f t="shared" si="22"/>
        <v/>
      </c>
      <c r="L53" s="107" t="str">
        <f t="shared" si="22"/>
        <v/>
      </c>
      <c r="M53" s="27"/>
      <c r="N53" s="191"/>
    </row>
    <row r="54" spans="1:16" x14ac:dyDescent="0.35">
      <c r="A54" t="str">
        <f t="shared" si="19"/>
        <v xml:space="preserve">    To Colorado River Delta</v>
      </c>
      <c r="B54" s="137">
        <f>0.21/9*(2/3)</f>
        <v>1.5555555555555553E-2</v>
      </c>
      <c r="C54" s="138" t="str">
        <f>IF(OR(C$28="",$A54=""),"",MIN($B54,C$50-SUM(C55:C56)))</f>
        <v/>
      </c>
      <c r="D54" s="138" t="str">
        <f t="shared" ref="D54:L54" si="23">IF(OR(D$28="",$A54=""),"",MIN($B54,D$50-SUM(D55:D56)))</f>
        <v/>
      </c>
      <c r="E54" s="138" t="str">
        <f t="shared" si="23"/>
        <v/>
      </c>
      <c r="F54" s="138" t="str">
        <f t="shared" si="23"/>
        <v/>
      </c>
      <c r="G54" s="138" t="str">
        <f t="shared" si="23"/>
        <v/>
      </c>
      <c r="H54" s="138" t="str">
        <f t="shared" si="23"/>
        <v/>
      </c>
      <c r="I54" s="138" t="str">
        <f t="shared" si="23"/>
        <v/>
      </c>
      <c r="J54" s="138" t="str">
        <f t="shared" si="23"/>
        <v/>
      </c>
      <c r="K54" s="138" t="str">
        <f t="shared" si="23"/>
        <v/>
      </c>
      <c r="L54" s="138" t="str">
        <f t="shared" si="23"/>
        <v/>
      </c>
      <c r="M54" s="27"/>
      <c r="N54" s="191"/>
    </row>
    <row r="55" spans="1:16" x14ac:dyDescent="0.35">
      <c r="A55" t="str">
        <f t="shared" si="19"/>
        <v xml:space="preserve">    To First Nations</v>
      </c>
      <c r="B55" s="128">
        <f>IF($A$9&lt;&gt;"",2.01,"")</f>
        <v>2.0099999999999998</v>
      </c>
      <c r="C55" s="106" t="str">
        <f>IF(OR(C$28="",$A55=""),"",MIN($B55,C$50-SUM(C56:C57))-C57*0.95/8.7)</f>
        <v/>
      </c>
      <c r="D55" s="106" t="str">
        <f t="shared" ref="D55:L55" si="24">IF(OR(D$28="",$A55=""),"",MIN($B55,D$50-SUM(D56:D57))-D57*0.95/8.7)</f>
        <v/>
      </c>
      <c r="E55" s="106" t="str">
        <f t="shared" si="24"/>
        <v/>
      </c>
      <c r="F55" s="106" t="str">
        <f t="shared" si="24"/>
        <v/>
      </c>
      <c r="G55" s="106" t="str">
        <f t="shared" si="24"/>
        <v/>
      </c>
      <c r="H55" s="106" t="str">
        <f t="shared" si="24"/>
        <v/>
      </c>
      <c r="I55" s="106" t="str">
        <f t="shared" si="24"/>
        <v/>
      </c>
      <c r="J55" s="106" t="str">
        <f t="shared" si="24"/>
        <v/>
      </c>
      <c r="K55" s="106" t="str">
        <f t="shared" si="24"/>
        <v/>
      </c>
      <c r="L55" s="106" t="str">
        <f t="shared" si="24"/>
        <v/>
      </c>
      <c r="M55" s="27"/>
      <c r="N55" s="191"/>
    </row>
    <row r="56" spans="1:16" x14ac:dyDescent="0.35">
      <c r="A56" t="str">
        <f t="shared" si="19"/>
        <v xml:space="preserve">    To Shared, Reserve</v>
      </c>
      <c r="B56" s="128" t="s">
        <v>335</v>
      </c>
      <c r="C56" s="201" t="str">
        <f>IF(OR(C$28="",$A56=""),"",IF(C$50&gt;C48,C48,C50))</f>
        <v/>
      </c>
      <c r="D56" s="201" t="str">
        <f t="shared" ref="D56:L56" si="25">IF(OR(D$28="",$A56=""),"",IF(D$50&gt;D48,D48,D50))</f>
        <v/>
      </c>
      <c r="E56" s="201" t="str">
        <f t="shared" si="25"/>
        <v/>
      </c>
      <c r="F56" s="201" t="str">
        <f t="shared" si="25"/>
        <v/>
      </c>
      <c r="G56" s="201" t="str">
        <f t="shared" si="25"/>
        <v/>
      </c>
      <c r="H56" s="201" t="str">
        <f t="shared" si="25"/>
        <v/>
      </c>
      <c r="I56" s="201" t="str">
        <f t="shared" si="25"/>
        <v/>
      </c>
      <c r="J56" s="201" t="str">
        <f t="shared" si="25"/>
        <v/>
      </c>
      <c r="K56" s="201" t="str">
        <f t="shared" si="25"/>
        <v/>
      </c>
      <c r="L56" s="201" t="str">
        <f t="shared" si="25"/>
        <v/>
      </c>
      <c r="M56" s="27"/>
      <c r="N56" s="191"/>
    </row>
    <row r="57" spans="1:16" x14ac:dyDescent="0.35">
      <c r="A57" t="str">
        <f>IF(A31="","","    To "&amp;A31)</f>
        <v xml:space="preserve">    To Havasu / Parker evaporation and ET</v>
      </c>
      <c r="B57" s="200" t="s">
        <v>463</v>
      </c>
      <c r="C57" s="202" t="str">
        <f>IF(OR(C$28="",$A57=""),"",MIN(C31,C50-C56))</f>
        <v/>
      </c>
      <c r="D57" s="202" t="str">
        <f t="shared" ref="D57:L57" si="26">IF(OR(D$28="",$A57=""),"",MIN(D31,D50-D56))</f>
        <v/>
      </c>
      <c r="E57" s="202" t="str">
        <f t="shared" si="26"/>
        <v/>
      </c>
      <c r="F57" s="202" t="str">
        <f t="shared" si="26"/>
        <v/>
      </c>
      <c r="G57" s="202" t="str">
        <f t="shared" si="26"/>
        <v/>
      </c>
      <c r="H57" s="202" t="str">
        <f t="shared" si="26"/>
        <v/>
      </c>
      <c r="I57" s="202" t="str">
        <f t="shared" si="26"/>
        <v/>
      </c>
      <c r="J57" s="202" t="str">
        <f t="shared" si="26"/>
        <v/>
      </c>
      <c r="K57" s="202" t="str">
        <f t="shared" si="26"/>
        <v/>
      </c>
      <c r="L57" s="202" t="str">
        <f t="shared" si="26"/>
        <v/>
      </c>
      <c r="M57" s="27"/>
      <c r="N57" s="191"/>
    </row>
    <row r="58" spans="1:16" x14ac:dyDescent="0.35">
      <c r="B58" s="28"/>
      <c r="C58" s="27">
        <f>SUM(C51:C57)</f>
        <v>0</v>
      </c>
      <c r="D58" s="27">
        <f>SUM(D51:D57)</f>
        <v>0</v>
      </c>
      <c r="E58" s="27"/>
      <c r="F58" s="157"/>
      <c r="G58" s="43"/>
      <c r="N58" s="190"/>
    </row>
    <row r="59" spans="1:16" x14ac:dyDescent="0.35">
      <c r="A59" s="134" t="s">
        <v>391</v>
      </c>
      <c r="B59" s="131"/>
      <c r="C59" s="131"/>
      <c r="D59" s="131"/>
      <c r="E59" s="131"/>
      <c r="F59" s="131"/>
      <c r="G59" s="131"/>
      <c r="H59" s="131"/>
      <c r="I59" s="131"/>
      <c r="J59" s="131"/>
      <c r="K59" s="131"/>
      <c r="L59" s="131"/>
      <c r="M59" s="131"/>
      <c r="N59" s="185" t="str">
        <f>N3</f>
        <v>HELP, CONTEXT, and SUGGESTIONS</v>
      </c>
    </row>
    <row r="60" spans="1:16" x14ac:dyDescent="0.35">
      <c r="A60" s="160" t="str">
        <f>IF(A$5="[Unused]","",A5)</f>
        <v>Upper Basin</v>
      </c>
      <c r="B60" s="132"/>
      <c r="C60" s="132"/>
      <c r="D60" s="132"/>
      <c r="E60" s="132"/>
      <c r="F60" s="132"/>
      <c r="G60" s="132"/>
      <c r="H60" s="132"/>
      <c r="I60" s="132"/>
      <c r="J60" s="132"/>
      <c r="K60" s="132"/>
      <c r="L60" s="132"/>
      <c r="M60" s="133" t="s">
        <v>105</v>
      </c>
      <c r="N60" s="186" t="s">
        <v>430</v>
      </c>
    </row>
    <row r="61" spans="1:16" x14ac:dyDescent="0.35">
      <c r="A61" s="169" t="str">
        <f>IF(A60="[Unused]","","   Enter volume to Buy(+) or Sell(-) [maf]")</f>
        <v xml:space="preserve">   Enter volume to Buy(+) or Sell(-) [maf]</v>
      </c>
      <c r="C61" s="123"/>
      <c r="D61" s="123"/>
      <c r="E61" s="123"/>
      <c r="F61" s="123"/>
      <c r="G61" s="123"/>
      <c r="H61" s="123"/>
      <c r="I61" s="123"/>
      <c r="J61" s="123"/>
      <c r="K61" s="123"/>
      <c r="L61" s="123"/>
      <c r="M61" s="65">
        <f>SUM(C61:L61)</f>
        <v>0</v>
      </c>
      <c r="N61" s="192" t="s">
        <v>431</v>
      </c>
    </row>
    <row r="62" spans="1:16" x14ac:dyDescent="0.35">
      <c r="A62" s="169" t="str">
        <f>IF(A61="","","   Enter compensation to Buy(-) or Sell(+) [$ Mill]")</f>
        <v xml:space="preserve">   Enter compensation to Buy(-) or Sell(+) [$ Mill]</v>
      </c>
      <c r="C62" s="124"/>
      <c r="D62" s="124"/>
      <c r="E62" s="124"/>
      <c r="F62" s="123"/>
      <c r="G62" s="124"/>
      <c r="H62" s="124"/>
      <c r="I62" s="124"/>
      <c r="J62" s="124"/>
      <c r="K62" s="124"/>
      <c r="L62" s="124"/>
      <c r="M62" s="63">
        <f>SUM(C62:L62)</f>
        <v>0</v>
      </c>
      <c r="N62" s="193" t="s">
        <v>432</v>
      </c>
    </row>
    <row r="63" spans="1:16" x14ac:dyDescent="0.35">
      <c r="A63" s="30" t="str">
        <f>IF(A62="","","   Net trade volume all players (should be zero)")</f>
        <v xml:space="preserve">   Net trade volume all players (should be zero)</v>
      </c>
      <c r="C63" s="65" t="str">
        <f t="shared" ref="C63:M63" si="27">IF(OR(C$28="",$A63=""),"",C$116)</f>
        <v/>
      </c>
      <c r="D63" s="65" t="str">
        <f t="shared" si="27"/>
        <v/>
      </c>
      <c r="E63" s="65" t="str">
        <f t="shared" si="27"/>
        <v/>
      </c>
      <c r="F63" s="65" t="str">
        <f t="shared" si="27"/>
        <v/>
      </c>
      <c r="G63" s="65" t="str">
        <f t="shared" si="27"/>
        <v/>
      </c>
      <c r="H63" s="65" t="str">
        <f t="shared" si="27"/>
        <v/>
      </c>
      <c r="I63" s="65" t="str">
        <f t="shared" si="27"/>
        <v/>
      </c>
      <c r="J63" s="65" t="str">
        <f t="shared" si="27"/>
        <v/>
      </c>
      <c r="K63" s="65" t="str">
        <f t="shared" si="27"/>
        <v/>
      </c>
      <c r="L63" s="65" t="str">
        <f t="shared" si="27"/>
        <v/>
      </c>
      <c r="M63" t="str">
        <f t="shared" si="27"/>
        <v/>
      </c>
      <c r="N63" s="189" t="s">
        <v>433</v>
      </c>
    </row>
    <row r="64" spans="1:16" x14ac:dyDescent="0.35">
      <c r="A64" s="1" t="str">
        <f>IF(A62="","","   Available Water [maf]")</f>
        <v xml:space="preserve">   Available Water [maf]</v>
      </c>
      <c r="C64" s="14" t="str">
        <f>IF(OR(C$28="",$A64=""),"",C33+C51-C43+C61)</f>
        <v/>
      </c>
      <c r="D64" s="14" t="str">
        <f t="shared" ref="D64:L64" si="28">IF(OR(D$28="",$A64=""),"",D33+D51-D43+D61)</f>
        <v/>
      </c>
      <c r="E64" s="14" t="str">
        <f t="shared" si="28"/>
        <v/>
      </c>
      <c r="F64" s="14" t="str">
        <f t="shared" si="28"/>
        <v/>
      </c>
      <c r="G64" s="14" t="str">
        <f t="shared" si="28"/>
        <v/>
      </c>
      <c r="H64" s="14" t="str">
        <f t="shared" si="28"/>
        <v/>
      </c>
      <c r="I64" s="14" t="str">
        <f t="shared" si="28"/>
        <v/>
      </c>
      <c r="J64" s="14" t="str">
        <f t="shared" si="28"/>
        <v/>
      </c>
      <c r="K64" s="14" t="str">
        <f t="shared" si="28"/>
        <v/>
      </c>
      <c r="L64" s="14" t="str">
        <f t="shared" si="28"/>
        <v/>
      </c>
      <c r="N64" s="189" t="s">
        <v>434</v>
      </c>
    </row>
    <row r="65" spans="1:14" x14ac:dyDescent="0.35">
      <c r="A65" s="168" t="str">
        <f>IF(A64="","","   Enter withdraw [maf] within available water")</f>
        <v xml:space="preserve">   Enter withdraw [maf] within available water</v>
      </c>
      <c r="C65" s="125"/>
      <c r="D65" s="125"/>
      <c r="E65" s="125"/>
      <c r="F65" s="125"/>
      <c r="G65" s="125"/>
      <c r="H65" s="125"/>
      <c r="I65" s="125"/>
      <c r="J65" s="125"/>
      <c r="K65" s="125"/>
      <c r="L65" s="125"/>
      <c r="N65" s="189" t="s">
        <v>447</v>
      </c>
    </row>
    <row r="66" spans="1:14" x14ac:dyDescent="0.35">
      <c r="A66" s="30" t="str">
        <f>IF(A65="","","   End of Year Balance [maf]")</f>
        <v xml:space="preserve">   End of Year Balance [maf]</v>
      </c>
      <c r="C66" s="64" t="str">
        <f>IF(OR(C$28="",$A66=""),"",C64-C65)</f>
        <v/>
      </c>
      <c r="D66" s="64" t="str">
        <f t="shared" ref="D66:L66" si="29">IF(OR(D$28="",$A66=""),"",D64-D65)</f>
        <v/>
      </c>
      <c r="E66" s="64" t="str">
        <f t="shared" si="29"/>
        <v/>
      </c>
      <c r="F66" s="64" t="str">
        <f t="shared" si="29"/>
        <v/>
      </c>
      <c r="G66" s="64" t="str">
        <f t="shared" si="29"/>
        <v/>
      </c>
      <c r="H66" s="64" t="str">
        <f t="shared" si="29"/>
        <v/>
      </c>
      <c r="I66" s="64" t="str">
        <f t="shared" si="29"/>
        <v/>
      </c>
      <c r="J66" s="64" t="str">
        <f t="shared" si="29"/>
        <v/>
      </c>
      <c r="K66" s="64" t="str">
        <f t="shared" si="29"/>
        <v/>
      </c>
      <c r="L66" s="64" t="str">
        <f t="shared" si="29"/>
        <v/>
      </c>
      <c r="N66" s="189" t="s">
        <v>435</v>
      </c>
    </row>
    <row r="67" spans="1:14" x14ac:dyDescent="0.35">
      <c r="C67"/>
      <c r="N67" s="190"/>
    </row>
    <row r="68" spans="1:14" x14ac:dyDescent="0.35">
      <c r="A68" s="160" t="str">
        <f>IF(A$6="","[Unused]",A6)</f>
        <v>Lower Basin</v>
      </c>
      <c r="B68" s="132"/>
      <c r="C68" s="132"/>
      <c r="D68" s="132"/>
      <c r="E68" s="132"/>
      <c r="F68" s="132"/>
      <c r="G68" s="132"/>
      <c r="H68" s="132"/>
      <c r="I68" s="132"/>
      <c r="J68" s="132"/>
      <c r="K68" s="132"/>
      <c r="L68" s="132"/>
      <c r="M68" s="133" t="s">
        <v>105</v>
      </c>
      <c r="N68" s="186" t="s">
        <v>430</v>
      </c>
    </row>
    <row r="69" spans="1:14" x14ac:dyDescent="0.35">
      <c r="A69" s="169" t="str">
        <f>IF(A68="[Unused]","",$A$61)</f>
        <v xml:space="preserve">   Enter volume to Buy(+) or Sell(-) [maf]</v>
      </c>
      <c r="C69" s="123"/>
      <c r="D69" s="123"/>
      <c r="E69" s="123"/>
      <c r="F69" s="123"/>
      <c r="G69" s="123"/>
      <c r="H69" s="123"/>
      <c r="I69" s="123"/>
      <c r="J69" s="123"/>
      <c r="K69" s="123"/>
      <c r="L69" s="123"/>
      <c r="M69" s="65">
        <f>SUM(C69:L69)</f>
        <v>0</v>
      </c>
      <c r="N69" s="192" t="s">
        <v>431</v>
      </c>
    </row>
    <row r="70" spans="1:14" x14ac:dyDescent="0.35">
      <c r="A70" s="169" t="str">
        <f>IF(A69="","",$A$62)</f>
        <v xml:space="preserve">   Enter compensation to Buy(-) or Sell(+) [$ Mill]</v>
      </c>
      <c r="C70" s="124"/>
      <c r="D70" s="124"/>
      <c r="E70" s="124"/>
      <c r="F70" s="124"/>
      <c r="G70" s="124"/>
      <c r="H70" s="124"/>
      <c r="I70" s="124"/>
      <c r="J70" s="124"/>
      <c r="K70" s="124"/>
      <c r="L70" s="124"/>
      <c r="M70" s="63">
        <f>SUM(C70:L70)</f>
        <v>0</v>
      </c>
      <c r="N70" s="193" t="s">
        <v>432</v>
      </c>
    </row>
    <row r="71" spans="1:14" x14ac:dyDescent="0.35">
      <c r="A71" s="175" t="str">
        <f>IF(A70="","",$A$63)</f>
        <v xml:space="preserve">   Net trade volume all players (should be zero)</v>
      </c>
      <c r="C71" s="65" t="str">
        <f t="shared" ref="C71:M71" si="30">IF(OR(C$28="",$A71=""),"",C$116)</f>
        <v/>
      </c>
      <c r="D71" s="65" t="str">
        <f t="shared" si="30"/>
        <v/>
      </c>
      <c r="E71" s="65" t="str">
        <f t="shared" si="30"/>
        <v/>
      </c>
      <c r="F71" s="65" t="str">
        <f t="shared" si="30"/>
        <v/>
      </c>
      <c r="G71" s="65" t="str">
        <f t="shared" si="30"/>
        <v/>
      </c>
      <c r="H71" s="65" t="str">
        <f t="shared" si="30"/>
        <v/>
      </c>
      <c r="I71" s="65" t="str">
        <f t="shared" si="30"/>
        <v/>
      </c>
      <c r="J71" s="65" t="str">
        <f t="shared" si="30"/>
        <v/>
      </c>
      <c r="K71" s="65" t="str">
        <f t="shared" si="30"/>
        <v/>
      </c>
      <c r="L71" s="65" t="str">
        <f t="shared" si="30"/>
        <v/>
      </c>
      <c r="M71" t="str">
        <f t="shared" si="30"/>
        <v/>
      </c>
      <c r="N71" s="189" t="s">
        <v>433</v>
      </c>
    </row>
    <row r="72" spans="1:14" x14ac:dyDescent="0.35">
      <c r="A72" s="1" t="str">
        <f>IF(A70="","","   Available Water [maf]")</f>
        <v xml:space="preserve">   Available Water [maf]</v>
      </c>
      <c r="C72" s="14" t="str">
        <f>IF(OR(C$28="",$A72=""),"",C34+C52-C44+C69)</f>
        <v/>
      </c>
      <c r="D72" s="14" t="str">
        <f t="shared" ref="D72:L72" si="31">IF(OR(D$28="",$A72=""),"",D34+D52-D44+D69)</f>
        <v/>
      </c>
      <c r="E72" s="14" t="str">
        <f t="shared" si="31"/>
        <v/>
      </c>
      <c r="F72" s="14" t="str">
        <f t="shared" si="31"/>
        <v/>
      </c>
      <c r="G72" s="14" t="str">
        <f t="shared" si="31"/>
        <v/>
      </c>
      <c r="H72" s="14" t="str">
        <f t="shared" si="31"/>
        <v/>
      </c>
      <c r="I72" s="14" t="str">
        <f t="shared" si="31"/>
        <v/>
      </c>
      <c r="J72" s="14" t="str">
        <f t="shared" si="31"/>
        <v/>
      </c>
      <c r="K72" s="14" t="str">
        <f t="shared" si="31"/>
        <v/>
      </c>
      <c r="L72" s="14" t="str">
        <f t="shared" si="31"/>
        <v/>
      </c>
      <c r="N72" s="189" t="s">
        <v>434</v>
      </c>
    </row>
    <row r="73" spans="1:14" x14ac:dyDescent="0.35">
      <c r="A73" s="168" t="str">
        <f>IF(A72="","",$A$65)</f>
        <v xml:space="preserve">   Enter withdraw [maf] within available water</v>
      </c>
      <c r="C73" s="125"/>
      <c r="D73" s="125"/>
      <c r="E73" s="125"/>
      <c r="F73" s="125"/>
      <c r="G73" s="125"/>
      <c r="H73" s="125"/>
      <c r="I73" s="125"/>
      <c r="J73" s="125"/>
      <c r="K73" s="125"/>
      <c r="L73" s="125"/>
      <c r="N73" s="189" t="s">
        <v>447</v>
      </c>
    </row>
    <row r="74" spans="1:14" x14ac:dyDescent="0.35">
      <c r="A74" s="30" t="str">
        <f>IF(A73="","","   End of Year Balance [maf]")</f>
        <v xml:space="preserve">   End of Year Balance [maf]</v>
      </c>
      <c r="C74" s="64" t="str">
        <f>IF(OR(C$28="",$A74=""),"",C72-C73)</f>
        <v/>
      </c>
      <c r="D74" s="64" t="str">
        <f t="shared" ref="D74:L74" si="32">IF(OR(D$28="",$A74=""),"",D72-D73)</f>
        <v/>
      </c>
      <c r="E74" s="64" t="str">
        <f t="shared" si="32"/>
        <v/>
      </c>
      <c r="F74" s="64" t="str">
        <f t="shared" si="32"/>
        <v/>
      </c>
      <c r="G74" s="64" t="str">
        <f t="shared" si="32"/>
        <v/>
      </c>
      <c r="H74" s="64" t="str">
        <f t="shared" si="32"/>
        <v/>
      </c>
      <c r="I74" s="64" t="str">
        <f t="shared" si="32"/>
        <v/>
      </c>
      <c r="J74" s="64" t="str">
        <f t="shared" si="32"/>
        <v/>
      </c>
      <c r="K74" s="64" t="str">
        <f t="shared" si="32"/>
        <v/>
      </c>
      <c r="L74" s="64" t="str">
        <f t="shared" si="32"/>
        <v/>
      </c>
      <c r="N74" s="189" t="s">
        <v>435</v>
      </c>
    </row>
    <row r="75" spans="1:14" x14ac:dyDescent="0.35">
      <c r="C75"/>
      <c r="N75" s="190"/>
    </row>
    <row r="76" spans="1:14" x14ac:dyDescent="0.35">
      <c r="A76" s="160" t="str">
        <f>IF(A$7="","[Unused]",A7)</f>
        <v>Mexico</v>
      </c>
      <c r="B76" s="132"/>
      <c r="C76" s="132"/>
      <c r="D76" s="132"/>
      <c r="E76" s="132"/>
      <c r="F76" s="132"/>
      <c r="G76" s="132"/>
      <c r="H76" s="132"/>
      <c r="I76" s="132"/>
      <c r="J76" s="132"/>
      <c r="K76" s="132"/>
      <c r="L76" s="132"/>
      <c r="M76" s="133" t="s">
        <v>105</v>
      </c>
      <c r="N76" s="186" t="s">
        <v>430</v>
      </c>
    </row>
    <row r="77" spans="1:14" x14ac:dyDescent="0.35">
      <c r="A77" s="169" t="str">
        <f>IF(A76="[Unused]","",$A$61)</f>
        <v xml:space="preserve">   Enter volume to Buy(+) or Sell(-) [maf]</v>
      </c>
      <c r="C77" s="123"/>
      <c r="D77" s="123"/>
      <c r="E77" s="123"/>
      <c r="F77" s="123"/>
      <c r="G77" s="123"/>
      <c r="H77" s="123"/>
      <c r="I77" s="123"/>
      <c r="J77" s="123"/>
      <c r="K77" s="123"/>
      <c r="L77" s="123"/>
      <c r="M77" s="65">
        <f>SUM(C77:L77)</f>
        <v>0</v>
      </c>
      <c r="N77" s="192" t="s">
        <v>431</v>
      </c>
    </row>
    <row r="78" spans="1:14" x14ac:dyDescent="0.35">
      <c r="A78" s="169" t="str">
        <f>IF(A77="","",$A$62)</f>
        <v xml:space="preserve">   Enter compensation to Buy(-) or Sell(+) [$ Mill]</v>
      </c>
      <c r="C78" s="124"/>
      <c r="D78" s="124"/>
      <c r="E78" s="124"/>
      <c r="F78" s="124"/>
      <c r="G78" s="124"/>
      <c r="H78" s="124"/>
      <c r="I78" s="124"/>
      <c r="J78" s="124"/>
      <c r="K78" s="124"/>
      <c r="L78" s="124"/>
      <c r="M78" s="63">
        <f>SUM(C78:L78)</f>
        <v>0</v>
      </c>
      <c r="N78" s="193" t="s">
        <v>432</v>
      </c>
    </row>
    <row r="79" spans="1:14" x14ac:dyDescent="0.35">
      <c r="A79" s="175" t="str">
        <f>IF(A78="","",$A$63)</f>
        <v xml:space="preserve">   Net trade volume all players (should be zero)</v>
      </c>
      <c r="C79" s="65" t="str">
        <f t="shared" ref="C79:M79" si="33">IF(OR(C$28="",$A79=""),"",C$116)</f>
        <v/>
      </c>
      <c r="D79" s="65" t="str">
        <f t="shared" si="33"/>
        <v/>
      </c>
      <c r="E79" s="65" t="str">
        <f t="shared" si="33"/>
        <v/>
      </c>
      <c r="F79" s="65" t="str">
        <f t="shared" si="33"/>
        <v/>
      </c>
      <c r="G79" s="65" t="str">
        <f t="shared" si="33"/>
        <v/>
      </c>
      <c r="H79" s="65" t="str">
        <f t="shared" si="33"/>
        <v/>
      </c>
      <c r="I79" s="65" t="str">
        <f t="shared" si="33"/>
        <v/>
      </c>
      <c r="J79" s="65" t="str">
        <f t="shared" si="33"/>
        <v/>
      </c>
      <c r="K79" s="65" t="str">
        <f t="shared" si="33"/>
        <v/>
      </c>
      <c r="L79" s="65" t="str">
        <f t="shared" si="33"/>
        <v/>
      </c>
      <c r="M79" t="str">
        <f t="shared" si="33"/>
        <v/>
      </c>
      <c r="N79" s="189" t="s">
        <v>433</v>
      </c>
    </row>
    <row r="80" spans="1:14" x14ac:dyDescent="0.35">
      <c r="A80" s="1" t="str">
        <f>IF(A78="","","   Available Water [maf]")</f>
        <v xml:space="preserve">   Available Water [maf]</v>
      </c>
      <c r="C80" s="14" t="str">
        <f>IF(OR(C$28="",$A80=""),"",C35+C53-C45+C77)</f>
        <v/>
      </c>
      <c r="D80" s="14" t="str">
        <f t="shared" ref="D80:L80" si="34">IF(OR(D$28="",$A80=""),"",D35+D53-D45+D77)</f>
        <v/>
      </c>
      <c r="E80" s="14" t="str">
        <f t="shared" si="34"/>
        <v/>
      </c>
      <c r="F80" s="14" t="str">
        <f t="shared" si="34"/>
        <v/>
      </c>
      <c r="G80" s="14" t="str">
        <f t="shared" si="34"/>
        <v/>
      </c>
      <c r="H80" s="14" t="str">
        <f t="shared" si="34"/>
        <v/>
      </c>
      <c r="I80" s="14" t="str">
        <f t="shared" si="34"/>
        <v/>
      </c>
      <c r="J80" s="14" t="str">
        <f t="shared" si="34"/>
        <v/>
      </c>
      <c r="K80" s="14" t="str">
        <f t="shared" si="34"/>
        <v/>
      </c>
      <c r="L80" s="14" t="str">
        <f t="shared" si="34"/>
        <v/>
      </c>
      <c r="N80" s="189" t="s">
        <v>434</v>
      </c>
    </row>
    <row r="81" spans="1:14" x14ac:dyDescent="0.35">
      <c r="A81" s="168" t="str">
        <f>IF(A80="","",$A$65)</f>
        <v xml:space="preserve">   Enter withdraw [maf] within available water</v>
      </c>
      <c r="C81" s="125"/>
      <c r="D81" s="125"/>
      <c r="E81" s="125"/>
      <c r="F81" s="125"/>
      <c r="G81" s="125"/>
      <c r="H81" s="125"/>
      <c r="I81" s="125"/>
      <c r="J81" s="125"/>
      <c r="K81" s="125"/>
      <c r="L81" s="125"/>
      <c r="N81" s="189" t="s">
        <v>447</v>
      </c>
    </row>
    <row r="82" spans="1:14" x14ac:dyDescent="0.35">
      <c r="A82" s="30" t="str">
        <f>IF(A81="","","   End of Year Balance [maf]")</f>
        <v xml:space="preserve">   End of Year Balance [maf]</v>
      </c>
      <c r="C82" s="64" t="str">
        <f>IF(OR(C$28="",$A82=""),"",C80-C81)</f>
        <v/>
      </c>
      <c r="D82" s="64" t="str">
        <f t="shared" ref="D82:L82" si="35">IF(OR(D$28="",$A82=""),"",D80-D81)</f>
        <v/>
      </c>
      <c r="E82" s="64" t="str">
        <f t="shared" si="35"/>
        <v/>
      </c>
      <c r="F82" s="64" t="str">
        <f t="shared" si="35"/>
        <v/>
      </c>
      <c r="G82" s="64" t="str">
        <f t="shared" si="35"/>
        <v/>
      </c>
      <c r="H82" s="64" t="str">
        <f t="shared" si="35"/>
        <v/>
      </c>
      <c r="I82" s="64" t="str">
        <f t="shared" si="35"/>
        <v/>
      </c>
      <c r="J82" s="64" t="str">
        <f t="shared" si="35"/>
        <v/>
      </c>
      <c r="K82" s="64" t="str">
        <f t="shared" si="35"/>
        <v/>
      </c>
      <c r="L82" s="64" t="str">
        <f t="shared" si="35"/>
        <v/>
      </c>
      <c r="N82" s="189" t="s">
        <v>435</v>
      </c>
    </row>
    <row r="83" spans="1:14" x14ac:dyDescent="0.35">
      <c r="C83"/>
      <c r="N83" s="190"/>
    </row>
    <row r="84" spans="1:14" x14ac:dyDescent="0.35">
      <c r="A84" s="160" t="str">
        <f>IF(A$8="","[Unused]",A8)</f>
        <v>Colorado River Delta</v>
      </c>
      <c r="B84" s="132"/>
      <c r="C84" s="132"/>
      <c r="D84" s="132"/>
      <c r="E84" s="132"/>
      <c r="F84" s="132"/>
      <c r="G84" s="132"/>
      <c r="H84" s="132"/>
      <c r="I84" s="132"/>
      <c r="J84" s="132"/>
      <c r="K84" s="132"/>
      <c r="L84" s="132"/>
      <c r="M84" s="133" t="s">
        <v>105</v>
      </c>
      <c r="N84" s="186" t="s">
        <v>430</v>
      </c>
    </row>
    <row r="85" spans="1:14" x14ac:dyDescent="0.35">
      <c r="A85" s="169" t="str">
        <f>IF(A84="[Unused]","",$A$61)</f>
        <v xml:space="preserve">   Enter volume to Buy(+) or Sell(-) [maf]</v>
      </c>
      <c r="C85" s="123"/>
      <c r="D85" s="123"/>
      <c r="E85" s="123"/>
      <c r="F85" s="123"/>
      <c r="G85" s="123"/>
      <c r="H85" s="123"/>
      <c r="I85" s="123"/>
      <c r="J85" s="123"/>
      <c r="K85" s="123"/>
      <c r="L85" s="123"/>
      <c r="M85" s="65">
        <f>SUM(C85:L85)</f>
        <v>0</v>
      </c>
      <c r="N85" s="192" t="s">
        <v>431</v>
      </c>
    </row>
    <row r="86" spans="1:14" x14ac:dyDescent="0.35">
      <c r="A86" s="169" t="str">
        <f>IF(A85="","",$A$62)</f>
        <v xml:space="preserve">   Enter compensation to Buy(-) or Sell(+) [$ Mill]</v>
      </c>
      <c r="C86" s="124"/>
      <c r="D86" s="124"/>
      <c r="E86" s="124"/>
      <c r="F86" s="124"/>
      <c r="G86" s="124"/>
      <c r="H86" s="124"/>
      <c r="I86" s="124"/>
      <c r="J86" s="124"/>
      <c r="K86" s="124"/>
      <c r="L86" s="124"/>
      <c r="M86" s="63">
        <f>SUM(C86:L86)</f>
        <v>0</v>
      </c>
      <c r="N86" s="193" t="s">
        <v>432</v>
      </c>
    </row>
    <row r="87" spans="1:14" x14ac:dyDescent="0.35">
      <c r="A87" s="175" t="str">
        <f>IF(A86="","",$A$63)</f>
        <v xml:space="preserve">   Net trade volume all players (should be zero)</v>
      </c>
      <c r="C87" s="65" t="str">
        <f t="shared" ref="C87:M87" si="36">IF(OR(C$28="",$A87=""),"",C$116)</f>
        <v/>
      </c>
      <c r="D87" s="65" t="str">
        <f t="shared" si="36"/>
        <v/>
      </c>
      <c r="E87" s="65" t="str">
        <f t="shared" si="36"/>
        <v/>
      </c>
      <c r="F87" s="65" t="str">
        <f t="shared" si="36"/>
        <v/>
      </c>
      <c r="G87" s="65" t="str">
        <f t="shared" si="36"/>
        <v/>
      </c>
      <c r="H87" s="65" t="str">
        <f t="shared" si="36"/>
        <v/>
      </c>
      <c r="I87" s="65" t="str">
        <f t="shared" si="36"/>
        <v/>
      </c>
      <c r="J87" s="65" t="str">
        <f t="shared" si="36"/>
        <v/>
      </c>
      <c r="K87" s="65" t="str">
        <f t="shared" si="36"/>
        <v/>
      </c>
      <c r="L87" s="65" t="str">
        <f t="shared" si="36"/>
        <v/>
      </c>
      <c r="M87" t="str">
        <f t="shared" si="36"/>
        <v/>
      </c>
      <c r="N87" s="189" t="s">
        <v>433</v>
      </c>
    </row>
    <row r="88" spans="1:14" x14ac:dyDescent="0.35">
      <c r="A88" s="1" t="str">
        <f>IF(A86="","","   Available Water [maf]")</f>
        <v xml:space="preserve">   Available Water [maf]</v>
      </c>
      <c r="C88" s="158" t="str">
        <f>IF(OR(C$28="",$A88=""),"",C36+C54-C46+C85)</f>
        <v/>
      </c>
      <c r="D88" s="158" t="str">
        <f t="shared" ref="D88:L88" si="37">IF(OR(D$28="",$A88=""),"",D36+D54-D46+D85)</f>
        <v/>
      </c>
      <c r="E88" s="158" t="str">
        <f t="shared" si="37"/>
        <v/>
      </c>
      <c r="F88" s="158" t="str">
        <f t="shared" si="37"/>
        <v/>
      </c>
      <c r="G88" s="158" t="str">
        <f t="shared" si="37"/>
        <v/>
      </c>
      <c r="H88" s="158" t="str">
        <f t="shared" si="37"/>
        <v/>
      </c>
      <c r="I88" s="158" t="str">
        <f t="shared" si="37"/>
        <v/>
      </c>
      <c r="J88" s="158" t="str">
        <f t="shared" si="37"/>
        <v/>
      </c>
      <c r="K88" s="158" t="str">
        <f t="shared" si="37"/>
        <v/>
      </c>
      <c r="L88" s="158" t="str">
        <f t="shared" si="37"/>
        <v/>
      </c>
      <c r="N88" s="189" t="s">
        <v>434</v>
      </c>
    </row>
    <row r="89" spans="1:14" x14ac:dyDescent="0.35">
      <c r="A89" s="168" t="str">
        <f>IF(A88="","",$A$65)</f>
        <v xml:space="preserve">   Enter withdraw [maf] within available water</v>
      </c>
      <c r="C89" s="159"/>
      <c r="D89" s="159"/>
      <c r="E89" s="159"/>
      <c r="F89" s="159"/>
      <c r="G89" s="159"/>
      <c r="H89" s="159"/>
      <c r="I89" s="159"/>
      <c r="J89" s="159"/>
      <c r="K89" s="159"/>
      <c r="L89" s="159"/>
      <c r="N89" s="189" t="s">
        <v>447</v>
      </c>
    </row>
    <row r="90" spans="1:14" x14ac:dyDescent="0.35">
      <c r="A90" s="30" t="str">
        <f>IF(A89="","","   End of Year Balance [maf]")</f>
        <v xml:space="preserve">   End of Year Balance [maf]</v>
      </c>
      <c r="C90" s="64" t="str">
        <f>IF(OR(C$28="",$A90=""),"",C88-C89)</f>
        <v/>
      </c>
      <c r="D90" s="64" t="str">
        <f t="shared" ref="D90:L90" si="38">IF(OR(D$28="",$A90=""),"",D88-D89)</f>
        <v/>
      </c>
      <c r="E90" s="64" t="str">
        <f t="shared" si="38"/>
        <v/>
      </c>
      <c r="F90" s="64" t="str">
        <f t="shared" si="38"/>
        <v/>
      </c>
      <c r="G90" s="64" t="str">
        <f t="shared" si="38"/>
        <v/>
      </c>
      <c r="H90" s="64" t="str">
        <f t="shared" si="38"/>
        <v/>
      </c>
      <c r="I90" s="64" t="str">
        <f t="shared" si="38"/>
        <v/>
      </c>
      <c r="J90" s="64" t="str">
        <f t="shared" si="38"/>
        <v/>
      </c>
      <c r="K90" s="64" t="str">
        <f t="shared" si="38"/>
        <v/>
      </c>
      <c r="L90" s="64" t="str">
        <f t="shared" si="38"/>
        <v/>
      </c>
      <c r="N90" s="189" t="s">
        <v>435</v>
      </c>
    </row>
    <row r="91" spans="1:14" x14ac:dyDescent="0.35">
      <c r="C91"/>
      <c r="N91" s="190"/>
    </row>
    <row r="92" spans="1:14" x14ac:dyDescent="0.35">
      <c r="A92" s="160" t="str">
        <f>IF(A$9="","[Unused]",A9)</f>
        <v>First Nations</v>
      </c>
      <c r="B92" s="132"/>
      <c r="C92" s="132"/>
      <c r="D92" s="132"/>
      <c r="E92" s="132"/>
      <c r="F92" s="132"/>
      <c r="G92" s="132"/>
      <c r="H92" s="132"/>
      <c r="I92" s="132"/>
      <c r="J92" s="132"/>
      <c r="K92" s="132"/>
      <c r="L92" s="132"/>
      <c r="M92" s="133" t="s">
        <v>105</v>
      </c>
      <c r="N92" s="186" t="s">
        <v>430</v>
      </c>
    </row>
    <row r="93" spans="1:14" x14ac:dyDescent="0.35">
      <c r="A93" s="30" t="str">
        <f>IF(A92="[Unused]","",$A$61)</f>
        <v xml:space="preserve">   Enter volume to Buy(+) or Sell(-) [maf]</v>
      </c>
      <c r="C93" s="123"/>
      <c r="D93" s="123"/>
      <c r="E93" s="123"/>
      <c r="F93" s="123"/>
      <c r="G93" s="123"/>
      <c r="H93" s="123"/>
      <c r="I93" s="123"/>
      <c r="J93" s="123"/>
      <c r="K93" s="123"/>
      <c r="L93" s="123"/>
      <c r="M93" s="65">
        <f>SUM(C93:L93)</f>
        <v>0</v>
      </c>
      <c r="N93" s="192" t="s">
        <v>431</v>
      </c>
    </row>
    <row r="94" spans="1:14" x14ac:dyDescent="0.35">
      <c r="A94" s="30" t="str">
        <f>IF(A93="","",$A$62)</f>
        <v xml:space="preserve">   Enter compensation to Buy(-) or Sell(+) [$ Mill]</v>
      </c>
      <c r="C94" s="124"/>
      <c r="D94" s="124"/>
      <c r="E94" s="124"/>
      <c r="F94" s="124"/>
      <c r="G94" s="124"/>
      <c r="H94" s="124"/>
      <c r="I94" s="124"/>
      <c r="J94" s="124"/>
      <c r="K94" s="124"/>
      <c r="L94" s="124"/>
      <c r="M94" s="63">
        <f>SUM(C94:L94)</f>
        <v>0</v>
      </c>
      <c r="N94" s="193" t="s">
        <v>432</v>
      </c>
    </row>
    <row r="95" spans="1:14" x14ac:dyDescent="0.35">
      <c r="A95" s="175" t="str">
        <f>IF(A94="","",$A$63)</f>
        <v xml:space="preserve">   Net trade volume all players (should be zero)</v>
      </c>
      <c r="C95" s="65" t="str">
        <f t="shared" ref="C95:M95" si="39">IF(OR(C$28="",$A95=""),"",C$116)</f>
        <v/>
      </c>
      <c r="D95" s="65" t="str">
        <f t="shared" si="39"/>
        <v/>
      </c>
      <c r="E95" s="65" t="str">
        <f t="shared" si="39"/>
        <v/>
      </c>
      <c r="F95" s="65" t="str">
        <f t="shared" si="39"/>
        <v/>
      </c>
      <c r="G95" s="65" t="str">
        <f t="shared" si="39"/>
        <v/>
      </c>
      <c r="H95" s="65" t="str">
        <f t="shared" si="39"/>
        <v/>
      </c>
      <c r="I95" s="65" t="str">
        <f t="shared" si="39"/>
        <v/>
      </c>
      <c r="J95" s="65" t="str">
        <f t="shared" si="39"/>
        <v/>
      </c>
      <c r="K95" s="65" t="str">
        <f t="shared" si="39"/>
        <v/>
      </c>
      <c r="L95" s="65" t="str">
        <f t="shared" si="39"/>
        <v/>
      </c>
      <c r="M95" t="str">
        <f t="shared" si="39"/>
        <v/>
      </c>
      <c r="N95" s="189" t="s">
        <v>433</v>
      </c>
    </row>
    <row r="96" spans="1:14" x14ac:dyDescent="0.35">
      <c r="A96" s="1" t="str">
        <f>IF(A94="","","   Available Water [maf]")</f>
        <v xml:space="preserve">   Available Water [maf]</v>
      </c>
      <c r="C96" s="14" t="str">
        <f>IF(OR(C$28="",$A96=""),"",C37+C55-C47+C93)</f>
        <v/>
      </c>
      <c r="D96" s="14" t="str">
        <f t="shared" ref="D96:L96" si="40">IF(OR(D$28="",$A96=""),"",D37+D55-D47+D93)</f>
        <v/>
      </c>
      <c r="E96" s="14" t="str">
        <f t="shared" si="40"/>
        <v/>
      </c>
      <c r="F96" s="14" t="str">
        <f t="shared" si="40"/>
        <v/>
      </c>
      <c r="G96" s="14" t="str">
        <f t="shared" si="40"/>
        <v/>
      </c>
      <c r="H96" s="14" t="str">
        <f t="shared" si="40"/>
        <v/>
      </c>
      <c r="I96" s="14" t="str">
        <f t="shared" si="40"/>
        <v/>
      </c>
      <c r="J96" s="14" t="str">
        <f t="shared" si="40"/>
        <v/>
      </c>
      <c r="K96" s="14" t="str">
        <f t="shared" si="40"/>
        <v/>
      </c>
      <c r="L96" s="14" t="str">
        <f t="shared" si="40"/>
        <v/>
      </c>
      <c r="N96" s="189" t="s">
        <v>434</v>
      </c>
    </row>
    <row r="97" spans="1:14" x14ac:dyDescent="0.35">
      <c r="A97" s="168" t="str">
        <f>IF(A96="","",$A$65)</f>
        <v xml:space="preserve">   Enter withdraw [maf] within available water</v>
      </c>
      <c r="C97" s="125"/>
      <c r="D97" s="125"/>
      <c r="E97" s="125"/>
      <c r="F97" s="125"/>
      <c r="G97" s="125"/>
      <c r="H97" s="125"/>
      <c r="I97" s="125"/>
      <c r="J97" s="125"/>
      <c r="K97" s="125"/>
      <c r="L97" s="125"/>
      <c r="N97" s="189" t="s">
        <v>447</v>
      </c>
    </row>
    <row r="98" spans="1:14" x14ac:dyDescent="0.35">
      <c r="A98" s="30" t="str">
        <f>IF(A97="","","   End of Year Balance [maf]")</f>
        <v xml:space="preserve">   End of Year Balance [maf]</v>
      </c>
      <c r="C98" s="64" t="str">
        <f>IF(OR(C$28="",$A98=""),"",C96-C97)</f>
        <v/>
      </c>
      <c r="D98" s="64" t="str">
        <f t="shared" ref="D98:L98" si="41">IF(OR(D$28="",$A98=""),"",D96-D97)</f>
        <v/>
      </c>
      <c r="E98" s="64" t="str">
        <f t="shared" si="41"/>
        <v/>
      </c>
      <c r="F98" s="64" t="str">
        <f t="shared" si="41"/>
        <v/>
      </c>
      <c r="G98" s="64" t="str">
        <f t="shared" si="41"/>
        <v/>
      </c>
      <c r="H98" s="64" t="str">
        <f t="shared" si="41"/>
        <v/>
      </c>
      <c r="I98" s="64" t="str">
        <f t="shared" si="41"/>
        <v/>
      </c>
      <c r="J98" s="64" t="str">
        <f t="shared" si="41"/>
        <v/>
      </c>
      <c r="K98" s="64" t="str">
        <f t="shared" si="41"/>
        <v/>
      </c>
      <c r="L98" s="64" t="str">
        <f t="shared" si="41"/>
        <v/>
      </c>
      <c r="N98" s="189" t="s">
        <v>435</v>
      </c>
    </row>
    <row r="99" spans="1:14" x14ac:dyDescent="0.35">
      <c r="C99"/>
      <c r="N99" s="190"/>
    </row>
    <row r="100" spans="1:14" x14ac:dyDescent="0.35">
      <c r="A100" s="160" t="str">
        <f>IF(A$10="","[Unused]",A10)</f>
        <v>Shared, Reserve</v>
      </c>
      <c r="B100" s="132"/>
      <c r="C100" s="132"/>
      <c r="D100" s="132"/>
      <c r="E100" s="132"/>
      <c r="F100" s="132"/>
      <c r="G100" s="132"/>
      <c r="H100" s="132"/>
      <c r="I100" s="132"/>
      <c r="J100" s="132"/>
      <c r="K100" s="132"/>
      <c r="L100" s="132"/>
      <c r="M100" s="133" t="s">
        <v>105</v>
      </c>
      <c r="N100" s="189" t="s">
        <v>445</v>
      </c>
    </row>
    <row r="101" spans="1:14" x14ac:dyDescent="0.35">
      <c r="A101" s="169" t="str">
        <f>IF(A100="[Unused]","",$A$61)</f>
        <v xml:space="preserve">   Enter volume to Buy(+) or Sell(-) [maf]</v>
      </c>
      <c r="C101" s="24"/>
      <c r="D101" s="24"/>
      <c r="E101" s="24"/>
      <c r="F101" s="24"/>
      <c r="G101" s="24"/>
      <c r="H101" s="24"/>
      <c r="I101" s="24"/>
      <c r="J101" s="24"/>
      <c r="K101" s="24"/>
      <c r="L101" s="24"/>
      <c r="M101" s="65">
        <f>SUM(C101:L101)</f>
        <v>0</v>
      </c>
      <c r="N101" s="194"/>
    </row>
    <row r="102" spans="1:14" x14ac:dyDescent="0.35">
      <c r="A102" s="169" t="str">
        <f>IF(A101="","",$A$62)</f>
        <v xml:space="preserve">   Enter compensation to Buy(-) or Sell(+) [$ Mill]</v>
      </c>
      <c r="C102" s="151"/>
      <c r="D102" s="151"/>
      <c r="E102" s="151"/>
      <c r="F102" s="151"/>
      <c r="G102" s="151"/>
      <c r="H102" s="151"/>
      <c r="I102" s="151"/>
      <c r="J102" s="151"/>
      <c r="K102" s="151"/>
      <c r="L102" s="151"/>
      <c r="M102" s="63">
        <f>SUM(C102:L102)</f>
        <v>0</v>
      </c>
      <c r="N102" s="195"/>
    </row>
    <row r="103" spans="1:14" x14ac:dyDescent="0.35">
      <c r="A103" s="175" t="str">
        <f>IF(A102="","",$A$63)</f>
        <v xml:space="preserve">   Net trade volume all players (should be zero)</v>
      </c>
      <c r="C103" s="65" t="str">
        <f t="shared" ref="C103:M103" si="42">IF(OR(C$28="",$A103=""),"",C$116)</f>
        <v/>
      </c>
      <c r="D103" s="65" t="str">
        <f t="shared" si="42"/>
        <v/>
      </c>
      <c r="E103" s="65" t="str">
        <f t="shared" si="42"/>
        <v/>
      </c>
      <c r="F103" s="65" t="str">
        <f t="shared" si="42"/>
        <v/>
      </c>
      <c r="G103" s="65" t="str">
        <f t="shared" si="42"/>
        <v/>
      </c>
      <c r="H103" s="65" t="str">
        <f t="shared" si="42"/>
        <v/>
      </c>
      <c r="I103" s="65" t="str">
        <f t="shared" si="42"/>
        <v/>
      </c>
      <c r="J103" s="65" t="str">
        <f t="shared" si="42"/>
        <v/>
      </c>
      <c r="K103" s="65" t="str">
        <f t="shared" si="42"/>
        <v/>
      </c>
      <c r="L103" s="65" t="str">
        <f t="shared" si="42"/>
        <v/>
      </c>
      <c r="M103" t="str">
        <f t="shared" si="42"/>
        <v/>
      </c>
      <c r="N103" s="190"/>
    </row>
    <row r="104" spans="1:14" x14ac:dyDescent="0.35">
      <c r="A104" s="1" t="str">
        <f>IF(A102="","","   Available Water [maf]")</f>
        <v xml:space="preserve">   Available Water [maf]</v>
      </c>
      <c r="C104" s="14" t="str">
        <f>IF(OR(C$28="",$A104=""),"",C38+C56-C48+C101)</f>
        <v/>
      </c>
      <c r="D104" s="14" t="str">
        <f t="shared" ref="D104:L104" si="43">IF(OR(D$28="",$A104=""),"",D38+D56-D48+D101)</f>
        <v/>
      </c>
      <c r="E104" s="14" t="str">
        <f t="shared" si="43"/>
        <v/>
      </c>
      <c r="F104" s="14" t="str">
        <f t="shared" si="43"/>
        <v/>
      </c>
      <c r="G104" s="14" t="str">
        <f t="shared" si="43"/>
        <v/>
      </c>
      <c r="H104" s="14" t="str">
        <f t="shared" si="43"/>
        <v/>
      </c>
      <c r="I104" s="14" t="str">
        <f t="shared" si="43"/>
        <v/>
      </c>
      <c r="J104" s="14" t="str">
        <f t="shared" si="43"/>
        <v/>
      </c>
      <c r="K104" s="14" t="str">
        <f t="shared" si="43"/>
        <v/>
      </c>
      <c r="L104" s="14" t="str">
        <f t="shared" si="43"/>
        <v/>
      </c>
      <c r="N104" s="190"/>
    </row>
    <row r="105" spans="1:14" x14ac:dyDescent="0.35">
      <c r="A105" s="168" t="str">
        <f>IF(A104="","",$A$65)</f>
        <v xml:space="preserve">   Enter withdraw [maf] within available water</v>
      </c>
      <c r="C105" s="41"/>
      <c r="D105" s="41"/>
      <c r="E105" s="41"/>
      <c r="F105" s="41"/>
      <c r="G105" s="41"/>
      <c r="H105" s="41"/>
      <c r="I105" s="41"/>
      <c r="J105" s="41"/>
      <c r="K105" s="41"/>
      <c r="L105" s="41"/>
      <c r="N105" s="190"/>
    </row>
    <row r="106" spans="1:14" x14ac:dyDescent="0.35">
      <c r="A106" s="30" t="str">
        <f>IF(A105="","","   End of Year Balance [maf]")</f>
        <v xml:space="preserve">   End of Year Balance [maf]</v>
      </c>
      <c r="C106" s="64" t="str">
        <f>IF(OR(C$28="",$A106=""),"",C104-C105)</f>
        <v/>
      </c>
      <c r="D106" s="64" t="str">
        <f t="shared" ref="D106:L106" si="44">IF(OR(D$28="",$A106=""),"",D104-D105)</f>
        <v/>
      </c>
      <c r="E106" s="64" t="str">
        <f t="shared" si="44"/>
        <v/>
      </c>
      <c r="F106" s="64" t="str">
        <f t="shared" si="44"/>
        <v/>
      </c>
      <c r="G106" s="64" t="str">
        <f t="shared" si="44"/>
        <v/>
      </c>
      <c r="H106" s="64" t="str">
        <f t="shared" si="44"/>
        <v/>
      </c>
      <c r="I106" s="64" t="str">
        <f t="shared" si="44"/>
        <v/>
      </c>
      <c r="J106" s="64" t="str">
        <f t="shared" si="44"/>
        <v/>
      </c>
      <c r="K106" s="64" t="str">
        <f t="shared" si="44"/>
        <v/>
      </c>
      <c r="L106" s="64" t="str">
        <f t="shared" si="44"/>
        <v/>
      </c>
      <c r="N106" s="190"/>
    </row>
    <row r="107" spans="1:14" x14ac:dyDescent="0.35">
      <c r="C107"/>
      <c r="N107" s="190"/>
    </row>
    <row r="108" spans="1:14" x14ac:dyDescent="0.35">
      <c r="A108" s="134" t="s">
        <v>409</v>
      </c>
      <c r="B108" s="134"/>
      <c r="C108" s="134"/>
      <c r="D108" s="134"/>
      <c r="E108" s="134"/>
      <c r="F108" s="134"/>
      <c r="G108" s="134"/>
      <c r="H108" s="134"/>
      <c r="I108" s="134"/>
      <c r="J108" s="134"/>
      <c r="K108" s="134"/>
      <c r="L108" s="134"/>
      <c r="M108" s="134"/>
      <c r="N108" s="189" t="s">
        <v>436</v>
      </c>
    </row>
    <row r="109" spans="1:14" x14ac:dyDescent="0.35">
      <c r="A109" s="1" t="s">
        <v>347</v>
      </c>
      <c r="C109"/>
      <c r="M109" t="s">
        <v>179</v>
      </c>
      <c r="N109" s="190"/>
    </row>
    <row r="110" spans="1:14" x14ac:dyDescent="0.35">
      <c r="A110" t="str">
        <f t="shared" ref="A110:A115" si="45">IF(A5="","","    "&amp;A5)</f>
        <v xml:space="preserve">    Upper Basin</v>
      </c>
      <c r="B110" s="1"/>
      <c r="C110" s="65" t="str">
        <f t="shared" ref="C110:L110" ca="1" si="46">IF(OR(C$28="",$A110=""),"",OFFSET(C$61,8*(ROW(B110)-ROW(B$110)),0))</f>
        <v/>
      </c>
      <c r="D110" s="65" t="str">
        <f t="shared" ca="1" si="46"/>
        <v/>
      </c>
      <c r="E110" s="65" t="str">
        <f t="shared" ca="1" si="46"/>
        <v/>
      </c>
      <c r="F110" s="65" t="str">
        <f t="shared" ca="1" si="46"/>
        <v/>
      </c>
      <c r="G110" s="65" t="str">
        <f t="shared" ca="1" si="46"/>
        <v/>
      </c>
      <c r="H110" s="65" t="str">
        <f t="shared" ca="1" si="46"/>
        <v/>
      </c>
      <c r="I110" s="65" t="str">
        <f t="shared" ca="1" si="46"/>
        <v/>
      </c>
      <c r="J110" s="65" t="str">
        <f t="shared" ca="1" si="46"/>
        <v/>
      </c>
      <c r="K110" s="65" t="str">
        <f t="shared" ca="1" si="46"/>
        <v/>
      </c>
      <c r="L110" s="180" t="str">
        <f t="shared" ca="1" si="46"/>
        <v/>
      </c>
      <c r="M110" s="181">
        <f ca="1">IF(OR($A110=""),"",SUM(C110:L110))</f>
        <v>0</v>
      </c>
      <c r="N110" s="194"/>
    </row>
    <row r="111" spans="1:14" x14ac:dyDescent="0.35">
      <c r="A111" t="str">
        <f t="shared" si="45"/>
        <v xml:space="preserve">    Lower Basin</v>
      </c>
      <c r="B111" s="1"/>
      <c r="C111" s="65" t="str">
        <f t="shared" ref="C111:L111" ca="1" si="47">IF(OR(C$28="",$A111=""),"",OFFSET(C$61,8*(ROW(B111)-ROW(B$110)),0))</f>
        <v/>
      </c>
      <c r="D111" s="65" t="str">
        <f t="shared" ca="1" si="47"/>
        <v/>
      </c>
      <c r="E111" s="65" t="str">
        <f t="shared" ca="1" si="47"/>
        <v/>
      </c>
      <c r="F111" s="65" t="str">
        <f t="shared" ca="1" si="47"/>
        <v/>
      </c>
      <c r="G111" s="65" t="str">
        <f t="shared" ca="1" si="47"/>
        <v/>
      </c>
      <c r="H111" s="65" t="str">
        <f t="shared" ca="1" si="47"/>
        <v/>
      </c>
      <c r="I111" s="65" t="str">
        <f t="shared" ca="1" si="47"/>
        <v/>
      </c>
      <c r="J111" s="65" t="str">
        <f t="shared" ca="1" si="47"/>
        <v/>
      </c>
      <c r="K111" s="65" t="str">
        <f t="shared" ca="1" si="47"/>
        <v/>
      </c>
      <c r="L111" s="180" t="str">
        <f t="shared" ca="1" si="47"/>
        <v/>
      </c>
      <c r="M111" s="181">
        <f t="shared" ref="M111:M115" ca="1" si="48">IF(OR($A111=""),"",SUM(C111:L111))</f>
        <v>0</v>
      </c>
      <c r="N111" s="194"/>
    </row>
    <row r="112" spans="1:14" x14ac:dyDescent="0.35">
      <c r="A112" t="str">
        <f t="shared" si="45"/>
        <v xml:space="preserve">    Mexico</v>
      </c>
      <c r="B112" s="1"/>
      <c r="C112" s="65" t="str">
        <f t="shared" ref="C112:L112" ca="1" si="49">IF(OR(C$28="",$A112=""),"",OFFSET(C$61,8*(ROW(B112)-ROW(B$110)),0))</f>
        <v/>
      </c>
      <c r="D112" s="65" t="str">
        <f t="shared" ca="1" si="49"/>
        <v/>
      </c>
      <c r="E112" s="65" t="str">
        <f t="shared" ca="1" si="49"/>
        <v/>
      </c>
      <c r="F112" s="65" t="str">
        <f t="shared" ca="1" si="49"/>
        <v/>
      </c>
      <c r="G112" s="65" t="str">
        <f t="shared" ca="1" si="49"/>
        <v/>
      </c>
      <c r="H112" s="65" t="str">
        <f t="shared" ca="1" si="49"/>
        <v/>
      </c>
      <c r="I112" s="65" t="str">
        <f t="shared" ca="1" si="49"/>
        <v/>
      </c>
      <c r="J112" s="65" t="str">
        <f t="shared" ca="1" si="49"/>
        <v/>
      </c>
      <c r="K112" s="65" t="str">
        <f t="shared" ca="1" si="49"/>
        <v/>
      </c>
      <c r="L112" s="180" t="str">
        <f t="shared" ca="1" si="49"/>
        <v/>
      </c>
      <c r="M112" s="181">
        <f t="shared" ca="1" si="48"/>
        <v>0</v>
      </c>
      <c r="N112" s="194"/>
    </row>
    <row r="113" spans="1:14" x14ac:dyDescent="0.35">
      <c r="A113" t="str">
        <f t="shared" si="45"/>
        <v xml:space="preserve">    Colorado River Delta</v>
      </c>
      <c r="B113" s="1"/>
      <c r="C113" s="65" t="str">
        <f t="shared" ref="C113:L113" ca="1" si="50">IF(OR(C$28="",$A113=""),"",OFFSET(C$61,8*(ROW(B113)-ROW(B$110)),0))</f>
        <v/>
      </c>
      <c r="D113" s="65" t="str">
        <f t="shared" ca="1" si="50"/>
        <v/>
      </c>
      <c r="E113" s="65" t="str">
        <f t="shared" ca="1" si="50"/>
        <v/>
      </c>
      <c r="F113" s="65" t="str">
        <f t="shared" ca="1" si="50"/>
        <v/>
      </c>
      <c r="G113" s="65" t="str">
        <f t="shared" ca="1" si="50"/>
        <v/>
      </c>
      <c r="H113" s="65" t="str">
        <f t="shared" ca="1" si="50"/>
        <v/>
      </c>
      <c r="I113" s="65" t="str">
        <f t="shared" ca="1" si="50"/>
        <v/>
      </c>
      <c r="J113" s="65" t="str">
        <f t="shared" ca="1" si="50"/>
        <v/>
      </c>
      <c r="K113" s="65" t="str">
        <f t="shared" ca="1" si="50"/>
        <v/>
      </c>
      <c r="L113" s="180" t="str">
        <f t="shared" ca="1" si="50"/>
        <v/>
      </c>
      <c r="M113" s="181">
        <f t="shared" ca="1" si="48"/>
        <v>0</v>
      </c>
      <c r="N113" s="194"/>
    </row>
    <row r="114" spans="1:14" x14ac:dyDescent="0.35">
      <c r="A114" t="str">
        <f t="shared" si="45"/>
        <v xml:space="preserve">    First Nations</v>
      </c>
      <c r="B114" s="1"/>
      <c r="C114" s="65" t="str">
        <f t="shared" ref="C114:L114" ca="1" si="51">IF(OR(C$28="",$A114=""),"",OFFSET(C$61,8*(ROW(B114)-ROW(B$110)),0))</f>
        <v/>
      </c>
      <c r="D114" s="65" t="str">
        <f t="shared" ca="1" si="51"/>
        <v/>
      </c>
      <c r="E114" s="65" t="str">
        <f t="shared" ca="1" si="51"/>
        <v/>
      </c>
      <c r="F114" s="65" t="str">
        <f t="shared" ca="1" si="51"/>
        <v/>
      </c>
      <c r="G114" s="65" t="str">
        <f t="shared" ca="1" si="51"/>
        <v/>
      </c>
      <c r="H114" s="65" t="str">
        <f t="shared" ca="1" si="51"/>
        <v/>
      </c>
      <c r="I114" s="65" t="str">
        <f t="shared" ca="1" si="51"/>
        <v/>
      </c>
      <c r="J114" s="65" t="str">
        <f t="shared" ca="1" si="51"/>
        <v/>
      </c>
      <c r="K114" s="65" t="str">
        <f t="shared" ca="1" si="51"/>
        <v/>
      </c>
      <c r="L114" s="180" t="str">
        <f t="shared" ca="1" si="51"/>
        <v/>
      </c>
      <c r="M114" s="181">
        <f t="shared" ca="1" si="48"/>
        <v>0</v>
      </c>
      <c r="N114" s="194"/>
    </row>
    <row r="115" spans="1:14" x14ac:dyDescent="0.35">
      <c r="A115" t="str">
        <f t="shared" si="45"/>
        <v xml:space="preserve">    Shared, Reserve</v>
      </c>
      <c r="B115" s="1"/>
      <c r="C115" s="65" t="str">
        <f t="shared" ref="C115:L115" ca="1" si="52">IF(OR(C$28="",$A115=""),"",OFFSET(C$61,8*(ROW(B115)-ROW(B$110)),0))</f>
        <v/>
      </c>
      <c r="D115" s="65" t="str">
        <f t="shared" ca="1" si="52"/>
        <v/>
      </c>
      <c r="E115" s="65" t="str">
        <f t="shared" ca="1" si="52"/>
        <v/>
      </c>
      <c r="F115" s="65" t="str">
        <f t="shared" ca="1" si="52"/>
        <v/>
      </c>
      <c r="G115" s="65" t="str">
        <f t="shared" ca="1" si="52"/>
        <v/>
      </c>
      <c r="H115" s="65" t="str">
        <f t="shared" ca="1" si="52"/>
        <v/>
      </c>
      <c r="I115" s="65" t="str">
        <f t="shared" ca="1" si="52"/>
        <v/>
      </c>
      <c r="J115" s="65" t="str">
        <f t="shared" ca="1" si="52"/>
        <v/>
      </c>
      <c r="K115" s="65" t="str">
        <f t="shared" ca="1" si="52"/>
        <v/>
      </c>
      <c r="L115" s="180" t="str">
        <f t="shared" ca="1" si="52"/>
        <v/>
      </c>
      <c r="M115" s="181">
        <f t="shared" ca="1" si="48"/>
        <v>0</v>
      </c>
      <c r="N115" s="194"/>
    </row>
    <row r="116" spans="1:14" x14ac:dyDescent="0.35">
      <c r="A116" t="s">
        <v>143</v>
      </c>
      <c r="B116" s="1"/>
      <c r="C116" s="49" t="str">
        <f>IF(C$28&lt;&gt;"",SUM(C110:C115),"")</f>
        <v/>
      </c>
      <c r="D116" s="49" t="str">
        <f t="shared" ref="D116:L116" si="53">IF(D$28&lt;&gt;"",SUM(D110:D115),"")</f>
        <v/>
      </c>
      <c r="E116" s="113" t="str">
        <f t="shared" si="53"/>
        <v/>
      </c>
      <c r="F116" s="49" t="str">
        <f t="shared" si="53"/>
        <v/>
      </c>
      <c r="G116" s="49" t="str">
        <f t="shared" si="53"/>
        <v/>
      </c>
      <c r="H116" s="49" t="str">
        <f t="shared" si="53"/>
        <v/>
      </c>
      <c r="I116" s="49" t="str">
        <f t="shared" si="53"/>
        <v/>
      </c>
      <c r="J116" s="49" t="str">
        <f t="shared" si="53"/>
        <v/>
      </c>
      <c r="K116" s="49" t="str">
        <f t="shared" si="53"/>
        <v/>
      </c>
      <c r="L116" s="49" t="str">
        <f t="shared" si="53"/>
        <v/>
      </c>
      <c r="M116" s="32"/>
      <c r="N116" s="196"/>
    </row>
    <row r="117" spans="1:14" x14ac:dyDescent="0.35">
      <c r="A117" s="1" t="s">
        <v>348</v>
      </c>
      <c r="B117" s="1"/>
      <c r="C117" s="52"/>
      <c r="D117" s="2"/>
      <c r="E117" s="52"/>
      <c r="F117" s="2"/>
      <c r="G117" s="2"/>
      <c r="H117" s="2"/>
      <c r="I117" s="2"/>
      <c r="J117" s="2"/>
      <c r="K117" s="2"/>
      <c r="L117" s="2"/>
      <c r="N117" s="190"/>
    </row>
    <row r="118" spans="1:14" x14ac:dyDescent="0.35">
      <c r="A118" t="str">
        <f>IF(A5="","","    "&amp;A5&amp;" - Consumptive Use and Headwaters Losses")</f>
        <v xml:space="preserve">    Upper Basin - Consumptive Use and Headwaters Losses</v>
      </c>
      <c r="C118" s="65" t="str">
        <f t="shared" ref="C118:L118" ca="1" si="54">IF(OR(C$28="",$A118=""),"",OFFSET(C$65,8*(ROW(B118)-ROW(B$118)),0))</f>
        <v/>
      </c>
      <c r="D118" s="65" t="str">
        <f t="shared" ca="1" si="54"/>
        <v/>
      </c>
      <c r="E118" s="65" t="str">
        <f t="shared" ca="1" si="54"/>
        <v/>
      </c>
      <c r="F118" s="65" t="str">
        <f t="shared" ca="1" si="54"/>
        <v/>
      </c>
      <c r="G118" s="65" t="str">
        <f t="shared" ca="1" si="54"/>
        <v/>
      </c>
      <c r="H118" s="65" t="str">
        <f t="shared" ca="1" si="54"/>
        <v/>
      </c>
      <c r="I118" s="65" t="str">
        <f t="shared" ca="1" si="54"/>
        <v/>
      </c>
      <c r="J118" s="65" t="str">
        <f t="shared" ca="1" si="54"/>
        <v/>
      </c>
      <c r="K118" s="65" t="str">
        <f t="shared" ca="1" si="54"/>
        <v/>
      </c>
      <c r="L118" s="65" t="str">
        <f t="shared" ca="1" si="54"/>
        <v/>
      </c>
      <c r="N118" s="190"/>
    </row>
    <row r="119" spans="1:14" x14ac:dyDescent="0.35">
      <c r="A119" t="str">
        <f>IF(A6="","","    "&amp;A6&amp;" - Release from Mead")</f>
        <v xml:space="preserve">    Lower Basin - Release from Mead</v>
      </c>
      <c r="C119" s="65" t="str">
        <f t="shared" ref="C119:L119" ca="1" si="55">IF(OR(C$28="",$A119=""),"",OFFSET(C$65,8*(ROW(B119)-ROW(B$118)),0))</f>
        <v/>
      </c>
      <c r="D119" s="65" t="str">
        <f t="shared" ca="1" si="55"/>
        <v/>
      </c>
      <c r="E119" s="65" t="str">
        <f t="shared" ca="1" si="55"/>
        <v/>
      </c>
      <c r="F119" s="65" t="str">
        <f t="shared" ca="1" si="55"/>
        <v/>
      </c>
      <c r="G119" s="65" t="str">
        <f t="shared" ca="1" si="55"/>
        <v/>
      </c>
      <c r="H119" s="65" t="str">
        <f t="shared" ca="1" si="55"/>
        <v/>
      </c>
      <c r="I119" s="65" t="str">
        <f t="shared" ca="1" si="55"/>
        <v/>
      </c>
      <c r="J119" s="65" t="str">
        <f t="shared" ca="1" si="55"/>
        <v/>
      </c>
      <c r="K119" s="65" t="str">
        <f t="shared" ca="1" si="55"/>
        <v/>
      </c>
      <c r="L119" s="65" t="str">
        <f t="shared" ca="1" si="55"/>
        <v/>
      </c>
      <c r="N119" s="190"/>
    </row>
    <row r="120" spans="1:14" x14ac:dyDescent="0.35">
      <c r="A120" t="str">
        <f>IF(A7="","","    "&amp;A7&amp;" - Release from Mead")</f>
        <v xml:space="preserve">    Mexico - Release from Mead</v>
      </c>
      <c r="C120" s="65" t="str">
        <f t="shared" ref="C120:L120" ca="1" si="56">IF(OR(C$28="",$A120=""),"",OFFSET(C$65,8*(ROW(B120)-ROW(B$118)),0))</f>
        <v/>
      </c>
      <c r="D120" s="65" t="str">
        <f t="shared" ca="1" si="56"/>
        <v/>
      </c>
      <c r="E120" s="65" t="str">
        <f t="shared" ca="1" si="56"/>
        <v/>
      </c>
      <c r="F120" s="65" t="str">
        <f t="shared" ca="1" si="56"/>
        <v/>
      </c>
      <c r="G120" s="65" t="str">
        <f t="shared" ca="1" si="56"/>
        <v/>
      </c>
      <c r="H120" s="65" t="str">
        <f t="shared" ca="1" si="56"/>
        <v/>
      </c>
      <c r="I120" s="65" t="str">
        <f t="shared" ca="1" si="56"/>
        <v/>
      </c>
      <c r="J120" s="65" t="str">
        <f t="shared" ca="1" si="56"/>
        <v/>
      </c>
      <c r="K120" s="65" t="str">
        <f t="shared" ca="1" si="56"/>
        <v/>
      </c>
      <c r="L120" s="65" t="str">
        <f t="shared" ca="1" si="56"/>
        <v/>
      </c>
      <c r="N120" s="190"/>
    </row>
    <row r="121" spans="1:14" x14ac:dyDescent="0.35">
      <c r="A121" t="str">
        <f>IF(A8="","","    "&amp;A8&amp;" - Release from Mead")</f>
        <v xml:space="preserve">    Colorado River Delta - Release from Mead</v>
      </c>
      <c r="C121" s="65" t="str">
        <f t="shared" ref="C121:L121" ca="1" si="57">IF(OR(C$28="",$A121=""),"",OFFSET(C$65,8*(ROW(B121)-ROW(B$118)),0))</f>
        <v/>
      </c>
      <c r="D121" s="65" t="str">
        <f t="shared" ca="1" si="57"/>
        <v/>
      </c>
      <c r="E121" s="65" t="str">
        <f t="shared" ca="1" si="57"/>
        <v/>
      </c>
      <c r="F121" s="65" t="str">
        <f t="shared" ca="1" si="57"/>
        <v/>
      </c>
      <c r="G121" s="65" t="str">
        <f t="shared" ca="1" si="57"/>
        <v/>
      </c>
      <c r="H121" s="65" t="str">
        <f t="shared" ca="1" si="57"/>
        <v/>
      </c>
      <c r="I121" s="65" t="str">
        <f t="shared" ca="1" si="57"/>
        <v/>
      </c>
      <c r="J121" s="65" t="str">
        <f t="shared" ca="1" si="57"/>
        <v/>
      </c>
      <c r="K121" s="65" t="str">
        <f t="shared" ca="1" si="57"/>
        <v/>
      </c>
      <c r="L121" s="65" t="str">
        <f t="shared" ca="1" si="57"/>
        <v/>
      </c>
      <c r="N121" s="190"/>
    </row>
    <row r="122" spans="1:14" x14ac:dyDescent="0.35">
      <c r="A122" t="str">
        <f>IF(A9="","","    "&amp;A9&amp;" - Release from Mead")</f>
        <v xml:space="preserve">    First Nations - Release from Mead</v>
      </c>
      <c r="C122" s="65" t="str">
        <f t="shared" ref="C122:L122" ca="1" si="58">IF(OR(C$28="",$A122=""),"",OFFSET(C$65,8*(ROW(B122)-ROW(B$118)),0))</f>
        <v/>
      </c>
      <c r="D122" s="65" t="str">
        <f t="shared" ca="1" si="58"/>
        <v/>
      </c>
      <c r="E122" s="65" t="str">
        <f t="shared" ca="1" si="58"/>
        <v/>
      </c>
      <c r="F122" s="65" t="str">
        <f t="shared" ca="1" si="58"/>
        <v/>
      </c>
      <c r="G122" s="65" t="str">
        <f t="shared" ca="1" si="58"/>
        <v/>
      </c>
      <c r="H122" s="65" t="str">
        <f t="shared" ca="1" si="58"/>
        <v/>
      </c>
      <c r="I122" s="65" t="str">
        <f t="shared" ca="1" si="58"/>
        <v/>
      </c>
      <c r="J122" s="65" t="str">
        <f t="shared" ca="1" si="58"/>
        <v/>
      </c>
      <c r="K122" s="65" t="str">
        <f t="shared" ca="1" si="58"/>
        <v/>
      </c>
      <c r="L122" s="65" t="str">
        <f t="shared" ca="1" si="58"/>
        <v/>
      </c>
      <c r="N122" s="190"/>
    </row>
    <row r="123" spans="1:14" x14ac:dyDescent="0.35">
      <c r="A123" t="str">
        <f>IF(A10="","","    "&amp;A10&amp;" - Release from Mead")</f>
        <v xml:space="preserve">    Shared, Reserve - Release from Mead</v>
      </c>
      <c r="C123" s="65" t="str">
        <f t="shared" ref="C123:L123" ca="1" si="59">IF(OR(C$28="",$A123=""),"",OFFSET(C$65,8*(ROW(B123)-ROW(B$118)),0))</f>
        <v/>
      </c>
      <c r="D123" s="65" t="str">
        <f t="shared" ca="1" si="59"/>
        <v/>
      </c>
      <c r="E123" s="65" t="str">
        <f t="shared" ca="1" si="59"/>
        <v/>
      </c>
      <c r="F123" s="65" t="str">
        <f t="shared" ca="1" si="59"/>
        <v/>
      </c>
      <c r="G123" s="65" t="str">
        <f t="shared" ca="1" si="59"/>
        <v/>
      </c>
      <c r="H123" s="65" t="str">
        <f t="shared" ca="1" si="59"/>
        <v/>
      </c>
      <c r="I123" s="65" t="str">
        <f t="shared" ca="1" si="59"/>
        <v/>
      </c>
      <c r="J123" s="65" t="str">
        <f t="shared" ca="1" si="59"/>
        <v/>
      </c>
      <c r="K123" s="65" t="str">
        <f t="shared" ca="1" si="59"/>
        <v/>
      </c>
      <c r="L123" s="65" t="str">
        <f t="shared" ca="1" si="59"/>
        <v/>
      </c>
      <c r="N123" s="190"/>
    </row>
    <row r="124" spans="1:14" x14ac:dyDescent="0.35">
      <c r="A124" s="1" t="s">
        <v>137</v>
      </c>
      <c r="B124" s="1"/>
      <c r="D124" s="2"/>
      <c r="E124" s="2"/>
      <c r="F124" s="2"/>
      <c r="G124" s="2"/>
      <c r="H124" s="2"/>
      <c r="I124" s="2"/>
      <c r="J124" s="2"/>
      <c r="K124" s="2"/>
      <c r="L124" s="2"/>
      <c r="N124" s="190"/>
    </row>
    <row r="125" spans="1:14" x14ac:dyDescent="0.35">
      <c r="A125" t="str">
        <f t="shared" ref="A125:A130" si="60">IF(A5="","","    "&amp;A5)</f>
        <v xml:space="preserve">    Upper Basin</v>
      </c>
      <c r="C125" s="65" t="str">
        <f t="shared" ref="C125:L125" ca="1" si="61">IF(OR(C$28="",$A125=""),"",OFFSET(C$66,8*(ROW(B125)-ROW(B$125)),0))</f>
        <v/>
      </c>
      <c r="D125" s="65" t="str">
        <f t="shared" ca="1" si="61"/>
        <v/>
      </c>
      <c r="E125" s="65" t="str">
        <f t="shared" ca="1" si="61"/>
        <v/>
      </c>
      <c r="F125" s="65" t="str">
        <f t="shared" ca="1" si="61"/>
        <v/>
      </c>
      <c r="G125" s="65" t="str">
        <f t="shared" ca="1" si="61"/>
        <v/>
      </c>
      <c r="H125" s="65" t="str">
        <f t="shared" ca="1" si="61"/>
        <v/>
      </c>
      <c r="I125" s="65" t="str">
        <f t="shared" ca="1" si="61"/>
        <v/>
      </c>
      <c r="J125" s="65" t="str">
        <f t="shared" ca="1" si="61"/>
        <v/>
      </c>
      <c r="K125" s="65" t="str">
        <f t="shared" ca="1" si="61"/>
        <v/>
      </c>
      <c r="L125" s="65" t="str">
        <f t="shared" ca="1" si="61"/>
        <v/>
      </c>
      <c r="N125" s="190"/>
    </row>
    <row r="126" spans="1:14" x14ac:dyDescent="0.35">
      <c r="A126" t="str">
        <f t="shared" si="60"/>
        <v xml:space="preserve">    Lower Basin</v>
      </c>
      <c r="C126" s="65" t="str">
        <f t="shared" ref="C126:L126" ca="1" si="62">IF(OR(C$28="",$A126=""),"",OFFSET(C$66,8*(ROW(B126)-ROW(B$125)),0))</f>
        <v/>
      </c>
      <c r="D126" s="65" t="str">
        <f t="shared" ca="1" si="62"/>
        <v/>
      </c>
      <c r="E126" s="65" t="str">
        <f t="shared" ca="1" si="62"/>
        <v/>
      </c>
      <c r="F126" s="65" t="str">
        <f t="shared" ca="1" si="62"/>
        <v/>
      </c>
      <c r="G126" s="65" t="str">
        <f t="shared" ca="1" si="62"/>
        <v/>
      </c>
      <c r="H126" s="65" t="str">
        <f t="shared" ca="1" si="62"/>
        <v/>
      </c>
      <c r="I126" s="65" t="str">
        <f t="shared" ca="1" si="62"/>
        <v/>
      </c>
      <c r="J126" s="65" t="str">
        <f t="shared" ca="1" si="62"/>
        <v/>
      </c>
      <c r="K126" s="65" t="str">
        <f t="shared" ca="1" si="62"/>
        <v/>
      </c>
      <c r="L126" s="65" t="str">
        <f t="shared" ca="1" si="62"/>
        <v/>
      </c>
      <c r="N126" s="190"/>
    </row>
    <row r="127" spans="1:14" x14ac:dyDescent="0.35">
      <c r="A127" t="str">
        <f t="shared" si="60"/>
        <v xml:space="preserve">    Mexico</v>
      </c>
      <c r="C127" s="65" t="str">
        <f t="shared" ref="C127:L127" ca="1" si="63">IF(OR(C$28="",$A127=""),"",OFFSET(C$66,8*(ROW(B127)-ROW(B$125)),0))</f>
        <v/>
      </c>
      <c r="D127" s="65" t="str">
        <f t="shared" ca="1" si="63"/>
        <v/>
      </c>
      <c r="E127" s="65" t="str">
        <f t="shared" ca="1" si="63"/>
        <v/>
      </c>
      <c r="F127" s="65" t="str">
        <f t="shared" ca="1" si="63"/>
        <v/>
      </c>
      <c r="G127" s="65" t="str">
        <f t="shared" ca="1" si="63"/>
        <v/>
      </c>
      <c r="H127" s="65" t="str">
        <f t="shared" ca="1" si="63"/>
        <v/>
      </c>
      <c r="I127" s="65" t="str">
        <f t="shared" ca="1" si="63"/>
        <v/>
      </c>
      <c r="J127" s="65" t="str">
        <f t="shared" ca="1" si="63"/>
        <v/>
      </c>
      <c r="K127" s="65" t="str">
        <f t="shared" ca="1" si="63"/>
        <v/>
      </c>
      <c r="L127" s="65" t="str">
        <f t="shared" ca="1" si="63"/>
        <v/>
      </c>
      <c r="N127" s="190"/>
    </row>
    <row r="128" spans="1:14" x14ac:dyDescent="0.35">
      <c r="A128" t="str">
        <f t="shared" si="60"/>
        <v xml:space="preserve">    Colorado River Delta</v>
      </c>
      <c r="C128" s="65" t="str">
        <f t="shared" ref="C128:L128" ca="1" si="64">IF(OR(C$28="",$A128=""),"",OFFSET(C$66,8*(ROW(B128)-ROW(B$125)),0))</f>
        <v/>
      </c>
      <c r="D128" s="65" t="str">
        <f t="shared" ca="1" si="64"/>
        <v/>
      </c>
      <c r="E128" s="65" t="str">
        <f t="shared" ca="1" si="64"/>
        <v/>
      </c>
      <c r="F128" s="65" t="str">
        <f t="shared" ca="1" si="64"/>
        <v/>
      </c>
      <c r="G128" s="65" t="str">
        <f t="shared" ca="1" si="64"/>
        <v/>
      </c>
      <c r="H128" s="65" t="str">
        <f t="shared" ca="1" si="64"/>
        <v/>
      </c>
      <c r="I128" s="65" t="str">
        <f t="shared" ca="1" si="64"/>
        <v/>
      </c>
      <c r="J128" s="65" t="str">
        <f t="shared" ca="1" si="64"/>
        <v/>
      </c>
      <c r="K128" s="65" t="str">
        <f t="shared" ca="1" si="64"/>
        <v/>
      </c>
      <c r="L128" s="65" t="str">
        <f t="shared" ca="1" si="64"/>
        <v/>
      </c>
      <c r="N128" s="190"/>
    </row>
    <row r="129" spans="1:14" x14ac:dyDescent="0.35">
      <c r="A129" t="str">
        <f t="shared" si="60"/>
        <v xml:space="preserve">    First Nations</v>
      </c>
      <c r="C129" s="65" t="str">
        <f t="shared" ref="C129:L129" ca="1" si="65">IF(OR(C$28="",$A129=""),"",OFFSET(C$66,8*(ROW(B129)-ROW(B$125)),0))</f>
        <v/>
      </c>
      <c r="D129" s="65" t="str">
        <f t="shared" ca="1" si="65"/>
        <v/>
      </c>
      <c r="E129" s="65" t="str">
        <f t="shared" ca="1" si="65"/>
        <v/>
      </c>
      <c r="F129" s="65" t="str">
        <f t="shared" ca="1" si="65"/>
        <v/>
      </c>
      <c r="G129" s="65" t="str">
        <f t="shared" ca="1" si="65"/>
        <v/>
      </c>
      <c r="H129" s="65" t="str">
        <f t="shared" ca="1" si="65"/>
        <v/>
      </c>
      <c r="I129" s="65" t="str">
        <f t="shared" ca="1" si="65"/>
        <v/>
      </c>
      <c r="J129" s="65" t="str">
        <f t="shared" ca="1" si="65"/>
        <v/>
      </c>
      <c r="K129" s="65" t="str">
        <f t="shared" ca="1" si="65"/>
        <v/>
      </c>
      <c r="L129" s="65" t="str">
        <f t="shared" ca="1" si="65"/>
        <v/>
      </c>
      <c r="N129" s="190"/>
    </row>
    <row r="130" spans="1:14" x14ac:dyDescent="0.35">
      <c r="A130" t="str">
        <f t="shared" si="60"/>
        <v xml:space="preserve">    Shared, Reserve</v>
      </c>
      <c r="C130" s="65" t="str">
        <f t="shared" ref="C130:L130" ca="1" si="66">IF(OR(C$28="",$A130=""),"",OFFSET(C$66,8*(ROW(B130)-ROW(B$125)),0))</f>
        <v/>
      </c>
      <c r="D130" s="65" t="str">
        <f t="shared" ca="1" si="66"/>
        <v/>
      </c>
      <c r="E130" s="65" t="str">
        <f t="shared" ca="1" si="66"/>
        <v/>
      </c>
      <c r="F130" s="65" t="str">
        <f t="shared" ca="1" si="66"/>
        <v/>
      </c>
      <c r="G130" s="65" t="str">
        <f t="shared" ca="1" si="66"/>
        <v/>
      </c>
      <c r="H130" s="65" t="str">
        <f t="shared" ca="1" si="66"/>
        <v/>
      </c>
      <c r="I130" s="65" t="str">
        <f t="shared" ca="1" si="66"/>
        <v/>
      </c>
      <c r="J130" s="65" t="str">
        <f t="shared" ca="1" si="66"/>
        <v/>
      </c>
      <c r="K130" s="65" t="str">
        <f t="shared" ca="1" si="66"/>
        <v/>
      </c>
      <c r="L130" s="65" t="str">
        <f t="shared" ca="1" si="66"/>
        <v/>
      </c>
      <c r="N130" s="190"/>
    </row>
    <row r="131" spans="1:14" x14ac:dyDescent="0.35">
      <c r="A131" s="1" t="s">
        <v>349</v>
      </c>
      <c r="B131" s="1"/>
      <c r="C131" s="14" t="str">
        <f>IF(C$28&lt;&gt;"",SUM(C125:C130),"")</f>
        <v/>
      </c>
      <c r="D131" s="14" t="str">
        <f t="shared" ref="D131:L131" si="67">IF(D$28&lt;&gt;"",SUM(D125:D130),"")</f>
        <v/>
      </c>
      <c r="E131" s="14" t="str">
        <f t="shared" si="67"/>
        <v/>
      </c>
      <c r="F131" s="14" t="str">
        <f t="shared" si="67"/>
        <v/>
      </c>
      <c r="G131" s="14" t="str">
        <f t="shared" si="67"/>
        <v/>
      </c>
      <c r="H131" s="14" t="str">
        <f t="shared" si="67"/>
        <v/>
      </c>
      <c r="I131" s="14" t="str">
        <f t="shared" si="67"/>
        <v/>
      </c>
      <c r="J131" s="14" t="str">
        <f t="shared" si="67"/>
        <v/>
      </c>
      <c r="K131" s="14" t="str">
        <f t="shared" si="67"/>
        <v/>
      </c>
      <c r="L131" s="14" t="str">
        <f t="shared" si="67"/>
        <v/>
      </c>
      <c r="N131" s="189" t="s">
        <v>437</v>
      </c>
    </row>
    <row r="132" spans="1:14" ht="29.5" customHeight="1" x14ac:dyDescent="0.35">
      <c r="A132" s="240" t="s">
        <v>410</v>
      </c>
      <c r="B132" s="241"/>
      <c r="C132" s="170"/>
      <c r="D132" s="170"/>
      <c r="E132" s="170"/>
      <c r="F132" s="170"/>
      <c r="G132" s="170"/>
      <c r="H132" s="170"/>
      <c r="I132" s="170"/>
      <c r="J132" s="170"/>
      <c r="K132" s="170"/>
      <c r="L132" s="170"/>
      <c r="N132" s="186" t="s">
        <v>438</v>
      </c>
    </row>
    <row r="133" spans="1:14" x14ac:dyDescent="0.35">
      <c r="A133" s="1" t="s">
        <v>360</v>
      </c>
      <c r="B133" s="1"/>
      <c r="C133" s="14" t="str">
        <f>IF(C28="","",C$132*C$131)</f>
        <v/>
      </c>
      <c r="D133" s="14" t="str">
        <f t="shared" ref="D133:L133" si="68">IF(D28="","",D$132*D$131)</f>
        <v/>
      </c>
      <c r="E133" s="14" t="str">
        <f t="shared" si="68"/>
        <v/>
      </c>
      <c r="F133" s="14" t="str">
        <f t="shared" si="68"/>
        <v/>
      </c>
      <c r="G133" s="14" t="str">
        <f t="shared" si="68"/>
        <v/>
      </c>
      <c r="H133" s="14" t="str">
        <f t="shared" si="68"/>
        <v/>
      </c>
      <c r="I133" s="14" t="str">
        <f t="shared" si="68"/>
        <v/>
      </c>
      <c r="J133" s="14" t="str">
        <f t="shared" si="68"/>
        <v/>
      </c>
      <c r="K133" s="14" t="str">
        <f t="shared" si="68"/>
        <v/>
      </c>
      <c r="L133" s="14" t="str">
        <f t="shared" si="68"/>
        <v/>
      </c>
      <c r="N133" s="189" t="s">
        <v>449</v>
      </c>
    </row>
    <row r="134" spans="1:14" x14ac:dyDescent="0.35">
      <c r="A134" s="1" t="s">
        <v>361</v>
      </c>
      <c r="B134" s="1"/>
      <c r="C134" s="14" t="str">
        <f>IF(C29="","",(1-C$132)*C$131)</f>
        <v/>
      </c>
      <c r="D134" s="14" t="str">
        <f t="shared" ref="D134:L134" si="69">IF(D29="","",(1-D$132)*D$131)</f>
        <v/>
      </c>
      <c r="E134" s="14" t="str">
        <f t="shared" si="69"/>
        <v/>
      </c>
      <c r="F134" s="14" t="str">
        <f t="shared" si="69"/>
        <v/>
      </c>
      <c r="G134" s="14" t="str">
        <f t="shared" si="69"/>
        <v/>
      </c>
      <c r="H134" s="14" t="str">
        <f t="shared" si="69"/>
        <v/>
      </c>
      <c r="I134" s="14" t="str">
        <f t="shared" si="69"/>
        <v/>
      </c>
      <c r="J134" s="14" t="str">
        <f t="shared" si="69"/>
        <v/>
      </c>
      <c r="K134" s="14" t="str">
        <f t="shared" si="69"/>
        <v/>
      </c>
      <c r="L134" s="14" t="str">
        <f t="shared" si="69"/>
        <v/>
      </c>
      <c r="N134" s="189" t="s">
        <v>449</v>
      </c>
    </row>
    <row r="135" spans="1:14" x14ac:dyDescent="0.35">
      <c r="A135" s="30" t="s">
        <v>255</v>
      </c>
      <c r="B135" s="1"/>
      <c r="C135" s="81" t="str">
        <f>IF(C$28&lt;&gt;"",VLOOKUP(C133*1000000,'Powell-Elevation-Area'!$B$5:$H$689,7),"")</f>
        <v/>
      </c>
      <c r="D135" s="81" t="str">
        <f>IF(D$28&lt;&gt;"",VLOOKUP(D133*1000000,'Powell-Elevation-Area'!$B$5:$H$689,7),"")</f>
        <v/>
      </c>
      <c r="E135" s="81" t="str">
        <f>IF(E$28&lt;&gt;"",VLOOKUP(E133*1000000,'Powell-Elevation-Area'!$B$5:$H$689,7),"")</f>
        <v/>
      </c>
      <c r="F135" s="81" t="str">
        <f>IF(F$28&lt;&gt;"",VLOOKUP(F133*1000000,'Powell-Elevation-Area'!$B$5:$H$689,7),"")</f>
        <v/>
      </c>
      <c r="G135" s="81" t="str">
        <f>IF(G$28&lt;&gt;"",VLOOKUP(G133*1000000,'Powell-Elevation-Area'!$B$5:$H$689,7),"")</f>
        <v/>
      </c>
      <c r="H135" s="81" t="str">
        <f>IF(H$28&lt;&gt;"",VLOOKUP(H133*1000000,'Powell-Elevation-Area'!$B$5:$H$689,7),"")</f>
        <v/>
      </c>
      <c r="I135" s="81" t="str">
        <f>IF(I$28&lt;&gt;"",VLOOKUP(I133*1000000,'Powell-Elevation-Area'!$B$5:$H$689,7),"")</f>
        <v/>
      </c>
      <c r="J135" s="81" t="str">
        <f>IF(J$28&lt;&gt;"",VLOOKUP(J133*1000000,'Powell-Elevation-Area'!$B$5:$H$689,7),"")</f>
        <v/>
      </c>
      <c r="K135" s="81" t="str">
        <f>IF(K$28&lt;&gt;"",VLOOKUP(K133*1000000,'Powell-Elevation-Area'!$B$5:$H$689,7),"")</f>
        <v/>
      </c>
      <c r="L135" s="81" t="str">
        <f>IF(L$28&lt;&gt;"",VLOOKUP(L133*1000000,'Powell-Elevation-Area'!$B$5:$H$689,7),"")</f>
        <v/>
      </c>
      <c r="N135" s="189" t="s">
        <v>449</v>
      </c>
    </row>
    <row r="136" spans="1:14" x14ac:dyDescent="0.35">
      <c r="A136" s="30" t="s">
        <v>256</v>
      </c>
      <c r="B136" s="1"/>
      <c r="C136" s="81" t="str">
        <f>IF(C$28&lt;&gt;"",VLOOKUP(C134*1000000,'Mead-Elevation-Area'!$B$5:$H$689,7),"")</f>
        <v/>
      </c>
      <c r="D136" s="81" t="str">
        <f>IF(D$28&lt;&gt;"",VLOOKUP(D134*1000000,'Mead-Elevation-Area'!$B$5:$H$689,7),"")</f>
        <v/>
      </c>
      <c r="E136" s="81" t="str">
        <f>IF(E$28&lt;&gt;"",VLOOKUP(E134*1000000,'Mead-Elevation-Area'!$B$5:$H$689,7),"")</f>
        <v/>
      </c>
      <c r="F136" s="81" t="str">
        <f>IF(F$28&lt;&gt;"",VLOOKUP(F134*1000000,'Mead-Elevation-Area'!$B$5:$H$689,7),"")</f>
        <v/>
      </c>
      <c r="G136" s="81" t="str">
        <f>IF(G$28&lt;&gt;"",VLOOKUP(G134*1000000,'Mead-Elevation-Area'!$B$5:$H$689,7),"")</f>
        <v/>
      </c>
      <c r="H136" s="81" t="str">
        <f>IF(H$28&lt;&gt;"",VLOOKUP(H134*1000000,'Mead-Elevation-Area'!$B$5:$H$689,7),"")</f>
        <v/>
      </c>
      <c r="I136" s="81" t="str">
        <f>IF(I$28&lt;&gt;"",VLOOKUP(I134*1000000,'Mead-Elevation-Area'!$B$5:$H$689,7),"")</f>
        <v/>
      </c>
      <c r="J136" s="81" t="str">
        <f>IF(J$28&lt;&gt;"",VLOOKUP(J134*1000000,'Mead-Elevation-Area'!$B$5:$H$689,7),"")</f>
        <v/>
      </c>
      <c r="K136" s="81" t="str">
        <f>IF(K$28&lt;&gt;"",VLOOKUP(K134*1000000,'Mead-Elevation-Area'!$B$5:$H$689,7),"")</f>
        <v/>
      </c>
      <c r="L136" s="81" t="str">
        <f>IF(L$28&lt;&gt;"",VLOOKUP(L134*1000000,'Mead-Elevation-Area'!$B$5:$H$689,7),"")</f>
        <v/>
      </c>
      <c r="N136" s="189" t="s">
        <v>449</v>
      </c>
    </row>
    <row r="137" spans="1:14" x14ac:dyDescent="0.35">
      <c r="A137" s="1" t="s">
        <v>362</v>
      </c>
      <c r="B137" s="1"/>
      <c r="N137" s="189" t="s">
        <v>439</v>
      </c>
    </row>
    <row r="138" spans="1:14" x14ac:dyDescent="0.35">
      <c r="A138" s="30" t="s">
        <v>363</v>
      </c>
      <c r="B138" s="1"/>
      <c r="C138" s="14" t="str">
        <f>IF(C$28&lt;&gt;"",-C133+C40+C28-C65-VLOOKUP(C40*1000000,'Powell-Elevation-Area'!$B$5:$D$689,3)*$B$18/1000000,"")</f>
        <v/>
      </c>
      <c r="D138" s="14" t="str">
        <f>IF(D$28&lt;&gt;"",-D133+D40+D28-D65-VLOOKUP(D40*1000000,'Powell-Elevation-Area'!$B$5:$D$689,3)*$B$18/1000000,"")</f>
        <v/>
      </c>
      <c r="E138" s="14" t="str">
        <f>IF(E$28&lt;&gt;"",-E133+E40+E28-E65-VLOOKUP(E40*1000000,'Powell-Elevation-Area'!$B$5:$D$689,3)*$B$18/1000000,"")</f>
        <v/>
      </c>
      <c r="F138" s="14" t="str">
        <f>IF(F$28&lt;&gt;"",-F133+F40+F28-F65-VLOOKUP(F40*1000000,'Powell-Elevation-Area'!$B$5:$D$689,3)*$B$18/1000000,"")</f>
        <v/>
      </c>
      <c r="G138" s="14" t="str">
        <f>IF(G$28&lt;&gt;"",-G133+G40+G28-G65-VLOOKUP(G40*1000000,'Powell-Elevation-Area'!$B$5:$D$689,3)*$B$18/1000000,"")</f>
        <v/>
      </c>
      <c r="H138" s="14" t="str">
        <f>IF(H$28&lt;&gt;"",-H133+H40+H28-H65-VLOOKUP(H40*1000000,'Powell-Elevation-Area'!$B$5:$D$689,3)*$B$18/1000000,"")</f>
        <v/>
      </c>
      <c r="I138" s="14" t="str">
        <f>IF(I$28&lt;&gt;"",-I133+I40+I28-I65-VLOOKUP(I40*1000000,'Powell-Elevation-Area'!$B$5:$D$689,3)*$B$18/1000000,"")</f>
        <v/>
      </c>
      <c r="J138" s="14" t="str">
        <f>IF(J$28&lt;&gt;"",-J133+J40+J28-J65-VLOOKUP(J40*1000000,'Powell-Elevation-Area'!$B$5:$D$689,3)*$B$18/1000000,"")</f>
        <v/>
      </c>
      <c r="K138" s="14" t="str">
        <f>IF(K$28&lt;&gt;"",-K133+K40+K28-K65-VLOOKUP(K40*1000000,'Powell-Elevation-Area'!$B$5:$D$689,3)*$B$18/1000000,"")</f>
        <v/>
      </c>
      <c r="L138" s="14" t="str">
        <f>IF(L$28&lt;&gt;"",-L133+L40+L28-L65-VLOOKUP(L40*1000000,'Powell-Elevation-Area'!$B$5:$D$689,3)*$B$18/1000000,"")</f>
        <v/>
      </c>
      <c r="N138" s="189" t="s">
        <v>440</v>
      </c>
    </row>
    <row r="139" spans="1:14" x14ac:dyDescent="0.35">
      <c r="A139" s="30" t="s">
        <v>350</v>
      </c>
      <c r="B139" s="1"/>
      <c r="C139" s="81" t="str">
        <f>IF(C$28&lt;&gt;"",VLOOKUP(C135,PowellReleaseTemperature!$A$5:$B$11,2),"")</f>
        <v/>
      </c>
      <c r="D139" s="81" t="str">
        <f>IF(D$28&lt;&gt;"",VLOOKUP(D135,PowellReleaseTemperature!$A$5:$B$11,2),"")</f>
        <v/>
      </c>
      <c r="E139" s="81" t="str">
        <f>IF(E$28&lt;&gt;"",VLOOKUP(E135,PowellReleaseTemperature!$A$5:$B$11,2),"")</f>
        <v/>
      </c>
      <c r="F139" s="81" t="str">
        <f>IF(F$28&lt;&gt;"",VLOOKUP(F135,PowellReleaseTemperature!$A$5:$B$11,2),"")</f>
        <v/>
      </c>
      <c r="G139" s="81" t="str">
        <f>IF(G$28&lt;&gt;"",VLOOKUP(G135,PowellReleaseTemperature!$A$5:$B$11,2),"")</f>
        <v/>
      </c>
      <c r="H139" s="81" t="str">
        <f>IF(H$28&lt;&gt;"",VLOOKUP(H135,PowellReleaseTemperature!$A$5:$B$11,2),"")</f>
        <v/>
      </c>
      <c r="I139" s="81" t="str">
        <f>IF(I$28&lt;&gt;"",VLOOKUP(I135,PowellReleaseTemperature!$A$5:$B$11,2),"")</f>
        <v/>
      </c>
      <c r="J139" s="81" t="str">
        <f>IF(J$28&lt;&gt;"",VLOOKUP(J135,PowellReleaseTemperature!$A$5:$B$11,2),"")</f>
        <v/>
      </c>
      <c r="K139" s="81" t="str">
        <f>IF(K$28&lt;&gt;"",VLOOKUP(K135,PowellReleaseTemperature!$A$5:$B$11,2),"")</f>
        <v/>
      </c>
      <c r="L139" s="81" t="str">
        <f>IF(L$28&lt;&gt;"",VLOOKUP(L135,PowellReleaseTemperature!$A$5:$B$11,2),"")</f>
        <v/>
      </c>
      <c r="N139" s="189" t="s">
        <v>441</v>
      </c>
    </row>
    <row r="140" spans="1:14" s="83" customFormat="1" ht="62.5" customHeight="1" x14ac:dyDescent="0.35">
      <c r="A140" s="115" t="s">
        <v>351</v>
      </c>
      <c r="B140" s="82"/>
      <c r="C140" s="114" t="str">
        <f>IF(C$28&lt;&gt;"",VLOOKUP(C$135,PowellReleaseTemperature!$A$5:$E$11,5),"")</f>
        <v/>
      </c>
      <c r="D140" s="114" t="str">
        <f>IF(D$28&lt;&gt;"",VLOOKUP(D$135,PowellReleaseTemperature!$A$5:$E$11,5),"")</f>
        <v/>
      </c>
      <c r="E140" s="114" t="str">
        <f>IF(E$28&lt;&gt;"",VLOOKUP(E$135,PowellReleaseTemperature!$A$5:$E$11,5),"")</f>
        <v/>
      </c>
      <c r="F140" s="114" t="str">
        <f>IF(F$28&lt;&gt;"",VLOOKUP(F$135,PowellReleaseTemperature!$A$5:$E$11,5),"")</f>
        <v/>
      </c>
      <c r="G140" s="114" t="str">
        <f>IF(G$28&lt;&gt;"",VLOOKUP(G$135,PowellReleaseTemperature!$A$5:$E$11,5),"")</f>
        <v/>
      </c>
      <c r="H140" s="114" t="str">
        <f>IF(H$28&lt;&gt;"",VLOOKUP(H$135,PowellReleaseTemperature!$A$5:$E$11,5),"")</f>
        <v/>
      </c>
      <c r="I140" s="114" t="str">
        <f>IF(I$28&lt;&gt;"",VLOOKUP(I$135,PowellReleaseTemperature!$A$5:$E$11,5),"")</f>
        <v/>
      </c>
      <c r="J140" s="114" t="str">
        <f>IF(J$28&lt;&gt;"",VLOOKUP(J$135,PowellReleaseTemperature!$A$5:$E$11,5),"")</f>
        <v/>
      </c>
      <c r="K140" s="114" t="str">
        <f>IF(K$28&lt;&gt;"",VLOOKUP(K$135,PowellReleaseTemperature!$A$5:$E$11,5),"")</f>
        <v/>
      </c>
      <c r="L140" s="114" t="str">
        <f>IF(L$28&lt;&gt;"",VLOOKUP(L$135,PowellReleaseTemperature!$A$5:$E$11,5),"")</f>
        <v/>
      </c>
      <c r="N140" s="189" t="s">
        <v>443</v>
      </c>
    </row>
    <row r="141" spans="1:14" s="83" customFormat="1" ht="32.15" customHeight="1" x14ac:dyDescent="0.35">
      <c r="A141" s="115" t="s">
        <v>290</v>
      </c>
      <c r="B141" s="82"/>
      <c r="C141" s="114" t="str">
        <f>IF(C$28&lt;&gt;"",VLOOKUP(C$135,PowellReleaseTemperature!$A$5:$F$11,6),"")</f>
        <v/>
      </c>
      <c r="D141" s="114" t="str">
        <f>IF(D$28&lt;&gt;"",VLOOKUP(D$135,PowellReleaseTemperature!$A$5:$F$11,6),"")</f>
        <v/>
      </c>
      <c r="E141" s="114" t="str">
        <f>IF(E$28&lt;&gt;"",VLOOKUP(E$135,PowellReleaseTemperature!$A$5:$F$11,6),"")</f>
        <v/>
      </c>
      <c r="F141" s="114" t="str">
        <f>IF(F$28&lt;&gt;"",VLOOKUP(F$135,PowellReleaseTemperature!$A$5:$F$11,6),"")</f>
        <v/>
      </c>
      <c r="G141" s="114" t="str">
        <f>IF(G$28&lt;&gt;"",VLOOKUP(G$135,PowellReleaseTemperature!$A$5:$F$11,6),"")</f>
        <v/>
      </c>
      <c r="H141" s="114" t="str">
        <f>IF(H$28&lt;&gt;"",VLOOKUP(H$135,PowellReleaseTemperature!$A$5:$F$11,6),"")</f>
        <v/>
      </c>
      <c r="I141" s="114" t="str">
        <f>IF(I$28&lt;&gt;"",VLOOKUP(I$135,PowellReleaseTemperature!$A$5:$F$11,6),"")</f>
        <v/>
      </c>
      <c r="J141" s="114" t="str">
        <f>IF(J$28&lt;&gt;"",VLOOKUP(J$135,PowellReleaseTemperature!$A$5:$F$11,6),"")</f>
        <v/>
      </c>
      <c r="K141" s="114" t="str">
        <f>IF(K$28&lt;&gt;"",VLOOKUP(K$135,PowellReleaseTemperature!$A$5:$F$11,6),"")</f>
        <v/>
      </c>
      <c r="L141" s="114" t="str">
        <f>IF(L$28&lt;&gt;"",VLOOKUP(L$135,PowellReleaseTemperature!$A$5:$F$11,6),"")</f>
        <v/>
      </c>
      <c r="N141" s="189" t="s">
        <v>442</v>
      </c>
    </row>
    <row r="142" spans="1:14" x14ac:dyDescent="0.35">
      <c r="A142" s="182" t="s">
        <v>411</v>
      </c>
      <c r="C142" s="27"/>
      <c r="N142" s="189" t="s">
        <v>444</v>
      </c>
    </row>
    <row r="144" spans="1:14" x14ac:dyDescent="0.35">
      <c r="D144" s="17"/>
    </row>
  </sheetData>
  <mergeCells count="13">
    <mergeCell ref="B14:D14"/>
    <mergeCell ref="B15:D15"/>
    <mergeCell ref="A132:B132"/>
    <mergeCell ref="C8:G8"/>
    <mergeCell ref="A3:G3"/>
    <mergeCell ref="C4:G4"/>
    <mergeCell ref="C5:G5"/>
    <mergeCell ref="C6:G6"/>
    <mergeCell ref="C7:G7"/>
    <mergeCell ref="C9:G9"/>
    <mergeCell ref="C10:G10"/>
    <mergeCell ref="B12:D12"/>
    <mergeCell ref="B13:D13"/>
  </mergeCells>
  <conditionalFormatting sqref="H65">
    <cfRule type="cellIs" dxfId="326" priority="85" operator="greaterThan">
      <formula>$H$64</formula>
    </cfRule>
  </conditionalFormatting>
  <conditionalFormatting sqref="I65">
    <cfRule type="cellIs" dxfId="325" priority="84" operator="greaterThan">
      <formula>$I$64</formula>
    </cfRule>
  </conditionalFormatting>
  <conditionalFormatting sqref="J65">
    <cfRule type="cellIs" dxfId="324" priority="83" operator="greaterThan">
      <formula>$J$64</formula>
    </cfRule>
  </conditionalFormatting>
  <conditionalFormatting sqref="K65">
    <cfRule type="cellIs" dxfId="323" priority="82" operator="greaterThan">
      <formula>$K$64</formula>
    </cfRule>
  </conditionalFormatting>
  <conditionalFormatting sqref="L65">
    <cfRule type="cellIs" dxfId="322" priority="81" operator="greaterThan">
      <formula>$L$64</formula>
    </cfRule>
  </conditionalFormatting>
  <conditionalFormatting sqref="H73">
    <cfRule type="cellIs" dxfId="321" priority="68" operator="greaterThan">
      <formula>$H$72</formula>
    </cfRule>
  </conditionalFormatting>
  <conditionalFormatting sqref="I73">
    <cfRule type="cellIs" dxfId="320" priority="67" operator="greaterThan">
      <formula>$I$72</formula>
    </cfRule>
  </conditionalFormatting>
  <conditionalFormatting sqref="J73">
    <cfRule type="cellIs" dxfId="319" priority="66" operator="greaterThan">
      <formula>$J$72</formula>
    </cfRule>
  </conditionalFormatting>
  <conditionalFormatting sqref="K73">
    <cfRule type="cellIs" dxfId="318" priority="65" operator="greaterThan">
      <formula>$K$72</formula>
    </cfRule>
  </conditionalFormatting>
  <conditionalFormatting sqref="L73">
    <cfRule type="cellIs" dxfId="317" priority="64" operator="greaterThan">
      <formula>$L$72</formula>
    </cfRule>
  </conditionalFormatting>
  <conditionalFormatting sqref="H81">
    <cfRule type="cellIs" dxfId="316" priority="58" operator="greaterThan">
      <formula>$H$80</formula>
    </cfRule>
  </conditionalFormatting>
  <conditionalFormatting sqref="I81">
    <cfRule type="cellIs" dxfId="315" priority="57" operator="greaterThan">
      <formula>$I$80</formula>
    </cfRule>
  </conditionalFormatting>
  <conditionalFormatting sqref="J81">
    <cfRule type="cellIs" dxfId="314" priority="56" operator="greaterThan">
      <formula>$J$80</formula>
    </cfRule>
  </conditionalFormatting>
  <conditionalFormatting sqref="K81">
    <cfRule type="cellIs" dxfId="313" priority="55" operator="greaterThan">
      <formula>$K$80</formula>
    </cfRule>
  </conditionalFormatting>
  <conditionalFormatting sqref="L81">
    <cfRule type="cellIs" dxfId="312" priority="54" operator="greaterThan">
      <formula>$L$80</formula>
    </cfRule>
  </conditionalFormatting>
  <conditionalFormatting sqref="C89:L89">
    <cfRule type="cellIs" dxfId="311" priority="53" operator="greaterThan">
      <formula>$C$88</formula>
    </cfRule>
  </conditionalFormatting>
  <conditionalFormatting sqref="C97">
    <cfRule type="cellIs" dxfId="310" priority="52" operator="greaterThan">
      <formula>$C$96</formula>
    </cfRule>
  </conditionalFormatting>
  <conditionalFormatting sqref="D97">
    <cfRule type="cellIs" dxfId="309" priority="51" operator="greaterThan">
      <formula>$D$96</formula>
    </cfRule>
  </conditionalFormatting>
  <conditionalFormatting sqref="E97">
    <cfRule type="cellIs" dxfId="308" priority="50" operator="greaterThan">
      <formula>$E$96</formula>
    </cfRule>
  </conditionalFormatting>
  <conditionalFormatting sqref="F97">
    <cfRule type="cellIs" dxfId="307" priority="49" operator="greaterThan">
      <formula>$F$96</formula>
    </cfRule>
  </conditionalFormatting>
  <conditionalFormatting sqref="G97">
    <cfRule type="cellIs" dxfId="306" priority="48" operator="greaterThan">
      <formula>$G$96</formula>
    </cfRule>
  </conditionalFormatting>
  <conditionalFormatting sqref="H97">
    <cfRule type="cellIs" dxfId="305" priority="47" operator="greaterThan">
      <formula>$H$96</formula>
    </cfRule>
  </conditionalFormatting>
  <conditionalFormatting sqref="I97">
    <cfRule type="cellIs" dxfId="304" priority="46" operator="greaterThan">
      <formula>$I$96</formula>
    </cfRule>
  </conditionalFormatting>
  <conditionalFormatting sqref="J97">
    <cfRule type="cellIs" dxfId="303" priority="45" operator="greaterThan">
      <formula>$J$96</formula>
    </cfRule>
  </conditionalFormatting>
  <conditionalFormatting sqref="K97">
    <cfRule type="cellIs" dxfId="302" priority="44" operator="greaterThan">
      <formula>$K$96</formula>
    </cfRule>
  </conditionalFormatting>
  <conditionalFormatting sqref="L97">
    <cfRule type="cellIs" dxfId="301" priority="43" operator="greaterThan">
      <formula>$L$96</formula>
    </cfRule>
  </conditionalFormatting>
  <conditionalFormatting sqref="C105">
    <cfRule type="cellIs" dxfId="300" priority="42" operator="greaterThan">
      <formula>$C$104</formula>
    </cfRule>
  </conditionalFormatting>
  <conditionalFormatting sqref="D105">
    <cfRule type="cellIs" dxfId="299" priority="41" operator="greaterThan">
      <formula>$D$104</formula>
    </cfRule>
  </conditionalFormatting>
  <conditionalFormatting sqref="E105">
    <cfRule type="cellIs" dxfId="298" priority="40" operator="greaterThan">
      <formula>$E$104</formula>
    </cfRule>
  </conditionalFormatting>
  <conditionalFormatting sqref="F105">
    <cfRule type="cellIs" dxfId="297" priority="39" operator="greaterThan">
      <formula>$F$104</formula>
    </cfRule>
  </conditionalFormatting>
  <conditionalFormatting sqref="G105">
    <cfRule type="cellIs" dxfId="296" priority="38" operator="greaterThan">
      <formula>$G$104</formula>
    </cfRule>
  </conditionalFormatting>
  <conditionalFormatting sqref="H105">
    <cfRule type="cellIs" dxfId="295" priority="37" operator="greaterThan">
      <formula>$H$104</formula>
    </cfRule>
  </conditionalFormatting>
  <conditionalFormatting sqref="I105">
    <cfRule type="cellIs" dxfId="294" priority="36" operator="greaterThan">
      <formula>$I$104</formula>
    </cfRule>
  </conditionalFormatting>
  <conditionalFormatting sqref="J105">
    <cfRule type="cellIs" dxfId="293" priority="35" operator="greaterThan">
      <formula>$J$104</formula>
    </cfRule>
  </conditionalFormatting>
  <conditionalFormatting sqref="K105">
    <cfRule type="cellIs" dxfId="292" priority="34" operator="greaterThan">
      <formula>$K$104</formula>
    </cfRule>
  </conditionalFormatting>
  <conditionalFormatting sqref="L105">
    <cfRule type="cellIs" dxfId="291" priority="33" operator="greaterThan">
      <formula>$L$104</formula>
    </cfRule>
  </conditionalFormatting>
  <conditionalFormatting sqref="D65">
    <cfRule type="cellIs" dxfId="290" priority="20" operator="greaterThan">
      <formula>$D$64</formula>
    </cfRule>
  </conditionalFormatting>
  <conditionalFormatting sqref="C65">
    <cfRule type="cellIs" dxfId="289" priority="18" operator="greaterThan">
      <formula>$C$64</formula>
    </cfRule>
  </conditionalFormatting>
  <conditionalFormatting sqref="E65">
    <cfRule type="cellIs" dxfId="288" priority="16" operator="greaterThan">
      <formula>$E$64</formula>
    </cfRule>
  </conditionalFormatting>
  <conditionalFormatting sqref="F65">
    <cfRule type="cellIs" dxfId="287" priority="15" operator="greaterThan">
      <formula>$F$64</formula>
    </cfRule>
  </conditionalFormatting>
  <conditionalFormatting sqref="G65">
    <cfRule type="cellIs" dxfId="286" priority="14" operator="greaterThan">
      <formula>$G$64</formula>
    </cfRule>
  </conditionalFormatting>
  <conditionalFormatting sqref="C73">
    <cfRule type="cellIs" dxfId="285" priority="10" operator="greaterThan">
      <formula>$C$72</formula>
    </cfRule>
  </conditionalFormatting>
  <conditionalFormatting sqref="D73">
    <cfRule type="cellIs" dxfId="284" priority="9" operator="greaterThan">
      <formula>$D$72</formula>
    </cfRule>
  </conditionalFormatting>
  <conditionalFormatting sqref="E73">
    <cfRule type="cellIs" dxfId="283" priority="8" operator="greaterThan">
      <formula>$E$72</formula>
    </cfRule>
  </conditionalFormatting>
  <conditionalFormatting sqref="F73">
    <cfRule type="cellIs" dxfId="282" priority="7" operator="greaterThan">
      <formula>$F$72</formula>
    </cfRule>
  </conditionalFormatting>
  <conditionalFormatting sqref="G73">
    <cfRule type="cellIs" dxfId="281" priority="6" operator="greaterThan">
      <formula>$G$72</formula>
    </cfRule>
  </conditionalFormatting>
  <conditionalFormatting sqref="C81">
    <cfRule type="cellIs" dxfId="280" priority="5" operator="greaterThan">
      <formula>$C$80</formula>
    </cfRule>
  </conditionalFormatting>
  <conditionalFormatting sqref="D81">
    <cfRule type="cellIs" dxfId="279" priority="4" operator="greaterThan">
      <formula>$D$80</formula>
    </cfRule>
  </conditionalFormatting>
  <conditionalFormatting sqref="E81">
    <cfRule type="cellIs" dxfId="278" priority="3" operator="greaterThan">
      <formula>$E$80</formula>
    </cfRule>
  </conditionalFormatting>
  <conditionalFormatting sqref="F81">
    <cfRule type="cellIs" dxfId="277" priority="2" operator="greaterThan">
      <formula>$F$80</formula>
    </cfRule>
  </conditionalFormatting>
  <conditionalFormatting sqref="G81">
    <cfRule type="cellIs" dxfId="276" priority="1" operator="greaterThan">
      <formula>$G$80</formula>
    </cfRule>
  </conditionalFormatting>
  <hyperlinks>
    <hyperlink ref="N4" r:id="rId1" location="step-1-assign-parties-person-playing-and-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8" r:id="rId11" location="step-2-specify-natural-inflow-to-lake-powell" xr:uid="{78DF76B4-BE79-4AC1-9F08-EC86A0A72F91}"/>
    <hyperlink ref="N29" r:id="rId12" location="2a-intervening-grand-canyon-flow" xr:uid="{CFD884C0-2149-42F6-AD5A-482CF40D5292}"/>
    <hyperlink ref="N30" r:id="rId13" location="2b-mead-to-imperial-dam-intervening-flow" xr:uid="{B8EF30C2-739D-4E21-B63A-F17F9947326A}"/>
    <hyperlink ref="N31" r:id="rId14" location="2c-havasuparker-evaporation-and-evapotranspiration" xr:uid="{70E7AC6A-42AC-4DE1-ADFB-FBA8230C308E}"/>
    <hyperlink ref="N32" r:id="rId15" location="step-3-split-existing-reservoir-storage-among-parties-year-1-only" xr:uid="{B36B453C-62F8-4461-8E49-8546C848C695}"/>
    <hyperlink ref="N39" r:id="rId16" location="3a-begin-of-year-reservoir-storage" display="Help begin year storage" xr:uid="{52EB1038-72CB-4676-AD3B-3DD4322D2D3C}"/>
    <hyperlink ref="N42" r:id="rId17" location="3b-calculate-powell--mead-evaporation" xr:uid="{9002111C-2D36-45B1-97D8-5FCB363BD9BD}"/>
    <hyperlink ref="N49" r:id="rId18" location="3c-calculate-mexico-water-allocation" xr:uid="{C14FC6B3-6E3C-48F5-B820-A74ADC9C86D6}"/>
    <hyperlink ref="N50" r:id="rId19" location="split-combined-natural-inflow-among-parties" xr:uid="{63C31A0C-C046-4C6B-B63E-AA3031EC5E49}"/>
    <hyperlink ref="N60" r:id="rId20" location="step-5-player-dashboards--conserve-consume-and-trade" xr:uid="{E1DA626C-61A5-4CB7-94B9-52C34A1556D5}"/>
    <hyperlink ref="N61" r:id="rId21" location="i-buy-or-sell-water-from-other-players" xr:uid="{D2AC05B4-FD61-425B-9046-D87C8AAAAEA0}"/>
    <hyperlink ref="N62" r:id="rId22" location="ii-compensation" xr:uid="{19918E71-71AD-4C9C-BB3F-A5AF3D55F1D7}"/>
    <hyperlink ref="N63" r:id="rId23" location="iii-net-trade-volume-all-players" xr:uid="{3E7AF6CA-1278-4129-B9E4-725FD18D820D}"/>
    <hyperlink ref="N64" r:id="rId24" location="iv-available-water" xr:uid="{4566CC8F-1D0F-43BA-BAD8-C66179151606}"/>
    <hyperlink ref="N65" r:id="rId25" location="v-enter-withdraw-within-available-water" display="Help withdraw" xr:uid="{FA435611-F017-4A4C-84C0-3BC240C90BC3}"/>
    <hyperlink ref="N66" r:id="rId26" location="vi-end-of-year-balance" xr:uid="{43A45EF2-1AE7-497D-9090-A6710371091B}"/>
    <hyperlink ref="N100" r:id="rId27" location="5a-shared-reserve-dashboard" display="Help shared, reserve" xr:uid="{93564FFE-2F11-4E1B-8E30-F04D091042B0}"/>
    <hyperlink ref="N108" r:id="rId28" location="step-6-summary-of-player-actions" xr:uid="{39E9E91B-EE9B-4603-9A19-992E43688C4C}"/>
    <hyperlink ref="N131" r:id="rId29" location="6a-combined-storage--end-of-year" xr:uid="{18709FDC-6FB8-4FF1-82C7-3E0140C4C207}"/>
    <hyperlink ref="N132" r:id="rId30" location="step-7-assign-combined-storage-to-powell-and-mead" xr:uid="{1164B6D2-F3C8-48D1-8657-5BD58376EED3}"/>
    <hyperlink ref="N133" r:id="rId31" location="i-powell-and-mead-storage-volumes-and-levels" display="Help Powell and Mead storage and elevations" xr:uid="{4636EBE2-023F-463E-9564-041FE5D1FB21}"/>
    <hyperlink ref="N137" r:id="rId32" location="i-protect-endangered-native-fish-of-the-grand-canyon" xr:uid="{5A416EE1-639F-4706-BDF3-96F9482C4BC5}"/>
    <hyperlink ref="N138" r:id="rId33" location="ii-lake-powell-release-to-achieve-powell-and-mead-storage-volumes" xr:uid="{482E502E-E60E-4E4B-A4B2-1E010E299F6C}"/>
    <hyperlink ref="N139" r:id="rId34" location="iii-turbine-release-water-temperature" xr:uid="{897F93B4-0984-4DB9-BB8E-3B21D59DF5A6}"/>
    <hyperlink ref="N140" r:id="rId35" location="iv-suitability-for-native-endangered-fish-of-the-grand-canyon" xr:uid="{FDE7C974-7C24-48F6-95FB-E499A8975C43}"/>
    <hyperlink ref="N141" r:id="rId36" location="v-suitability-for-tailwater-trout" xr:uid="{8B78A0E8-F6F5-43CC-A282-5E047FD31D73}"/>
    <hyperlink ref="N142" r:id="rId37" location="step-8-move-to-next-year" xr:uid="{0D1EBCA9-BE7F-441F-A17C-5330CFCE7596}"/>
    <hyperlink ref="N134:N136" r:id="rId38" location="i-powell-and-mead-storage-volumes-and-levels" display="Help Powell and Mead storage and elevations" xr:uid="{ACE27804-9D71-4CD5-9E0E-7E93A66F9F16}"/>
    <hyperlink ref="N68" r:id="rId39" location="step-5-player-dashboards--conserve-consume-and-trade" xr:uid="{5939E46B-DD3B-41E0-B129-470B1222AC63}"/>
    <hyperlink ref="N69" r:id="rId40" location="i-buy-or-sell-water-from-other-players" xr:uid="{7C78B264-CFB6-45A0-BC4E-173B1DD9E8B0}"/>
    <hyperlink ref="N70" r:id="rId41" location="ii-compensation" xr:uid="{E45E7C5C-E56E-4F21-BAB5-D49B4D171D4D}"/>
    <hyperlink ref="N71" r:id="rId42" location="iii-net-trade-volume-all-players" xr:uid="{6ABB5557-73CC-4416-898E-C4FBE4FEB4F1}"/>
    <hyperlink ref="N72" r:id="rId43" location="iv-available-water" xr:uid="{9FD9B93C-364E-4ECE-9930-72535EA8FB51}"/>
    <hyperlink ref="N73" r:id="rId44" location="v-enter-withdraw-within-available-water" display="Help withdraw" xr:uid="{58F0AFA5-2561-4EBE-9B56-06AC55B65F4C}"/>
    <hyperlink ref="N74" r:id="rId45" location="vi-end-of-year-balance" xr:uid="{BFF7FD38-DF7D-4D69-A78B-9B903739FFBC}"/>
    <hyperlink ref="N76" r:id="rId46" location="step-5-player-dashboards--conserve-consume-and-trade" xr:uid="{115088D1-B3CF-4D72-A6D6-92770E18F116}"/>
    <hyperlink ref="N77" r:id="rId47" location="i-buy-or-sell-water-from-other-players" xr:uid="{D5A878F8-1AB0-4367-BFA6-4F25001F73AD}"/>
    <hyperlink ref="N78" r:id="rId48" location="ii-compensation" xr:uid="{74477D73-291E-4A7F-86F2-C21A0DF60CEA}"/>
    <hyperlink ref="N79" r:id="rId49" location="iii-net-trade-volume-all-players" xr:uid="{BE5AE6FA-67AF-45AB-A7E2-21627E2F4139}"/>
    <hyperlink ref="N80" r:id="rId50" location="iv-available-water" xr:uid="{096A8B03-D32B-4628-BC3E-B3E64954FA42}"/>
    <hyperlink ref="N81" r:id="rId51" location="v-enter-withdraw-within-available-water" display="Help withdraw" xr:uid="{4ED17C45-EBF9-4C45-9229-5218A5ECD61F}"/>
    <hyperlink ref="N82" r:id="rId52" location="vi-end-of-year-balance" xr:uid="{C6E40832-042B-43D8-90B9-CD82703389C7}"/>
    <hyperlink ref="N84" r:id="rId53" location="step-5-player-dashboards--conserve-consume-and-trade" xr:uid="{E5F2461C-AEB4-4A1B-A21C-357BDD2B01B0}"/>
    <hyperlink ref="N85" r:id="rId54" location="i-buy-or-sell-water-from-other-players" xr:uid="{0EBBE3F9-CE49-4881-82CB-75D82756598D}"/>
    <hyperlink ref="N86" r:id="rId55" location="ii-compensation" xr:uid="{9D51239A-D72E-4C66-9FAD-A97CD1E9CF60}"/>
    <hyperlink ref="N87" r:id="rId56" location="iii-net-trade-volume-all-players" xr:uid="{8B505AEF-BDE8-4171-873A-CDBCC06B0982}"/>
    <hyperlink ref="N88" r:id="rId57" location="iv-available-water" xr:uid="{ABCB1C72-A61D-43EB-8631-711D39747590}"/>
    <hyperlink ref="N89" r:id="rId58" location="v-enter-withdraw-within-available-water" display="Help withdraw" xr:uid="{4C435667-D5F4-4BE5-B2BF-1695D307F66E}"/>
    <hyperlink ref="N90" r:id="rId59" location="vi-end-of-year-balance" xr:uid="{092BB73A-E89D-49D7-B85D-6C85D844F8AF}"/>
    <hyperlink ref="N92" r:id="rId60" location="step-5-player-dashboards--conserve-consume-and-trade" xr:uid="{3D0FAE17-D341-4E28-B186-99CD5D375B25}"/>
    <hyperlink ref="N93" r:id="rId61" location="i-buy-or-sell-water-from-other-players" xr:uid="{2DCC74A5-C76F-44C3-9C1C-2FD48B218FA1}"/>
    <hyperlink ref="N94" r:id="rId62" location="ii-compensation" xr:uid="{7B7469E2-30A2-4DD3-A478-1DD42D69E110}"/>
    <hyperlink ref="N95" r:id="rId63" location="iii-net-trade-volume-all-players" xr:uid="{38D6A8E9-018B-4ADF-8884-42C40A6A4228}"/>
    <hyperlink ref="N96" r:id="rId64" location="iv-available-water" xr:uid="{245D996F-B238-4EB9-8C02-2A6FB04958CA}"/>
    <hyperlink ref="N97" r:id="rId65" location="v-enter-withdraw-within-available-water" display="Help withdraw" xr:uid="{F1BCBE2F-B751-426A-A4A2-6799CACABE0E}"/>
    <hyperlink ref="N98" r:id="rId66" location="vi-end-of-year-balance" xr:uid="{6A74718B-A68C-418D-A86E-74250717E84B}"/>
    <hyperlink ref="N25" r:id="rId67" location="upper-basin-pre-1922-water-rights" xr:uid="{25504FB1-E197-4C3D-945D-5BDD83C2C59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H65</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I65</xm:sqref>
        </x14:conditionalFormatting>
        <x14:conditionalFormatting xmlns:xm="http://schemas.microsoft.com/office/excel/2006/main">
          <x14:cfRule type="iconSet" priority="75" id="{FC9241E0-399F-4612-9178-0FDDFFF0E42A}">
            <x14:iconSet iconSet="3Symbols2" custom="1">
              <x14:cfvo type="percent">
                <xm:f>0</xm:f>
              </x14:cfvo>
              <x14:cfvo type="num">
                <xm:f>$J$64</xm:f>
              </x14:cfvo>
              <x14:cfvo type="num">
                <xm:f>$J$64</xm:f>
              </x14:cfvo>
              <x14:cfIcon iconSet="NoIcons" iconId="0"/>
              <x14:cfIcon iconSet="3Symbols2" iconId="0"/>
              <x14:cfIcon iconSet="3Symbols2" iconId="0"/>
            </x14:iconSet>
          </x14:cfRule>
          <xm:sqref>J65</xm:sqref>
        </x14:conditionalFormatting>
        <x14:conditionalFormatting xmlns:xm="http://schemas.microsoft.com/office/excel/2006/main">
          <x14:cfRule type="iconSet" priority="74" id="{DD71F70E-9732-4C09-96AD-AC28A6D96762}">
            <x14:iconSet iconSet="3Symbols2" custom="1">
              <x14:cfvo type="percent">
                <xm:f>0</xm:f>
              </x14:cfvo>
              <x14:cfvo type="formula">
                <xm:f>$K$64</xm:f>
              </x14:cfvo>
              <x14:cfvo type="formula">
                <xm:f>$K$64</xm:f>
              </x14:cfvo>
              <x14:cfIcon iconSet="NoIcons" iconId="0"/>
              <x14:cfIcon iconSet="3Symbols2" iconId="0"/>
              <x14:cfIcon iconSet="3Symbols2" iconId="0"/>
            </x14:iconSet>
          </x14:cfRule>
          <xm:sqref>K65</xm:sqref>
        </x14:conditionalFormatting>
        <x14:conditionalFormatting xmlns:xm="http://schemas.microsoft.com/office/excel/2006/main">
          <x14:cfRule type="iconSet" priority="32" id="{C970D36A-412D-482A-B900-0C93FEFDE178}">
            <x14:iconSet iconSet="3Symbols" custom="1">
              <x14:cfvo type="percent">
                <xm:f>0</xm:f>
              </x14:cfvo>
              <x14:cfvo type="formula">
                <xm:f>$L$64</xm:f>
              </x14:cfvo>
              <x14:cfvo type="formula">
                <xm:f>$L$64</xm:f>
              </x14:cfvo>
              <x14:cfIcon iconSet="NoIcons" iconId="0"/>
              <x14:cfIcon iconSet="3Symbols2" iconId="0"/>
              <x14:cfIcon iconSet="3Symbols2" iconId="0"/>
            </x14:iconSet>
          </x14:cfRule>
          <xm:sqref>L65</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9" id="{D023A550-7298-4CB9-9C70-171741894826}">
            <x14:iconSet iconSet="3Symbols" custom="1">
              <x14:cfvo type="percent">
                <xm:f>0</xm:f>
              </x14:cfvo>
              <x14:cfvo type="num" gte="0">
                <xm:f>$D$64</xm:f>
              </x14:cfvo>
              <x14:cfvo type="num">
                <xm:f>$D$64</xm:f>
              </x14:cfvo>
              <x14:cfIcon iconSet="NoIcons" iconId="0"/>
              <x14:cfIcon iconSet="3Symbols2" iconId="0"/>
              <x14:cfIcon iconSet="3Symbols2" iconId="0"/>
            </x14:iconSet>
          </x14:cfRule>
          <xm:sqref>D65</xm:sqref>
        </x14:conditionalFormatting>
        <x14:conditionalFormatting xmlns:xm="http://schemas.microsoft.com/office/excel/2006/main">
          <x14:cfRule type="iconSet" priority="17" id="{A49F793D-89F9-4751-816D-E6C8A7C4D226}">
            <x14:iconSet iconSet="3Symbols" custom="1">
              <x14:cfvo type="percent">
                <xm:f>0</xm:f>
              </x14:cfvo>
              <x14:cfvo type="num">
                <xm:f>$C$64</xm:f>
              </x14:cfvo>
              <x14:cfvo type="num">
                <xm:f>$C$64</xm:f>
              </x14:cfvo>
              <x14:cfIcon iconSet="NoIcons" iconId="0"/>
              <x14:cfIcon iconSet="3Symbols2" iconId="0"/>
              <x14:cfIcon iconSet="3Symbols2" iconId="0"/>
            </x14:iconSet>
          </x14:cfRule>
          <xm:sqref>C65</xm:sqref>
        </x14:conditionalFormatting>
        <x14:conditionalFormatting xmlns:xm="http://schemas.microsoft.com/office/excel/2006/main">
          <x14:cfRule type="iconSet" priority="13" id="{91D34829-7FBE-4C9A-B9B4-360BA60B5E71}">
            <x14:iconSet iconSet="3Symbols" custom="1">
              <x14:cfvo type="percent">
                <xm:f>0</xm:f>
              </x14:cfvo>
              <x14:cfvo type="num">
                <xm:f>$E$64</xm:f>
              </x14:cfvo>
              <x14:cfvo type="num">
                <xm:f>$E$64</xm:f>
              </x14:cfvo>
              <x14:cfIcon iconSet="NoIcons" iconId="0"/>
              <x14:cfIcon iconSet="3Symbols2" iconId="0"/>
              <x14:cfIcon iconSet="3Symbols2" iconId="0"/>
            </x14:iconSet>
          </x14:cfRule>
          <xm:sqref>E65</xm:sqref>
        </x14:conditionalFormatting>
        <x14:conditionalFormatting xmlns:xm="http://schemas.microsoft.com/office/excel/2006/main">
          <x14:cfRule type="iconSet" priority="12" id="{1F49413C-E272-489B-81FE-B258D7135BA3}">
            <x14:iconSet iconSet="3Symbols" custom="1">
              <x14:cfvo type="percent">
                <xm:f>0</xm:f>
              </x14:cfvo>
              <x14:cfvo type="num">
                <xm:f>$F$64</xm:f>
              </x14:cfvo>
              <x14:cfvo type="num">
                <xm:f>$F$64</xm:f>
              </x14:cfvo>
              <x14:cfIcon iconSet="NoIcons" iconId="0"/>
              <x14:cfIcon iconSet="3Symbols2" iconId="0"/>
              <x14:cfIcon iconSet="3Symbols2" iconId="0"/>
            </x14:iconSet>
          </x14:cfRule>
          <xm:sqref>F65</xm:sqref>
        </x14:conditionalFormatting>
        <x14:conditionalFormatting xmlns:xm="http://schemas.microsoft.com/office/excel/2006/main">
          <x14:cfRule type="iconSet" priority="11" id="{25EBF820-63FF-42B7-94A2-28CA1F543417}">
            <x14:iconSet iconSet="3Symbols" custom="1">
              <x14:cfvo type="percent">
                <xm:f>0</xm:f>
              </x14:cfvo>
              <x14:cfvo type="num">
                <xm:f>$G$64</xm:f>
              </x14:cfvo>
              <x14:cfvo type="num">
                <xm:f>$G$64</xm:f>
              </x14:cfvo>
              <x14:cfIcon iconSet="NoIcons" iconId="0"/>
              <x14:cfIcon iconSet="3Symbols2" iconId="0"/>
              <x14:cfIcon iconSet="3Symbols2" iconId="0"/>
            </x14:iconSet>
          </x14:cfRule>
          <xm:sqref>G65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A4A92-41E8-4086-9324-B22EB7E0287D}">
  <dimension ref="A1:N139"/>
  <sheetViews>
    <sheetView topLeftCell="A118" zoomScale="150" zoomScaleNormal="150" workbookViewId="0">
      <selection activeCell="B23" sqref="B23"/>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56" t="s">
        <v>148</v>
      </c>
      <c r="B3" s="256"/>
      <c r="C3" s="256"/>
      <c r="D3" s="256"/>
      <c r="E3" s="256"/>
      <c r="F3" s="256"/>
      <c r="G3" s="256"/>
      <c r="H3" s="143"/>
      <c r="I3" s="143"/>
      <c r="J3" s="143"/>
      <c r="K3" s="143"/>
    </row>
    <row r="4" spans="1:13" x14ac:dyDescent="0.35">
      <c r="A4" s="51" t="s">
        <v>38</v>
      </c>
      <c r="B4" s="51" t="s">
        <v>42</v>
      </c>
      <c r="C4" s="257" t="s">
        <v>43</v>
      </c>
      <c r="D4" s="258"/>
      <c r="E4" s="258"/>
      <c r="F4" s="258"/>
      <c r="G4" s="259"/>
      <c r="M4" s="1" t="s">
        <v>294</v>
      </c>
    </row>
    <row r="5" spans="1:13" x14ac:dyDescent="0.35">
      <c r="A5" s="142" t="s">
        <v>39</v>
      </c>
      <c r="B5" s="142" t="str">
        <f>IF(Master!B5="","",Master!B5)</f>
        <v/>
      </c>
      <c r="C5" s="247" t="s">
        <v>304</v>
      </c>
      <c r="D5" s="242"/>
      <c r="E5" s="242"/>
      <c r="F5" s="242"/>
      <c r="G5" s="242"/>
      <c r="M5" t="s">
        <v>295</v>
      </c>
    </row>
    <row r="6" spans="1:13" x14ac:dyDescent="0.35">
      <c r="A6" s="142" t="s">
        <v>40</v>
      </c>
      <c r="B6" s="142" t="str">
        <f>IF(Master!B6="","",Master!B6)</f>
        <v/>
      </c>
      <c r="C6" s="247" t="s">
        <v>304</v>
      </c>
      <c r="D6" s="242"/>
      <c r="E6" s="242"/>
      <c r="F6" s="242"/>
      <c r="G6" s="242"/>
      <c r="M6" t="s">
        <v>300</v>
      </c>
    </row>
    <row r="7" spans="1:13" x14ac:dyDescent="0.35">
      <c r="A7" s="142" t="s">
        <v>41</v>
      </c>
      <c r="B7" s="142" t="str">
        <f>IF(Master!B7="","",Master!B7)</f>
        <v/>
      </c>
      <c r="C7" s="247" t="s">
        <v>304</v>
      </c>
      <c r="D7" s="242"/>
      <c r="E7" s="242"/>
      <c r="F7" s="242"/>
      <c r="G7" s="242"/>
      <c r="M7" t="s">
        <v>301</v>
      </c>
    </row>
    <row r="8" spans="1:13" x14ac:dyDescent="0.35">
      <c r="A8" s="154" t="s">
        <v>145</v>
      </c>
      <c r="B8" s="153" t="str">
        <f>IF(Master!B8="","",Master!B8)</f>
        <v/>
      </c>
      <c r="C8" s="247" t="s">
        <v>209</v>
      </c>
      <c r="D8" s="242"/>
      <c r="E8" s="242"/>
      <c r="F8" s="242"/>
      <c r="G8" s="242"/>
    </row>
    <row r="9" spans="1:13" x14ac:dyDescent="0.35">
      <c r="A9" s="142" t="str">
        <f>IF(Master!A9="","",Master!A9)</f>
        <v>First Nations</v>
      </c>
      <c r="B9" s="142" t="str">
        <f>IF(Master!B9="","",Master!B9)</f>
        <v/>
      </c>
      <c r="C9" s="248"/>
      <c r="D9" s="248"/>
      <c r="E9" s="248"/>
      <c r="F9" s="248"/>
      <c r="G9" s="248"/>
    </row>
    <row r="10" spans="1:13" x14ac:dyDescent="0.35">
      <c r="A10" s="155" t="s">
        <v>154</v>
      </c>
      <c r="B10" s="155" t="str">
        <f>IF(Master!B10="","",Master!B10)</f>
        <v/>
      </c>
      <c r="C10" s="249" t="s">
        <v>336</v>
      </c>
      <c r="D10" s="249"/>
      <c r="E10" s="249"/>
      <c r="F10" s="249"/>
      <c r="G10" s="249"/>
    </row>
    <row r="11" spans="1:13" x14ac:dyDescent="0.35">
      <c r="A11" s="15"/>
      <c r="B11" s="2"/>
      <c r="C11"/>
    </row>
    <row r="12" spans="1:13" x14ac:dyDescent="0.35">
      <c r="A12" s="18" t="s">
        <v>371</v>
      </c>
      <c r="B12" s="250" t="s">
        <v>373</v>
      </c>
      <c r="C12" s="251"/>
      <c r="D12" s="252"/>
    </row>
    <row r="13" spans="1:13" x14ac:dyDescent="0.35">
      <c r="B13" s="253" t="s">
        <v>374</v>
      </c>
      <c r="C13" s="254"/>
      <c r="D13" s="255"/>
    </row>
    <row r="14" spans="1:13" x14ac:dyDescent="0.35">
      <c r="B14" s="234" t="s">
        <v>375</v>
      </c>
      <c r="C14" s="235"/>
      <c r="D14" s="236"/>
    </row>
    <row r="15" spans="1:13" x14ac:dyDescent="0.35">
      <c r="B15" s="237" t="s">
        <v>46</v>
      </c>
      <c r="C15" s="238"/>
      <c r="D15" s="239"/>
    </row>
    <row r="17" spans="1:14" x14ac:dyDescent="0.35">
      <c r="A17" s="1" t="s">
        <v>381</v>
      </c>
      <c r="B17" s="1" t="s">
        <v>108</v>
      </c>
      <c r="C17" s="13" t="s">
        <v>109</v>
      </c>
    </row>
    <row r="18" spans="1:14" x14ac:dyDescent="0.35">
      <c r="A18" t="s">
        <v>107</v>
      </c>
      <c r="B18" s="148">
        <f>Master!B18</f>
        <v>5.73</v>
      </c>
      <c r="C18" s="148">
        <f>Master!C18</f>
        <v>6</v>
      </c>
      <c r="D18" s="22" t="s">
        <v>110</v>
      </c>
    </row>
    <row r="19" spans="1:14" x14ac:dyDescent="0.35">
      <c r="A19" t="s">
        <v>139</v>
      </c>
      <c r="B19" s="148">
        <f>Master!B19</f>
        <v>7.2</v>
      </c>
      <c r="C19" s="148">
        <f>Master!C19</f>
        <v>9</v>
      </c>
      <c r="D19" s="11" t="s">
        <v>34</v>
      </c>
    </row>
    <row r="20" spans="1:14" x14ac:dyDescent="0.35">
      <c r="A20" t="s">
        <v>186</v>
      </c>
      <c r="B20" s="149">
        <f>Master!B20</f>
        <v>3525</v>
      </c>
      <c r="C20" s="149">
        <f>Master!C20</f>
        <v>1020</v>
      </c>
      <c r="D20" s="11"/>
    </row>
    <row r="21" spans="1:14" x14ac:dyDescent="0.35">
      <c r="A21" t="s">
        <v>172</v>
      </c>
      <c r="B21" s="148">
        <f>VLOOKUP(B20,'Powell-Elevation-Area'!$A$5:$B$689,2)/1000000</f>
        <v>5.9265762500000001</v>
      </c>
      <c r="C21" s="148">
        <f>VLOOKUP(C20,'Mead-Elevation-Area'!$A$5:$B$689,2)/1000000</f>
        <v>5.664593</v>
      </c>
      <c r="D21" s="11"/>
      <c r="E21" s="43"/>
    </row>
    <row r="22" spans="1:14" x14ac:dyDescent="0.35">
      <c r="A22" t="s">
        <v>321</v>
      </c>
      <c r="B22" s="156">
        <f>Master!B22</f>
        <v>78.099999999999994</v>
      </c>
      <c r="C22"/>
      <c r="D22" s="150" t="s">
        <v>326</v>
      </c>
      <c r="E22" s="43"/>
    </row>
    <row r="24" spans="1:14" s="1" customFormat="1" x14ac:dyDescent="0.35">
      <c r="A24" s="135" t="s">
        <v>35</v>
      </c>
      <c r="B24" s="136" t="s">
        <v>48</v>
      </c>
      <c r="C24" s="136" t="s">
        <v>5</v>
      </c>
      <c r="D24" s="136" t="s">
        <v>6</v>
      </c>
      <c r="E24" s="136" t="s">
        <v>7</v>
      </c>
      <c r="F24" s="136" t="s">
        <v>8</v>
      </c>
      <c r="G24" s="136" t="s">
        <v>9</v>
      </c>
      <c r="H24" s="136" t="s">
        <v>10</v>
      </c>
      <c r="I24" s="136" t="s">
        <v>11</v>
      </c>
      <c r="J24" s="136" t="s">
        <v>12</v>
      </c>
      <c r="K24" s="136" t="s">
        <v>36</v>
      </c>
      <c r="L24" s="136" t="s">
        <v>37</v>
      </c>
      <c r="M24" s="136" t="s">
        <v>105</v>
      </c>
      <c r="N24" s="136" t="s">
        <v>169</v>
      </c>
    </row>
    <row r="25" spans="1:14" x14ac:dyDescent="0.35">
      <c r="A25" s="1" t="s">
        <v>44</v>
      </c>
      <c r="B25" s="1"/>
      <c r="C25" s="130" t="str">
        <f>IF(Master!C28="","",Master!C28)</f>
        <v/>
      </c>
      <c r="D25" s="130" t="str">
        <f>IF(Master!D28="","",Master!D28)</f>
        <v/>
      </c>
      <c r="E25" s="130" t="str">
        <f>IF(Master!E28="","",Master!E28)</f>
        <v/>
      </c>
      <c r="F25" s="130" t="str">
        <f>IF(Master!F28="","",Master!F28)</f>
        <v/>
      </c>
      <c r="G25" s="130" t="str">
        <f>IF(Master!G28="","",Master!G28)</f>
        <v/>
      </c>
      <c r="H25" s="130" t="str">
        <f>IF(Master!H28="","",Master!H28)</f>
        <v/>
      </c>
      <c r="I25" s="130" t="str">
        <f>IF(Master!I28="","",Master!I28)</f>
        <v/>
      </c>
      <c r="J25" s="130" t="str">
        <f>IF(Master!J28="","",Master!J28)</f>
        <v/>
      </c>
      <c r="K25" s="130" t="str">
        <f>IF(Master!K28="","",Master!K28)</f>
        <v/>
      </c>
      <c r="L25" s="130" t="str">
        <f>IF(Master!L28="","",Master!L28)</f>
        <v/>
      </c>
    </row>
    <row r="26" spans="1:14" x14ac:dyDescent="0.35">
      <c r="A26" s="1" t="s">
        <v>119</v>
      </c>
      <c r="B26" s="1"/>
      <c r="C26" s="129" t="str">
        <f>IF(C$25&lt;&gt;"",0.8,"")</f>
        <v/>
      </c>
      <c r="D26" s="129" t="str">
        <f t="shared" ref="D26:L26" si="0">IF(D$25&lt;&gt;"",0.8,"")</f>
        <v/>
      </c>
      <c r="E26" s="129" t="str">
        <f t="shared" si="0"/>
        <v/>
      </c>
      <c r="F26" s="129" t="str">
        <f t="shared" si="0"/>
        <v/>
      </c>
      <c r="G26" s="129" t="str">
        <f t="shared" si="0"/>
        <v/>
      </c>
      <c r="H26" s="129" t="str">
        <f t="shared" si="0"/>
        <v/>
      </c>
      <c r="I26" s="129" t="str">
        <f t="shared" si="0"/>
        <v/>
      </c>
      <c r="J26" s="129" t="str">
        <f t="shared" si="0"/>
        <v/>
      </c>
      <c r="K26" s="129" t="str">
        <f t="shared" si="0"/>
        <v/>
      </c>
      <c r="L26" s="129" t="str">
        <f t="shared" si="0"/>
        <v/>
      </c>
    </row>
    <row r="27" spans="1:14" x14ac:dyDescent="0.35">
      <c r="A27" s="1" t="s">
        <v>322</v>
      </c>
      <c r="B27" s="1"/>
      <c r="C27" s="129" t="str">
        <f>IF(C$25&lt;&gt;"",0.2,"")</f>
        <v/>
      </c>
      <c r="D27" s="129" t="str">
        <f t="shared" ref="D27:L27" si="1">IF(D$25&lt;&gt;"",0.2,"")</f>
        <v/>
      </c>
      <c r="E27" s="129" t="str">
        <f t="shared" si="1"/>
        <v/>
      </c>
      <c r="F27" s="129" t="str">
        <f t="shared" si="1"/>
        <v/>
      </c>
      <c r="G27" s="129" t="str">
        <f t="shared" si="1"/>
        <v/>
      </c>
      <c r="H27" s="129" t="str">
        <f t="shared" si="1"/>
        <v/>
      </c>
      <c r="I27" s="129" t="str">
        <f t="shared" si="1"/>
        <v/>
      </c>
      <c r="J27" s="129" t="str">
        <f t="shared" si="1"/>
        <v/>
      </c>
      <c r="K27" s="129" t="str">
        <f t="shared" si="1"/>
        <v/>
      </c>
      <c r="L27" s="129" t="str">
        <f t="shared" si="1"/>
        <v/>
      </c>
    </row>
    <row r="28" spans="1:14" x14ac:dyDescent="0.35">
      <c r="A28" s="1" t="s">
        <v>278</v>
      </c>
      <c r="B28" s="1"/>
      <c r="C28" s="129" t="str">
        <f>IF(C$25&lt;&gt;"",0.6,"")</f>
        <v/>
      </c>
      <c r="D28" s="129" t="str">
        <f t="shared" ref="D28:L28" si="2">IF(D$25&lt;&gt;"",0.6,"")</f>
        <v/>
      </c>
      <c r="E28" s="129" t="str">
        <f t="shared" si="2"/>
        <v/>
      </c>
      <c r="F28" s="129" t="str">
        <f t="shared" si="2"/>
        <v/>
      </c>
      <c r="G28" s="129" t="str">
        <f t="shared" si="2"/>
        <v/>
      </c>
      <c r="H28" s="129" t="str">
        <f t="shared" si="2"/>
        <v/>
      </c>
      <c r="I28" s="129" t="str">
        <f t="shared" si="2"/>
        <v/>
      </c>
      <c r="J28" s="129" t="str">
        <f t="shared" si="2"/>
        <v/>
      </c>
      <c r="K28" s="129" t="str">
        <f t="shared" si="2"/>
        <v/>
      </c>
      <c r="L28" s="129" t="str">
        <f t="shared" si="2"/>
        <v/>
      </c>
    </row>
    <row r="29" spans="1:14" x14ac:dyDescent="0.35">
      <c r="A29" s="1" t="s">
        <v>122</v>
      </c>
      <c r="B29" s="108">
        <f>SUM(B30:B35)-SUM(B19:C19)</f>
        <v>0</v>
      </c>
      <c r="C29" s="14" t="str">
        <f>IF(C$25&lt;&gt;"",SUM(B19:C19),"")</f>
        <v/>
      </c>
      <c r="D29" s="14" t="str">
        <f>IF(D$25&lt;&gt;"",C127,"")</f>
        <v/>
      </c>
      <c r="E29" s="14" t="str">
        <f t="shared" ref="E29:L29" si="3">IF(E$25&lt;&gt;"",D127,"")</f>
        <v/>
      </c>
      <c r="F29" s="14" t="str">
        <f t="shared" si="3"/>
        <v/>
      </c>
      <c r="G29" s="14" t="str">
        <f t="shared" si="3"/>
        <v/>
      </c>
      <c r="H29" s="14" t="str">
        <f t="shared" si="3"/>
        <v/>
      </c>
      <c r="I29" s="14" t="str">
        <f t="shared" si="3"/>
        <v/>
      </c>
      <c r="J29" s="14" t="str">
        <f t="shared" si="3"/>
        <v/>
      </c>
      <c r="K29" s="14" t="str">
        <f t="shared" si="3"/>
        <v/>
      </c>
      <c r="L29" s="14" t="str">
        <f t="shared" si="3"/>
        <v/>
      </c>
    </row>
    <row r="30" spans="1:14" x14ac:dyDescent="0.35">
      <c r="A30" t="str">
        <f t="shared" ref="A30:A35" si="4">IF(A5="","","    "&amp;A5&amp;" Balance")</f>
        <v xml:space="preserve">    Upper Basin Balance</v>
      </c>
      <c r="B30" s="109">
        <f>B19-B21</f>
        <v>1.2734237500000001</v>
      </c>
      <c r="C30" s="106" t="str">
        <f>IF(OR(C$25="",$A30=""),"",B30)</f>
        <v/>
      </c>
      <c r="D30" s="14" t="str">
        <f>IF(OR(D$25="",$A30=""),"",C121)</f>
        <v/>
      </c>
      <c r="E30" s="14" t="str">
        <f t="shared" ref="E30:L30" si="5">IF(OR(E$25="",$A30=""),"",D121)</f>
        <v/>
      </c>
      <c r="F30" s="14" t="str">
        <f t="shared" si="5"/>
        <v/>
      </c>
      <c r="G30" s="14" t="str">
        <f t="shared" si="5"/>
        <v/>
      </c>
      <c r="H30" s="14" t="str">
        <f t="shared" si="5"/>
        <v/>
      </c>
      <c r="I30" s="14" t="str">
        <f t="shared" si="5"/>
        <v/>
      </c>
      <c r="J30" s="14" t="str">
        <f t="shared" si="5"/>
        <v/>
      </c>
      <c r="K30" s="14" t="str">
        <f t="shared" si="5"/>
        <v/>
      </c>
      <c r="L30" s="14" t="str">
        <f t="shared" si="5"/>
        <v/>
      </c>
      <c r="N30" t="s">
        <v>174</v>
      </c>
    </row>
    <row r="31" spans="1:14" x14ac:dyDescent="0.35">
      <c r="A31" t="str">
        <f t="shared" si="4"/>
        <v xml:space="preserve">    Lower Basin Balance</v>
      </c>
      <c r="B31" s="109">
        <f>C19-C21-B32</f>
        <v>3.1614070000000001</v>
      </c>
      <c r="C31" s="106" t="str">
        <f t="shared" ref="C31:C35" si="6">IF(OR(C$25="",$A31=""),"",B31)</f>
        <v/>
      </c>
      <c r="D31" s="14" t="str">
        <f t="shared" ref="D31:L35" si="7">IF(OR(D$25="",$A31=""),"",C122)</f>
        <v/>
      </c>
      <c r="E31" s="14" t="str">
        <f t="shared" si="7"/>
        <v/>
      </c>
      <c r="F31" s="14" t="str">
        <f t="shared" si="7"/>
        <v/>
      </c>
      <c r="G31" s="14" t="str">
        <f t="shared" si="7"/>
        <v/>
      </c>
      <c r="H31" s="14" t="str">
        <f t="shared" si="7"/>
        <v/>
      </c>
      <c r="I31" s="14" t="str">
        <f t="shared" si="7"/>
        <v/>
      </c>
      <c r="J31" s="14" t="str">
        <f t="shared" si="7"/>
        <v/>
      </c>
      <c r="K31" s="14" t="str">
        <f t="shared" si="7"/>
        <v/>
      </c>
      <c r="L31" s="14" t="str">
        <f t="shared" si="7"/>
        <v/>
      </c>
      <c r="N31" t="s">
        <v>171</v>
      </c>
    </row>
    <row r="32" spans="1:14" x14ac:dyDescent="0.35">
      <c r="A32" t="str">
        <f t="shared" si="4"/>
        <v xml:space="preserve">    Mexico Balance</v>
      </c>
      <c r="B32" s="110">
        <v>0.17399999999999999</v>
      </c>
      <c r="C32" s="107" t="str">
        <f t="shared" si="6"/>
        <v/>
      </c>
      <c r="D32" s="50" t="str">
        <f t="shared" si="7"/>
        <v/>
      </c>
      <c r="E32" s="50" t="str">
        <f t="shared" si="7"/>
        <v/>
      </c>
      <c r="F32" s="50" t="str">
        <f t="shared" si="7"/>
        <v/>
      </c>
      <c r="G32" s="50" t="str">
        <f t="shared" si="7"/>
        <v/>
      </c>
      <c r="H32" s="14" t="str">
        <f t="shared" si="7"/>
        <v/>
      </c>
      <c r="I32" s="14" t="str">
        <f t="shared" si="7"/>
        <v/>
      </c>
      <c r="J32" s="14" t="str">
        <f t="shared" si="7"/>
        <v/>
      </c>
      <c r="K32" s="14" t="str">
        <f t="shared" si="7"/>
        <v/>
      </c>
      <c r="L32" s="14" t="str">
        <f t="shared" si="7"/>
        <v/>
      </c>
      <c r="N32" t="s">
        <v>170</v>
      </c>
    </row>
    <row r="33" spans="1:14" x14ac:dyDescent="0.35">
      <c r="A33" t="str">
        <f t="shared" si="4"/>
        <v xml:space="preserve">    Colorado River Delta Balance</v>
      </c>
      <c r="B33" s="109"/>
      <c r="C33" s="106" t="str">
        <f t="shared" si="6"/>
        <v/>
      </c>
      <c r="D33" s="14" t="str">
        <f t="shared" si="7"/>
        <v/>
      </c>
      <c r="E33" s="14" t="str">
        <f t="shared" si="7"/>
        <v/>
      </c>
      <c r="F33" s="14" t="str">
        <f t="shared" si="7"/>
        <v/>
      </c>
      <c r="G33" s="14" t="str">
        <f t="shared" si="7"/>
        <v/>
      </c>
      <c r="H33" s="14" t="str">
        <f t="shared" si="7"/>
        <v/>
      </c>
      <c r="I33" s="14" t="str">
        <f t="shared" si="7"/>
        <v/>
      </c>
      <c r="J33" s="14" t="str">
        <f t="shared" si="7"/>
        <v/>
      </c>
      <c r="K33" s="14" t="str">
        <f t="shared" si="7"/>
        <v/>
      </c>
      <c r="L33" s="14" t="str">
        <f t="shared" si="7"/>
        <v/>
      </c>
    </row>
    <row r="34" spans="1:14" x14ac:dyDescent="0.35">
      <c r="A34" t="str">
        <f t="shared" si="4"/>
        <v xml:space="preserve">    First Nations Balance</v>
      </c>
      <c r="B34" s="109"/>
      <c r="C34" s="106" t="str">
        <f t="shared" si="6"/>
        <v/>
      </c>
      <c r="D34" s="14" t="str">
        <f t="shared" si="7"/>
        <v/>
      </c>
      <c r="E34" s="14" t="str">
        <f t="shared" si="7"/>
        <v/>
      </c>
      <c r="F34" s="14" t="str">
        <f t="shared" si="7"/>
        <v/>
      </c>
      <c r="G34" s="14" t="str">
        <f t="shared" si="7"/>
        <v/>
      </c>
      <c r="H34" s="14" t="str">
        <f t="shared" si="7"/>
        <v/>
      </c>
      <c r="I34" s="14" t="str">
        <f t="shared" si="7"/>
        <v/>
      </c>
      <c r="J34" s="14" t="str">
        <f t="shared" si="7"/>
        <v/>
      </c>
      <c r="K34" s="14" t="str">
        <f t="shared" si="7"/>
        <v/>
      </c>
      <c r="L34" s="14" t="str">
        <f t="shared" si="7"/>
        <v/>
      </c>
      <c r="N34" t="s">
        <v>173</v>
      </c>
    </row>
    <row r="35" spans="1:14" x14ac:dyDescent="0.35">
      <c r="A35" t="str">
        <f t="shared" si="4"/>
        <v xml:space="preserve">    Shared, Reserve Balance</v>
      </c>
      <c r="B35" s="109">
        <f>SUM($B$21:$C$21)</f>
        <v>11.59116925</v>
      </c>
      <c r="C35" s="106"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s="1" t="s">
        <v>193</v>
      </c>
      <c r="C36"/>
    </row>
    <row r="37" spans="1:14" x14ac:dyDescent="0.35">
      <c r="A37" t="s">
        <v>111</v>
      </c>
      <c r="C37" s="14" t="str">
        <f>IF(C$25&lt;&gt;"",B19,"")</f>
        <v/>
      </c>
      <c r="D37" s="14" t="str">
        <f>IF(D$25&lt;&gt;"",C129,"")</f>
        <v/>
      </c>
      <c r="E37" s="14" t="str">
        <f t="shared" ref="E37:L38" si="8">IF(E$25&lt;&gt;"",D129,"")</f>
        <v/>
      </c>
      <c r="F37" s="14" t="str">
        <f t="shared" si="8"/>
        <v/>
      </c>
      <c r="G37" s="14" t="str">
        <f t="shared" si="8"/>
        <v/>
      </c>
      <c r="H37" s="14" t="str">
        <f t="shared" si="8"/>
        <v/>
      </c>
      <c r="I37" s="14" t="str">
        <f t="shared" si="8"/>
        <v/>
      </c>
      <c r="J37" s="14" t="str">
        <f t="shared" si="8"/>
        <v/>
      </c>
      <c r="K37" s="14" t="str">
        <f t="shared" si="8"/>
        <v/>
      </c>
      <c r="L37" s="14" t="str">
        <f t="shared" si="8"/>
        <v/>
      </c>
    </row>
    <row r="38" spans="1:14" x14ac:dyDescent="0.35">
      <c r="A38" t="s">
        <v>112</v>
      </c>
      <c r="C38" s="14" t="str">
        <f>IF(C$25&lt;&gt;"",C19,"")</f>
        <v/>
      </c>
      <c r="D38" s="14" t="str">
        <f>IF(D$25&lt;&gt;"",C130,"")</f>
        <v/>
      </c>
      <c r="E38" s="14" t="str">
        <f t="shared" si="8"/>
        <v/>
      </c>
      <c r="F38" s="14" t="str">
        <f t="shared" si="8"/>
        <v/>
      </c>
      <c r="G38" s="14" t="str">
        <f t="shared" si="8"/>
        <v/>
      </c>
      <c r="H38" s="14" t="str">
        <f t="shared" si="8"/>
        <v/>
      </c>
      <c r="I38" s="14" t="str">
        <f t="shared" si="8"/>
        <v/>
      </c>
      <c r="J38" s="14" t="str">
        <f t="shared" si="8"/>
        <v/>
      </c>
      <c r="K38" s="14" t="str">
        <f t="shared" si="8"/>
        <v/>
      </c>
      <c r="L38" s="14" t="str">
        <f t="shared" si="8"/>
        <v/>
      </c>
    </row>
    <row r="39" spans="1:14" x14ac:dyDescent="0.35">
      <c r="A39" s="1" t="s">
        <v>117</v>
      </c>
      <c r="B39" s="1"/>
      <c r="C39" s="14" t="str">
        <f>IF(C$25&lt;&gt;"",VLOOKUP(C37*1000000,'Powell-Elevation-Area'!$B$5:$D$689,3)*$B$18/1000000 + VLOOKUP(C38*1000000,'Mead-Elevation-Area'!$B$5:$D$676,3)*$C$18/1000000,"")</f>
        <v/>
      </c>
      <c r="D39" s="14" t="str">
        <f>IF(D$25&lt;&gt;"",VLOOKUP(D37*1000000,'Powell-Elevation-Area'!$B$5:$D$689,3)*$B$18/1000000 + VLOOKUP(D38*1000000,'Mead-Elevation-Area'!$B$5:$D$676,3)*$C$18/1000000,"")</f>
        <v/>
      </c>
      <c r="E39" s="14" t="str">
        <f>IF(E$25&lt;&gt;"",VLOOKUP(E37*1000000,'Powell-Elevation-Area'!$B$5:$D$689,3)*$B$18/1000000 + VLOOKUP(E38*1000000,'Mead-Elevation-Area'!$B$5:$D$676,3)*$C$18/1000000,"")</f>
        <v/>
      </c>
      <c r="F39" s="14" t="str">
        <f>IF(F$25&lt;&gt;"",VLOOKUP(F37*1000000,'Powell-Elevation-Area'!$B$5:$D$689,3)*$B$18/1000000 + VLOOKUP(F38*1000000,'Mead-Elevation-Area'!$B$5:$D$676,3)*$C$18/1000000,"")</f>
        <v/>
      </c>
      <c r="G39" s="14" t="str">
        <f>IF(G$25&lt;&gt;"",VLOOKUP(G37*1000000,'Powell-Elevation-Area'!$B$5:$D$689,3)*$B$18/1000000 + VLOOKUP(G38*1000000,'Mead-Elevation-Area'!$B$5:$D$676,3)*$C$18/1000000,"")</f>
        <v/>
      </c>
      <c r="H39" s="14" t="str">
        <f>IF(H$25&lt;&gt;"",VLOOKUP(H37*1000000,'Powell-Elevation-Area'!$B$5:$D$689,3)*$B$18/1000000 + VLOOKUP(H38*1000000,'Mead-Elevation-Area'!$B$5:$D$676,3)*$C$18/1000000,"")</f>
        <v/>
      </c>
      <c r="I39" s="14" t="str">
        <f>IF(I$25&lt;&gt;"",VLOOKUP(I37*1000000,'Powell-Elevation-Area'!$B$5:$D$689,3)*$B$18/1000000 + VLOOKUP(I38*1000000,'Mead-Elevation-Area'!$B$5:$D$676,3)*$C$18/1000000,"")</f>
        <v/>
      </c>
      <c r="J39" s="14" t="str">
        <f>IF(J$25&lt;&gt;"",VLOOKUP(J37*1000000,'Powell-Elevation-Area'!$B$5:$D$689,3)*$B$18/1000000 + VLOOKUP(J38*1000000,'Mead-Elevation-Area'!$B$5:$D$676,3)*$C$18/1000000,"")</f>
        <v/>
      </c>
      <c r="K39" s="14" t="str">
        <f>IF(K$25&lt;&gt;"",VLOOKUP(K37*1000000,'Powell-Elevation-Area'!$B$5:$D$689,3)*$B$18/1000000 + VLOOKUP(K38*1000000,'Mead-Elevation-Area'!$B$5:$D$676,3)*$C$18/1000000,"")</f>
        <v/>
      </c>
      <c r="L39" s="14" t="str">
        <f>IF(L$25&lt;&gt;"",VLOOKUP(L37*1000000,'Powell-Elevation-Area'!$B$5:$D$689,3)*$B$18/1000000 + VLOOKUP(L38*1000000,'Mead-Elevation-Area'!$B$5:$D$676,3)*$C$18/1000000,"")</f>
        <v/>
      </c>
    </row>
    <row r="40" spans="1:14" x14ac:dyDescent="0.35">
      <c r="A40" t="str">
        <f t="shared" ref="A40:A45" si="9">IF(A5="","","    "&amp;A5&amp;" Share")</f>
        <v xml:space="preserve">    Upper Basin Share</v>
      </c>
      <c r="B40" s="1"/>
      <c r="C40" s="14" t="str">
        <f t="shared" ref="C40:L40" si="10">IF(OR(C$25="",$A40=""),"",C$39*C30/C$29)</f>
        <v/>
      </c>
      <c r="D40" s="14" t="str">
        <f t="shared" si="10"/>
        <v/>
      </c>
      <c r="E40" s="14" t="str">
        <f t="shared" si="10"/>
        <v/>
      </c>
      <c r="F40" s="14" t="str">
        <f t="shared" si="10"/>
        <v/>
      </c>
      <c r="G40" s="14" t="str">
        <f t="shared" si="10"/>
        <v/>
      </c>
      <c r="H40" s="14" t="str">
        <f t="shared" si="10"/>
        <v/>
      </c>
      <c r="I40" s="14" t="str">
        <f t="shared" si="10"/>
        <v/>
      </c>
      <c r="J40" s="14" t="str">
        <f t="shared" si="10"/>
        <v/>
      </c>
      <c r="K40" s="14" t="str">
        <f t="shared" si="10"/>
        <v/>
      </c>
      <c r="L40" s="14" t="str">
        <f t="shared" si="10"/>
        <v/>
      </c>
    </row>
    <row r="41" spans="1:14" x14ac:dyDescent="0.35">
      <c r="A41" t="str">
        <f t="shared" si="9"/>
        <v xml:space="preserve">    Lower Basin Share</v>
      </c>
      <c r="B41" s="1"/>
      <c r="C41" s="14" t="str">
        <f t="shared" ref="C41:L41" si="11">IF(OR(C$25="",$A41=""),"",C$39*C31/C$29)</f>
        <v/>
      </c>
      <c r="D41" s="14" t="str">
        <f t="shared" si="11"/>
        <v/>
      </c>
      <c r="E41" s="14" t="str">
        <f t="shared" si="11"/>
        <v/>
      </c>
      <c r="F41" s="14" t="str">
        <f t="shared" si="11"/>
        <v/>
      </c>
      <c r="G41" s="14" t="str">
        <f t="shared" si="11"/>
        <v/>
      </c>
      <c r="H41" s="14" t="str">
        <f t="shared" si="11"/>
        <v/>
      </c>
      <c r="I41" s="14" t="str">
        <f t="shared" si="11"/>
        <v/>
      </c>
      <c r="J41" s="14" t="str">
        <f t="shared" si="11"/>
        <v/>
      </c>
      <c r="K41" s="14" t="str">
        <f t="shared" si="11"/>
        <v/>
      </c>
      <c r="L41" s="14" t="str">
        <f t="shared" si="11"/>
        <v/>
      </c>
    </row>
    <row r="42" spans="1:14" x14ac:dyDescent="0.35">
      <c r="A42" t="str">
        <f t="shared" si="9"/>
        <v xml:space="preserve">    Mexico Share</v>
      </c>
      <c r="B42" s="1"/>
      <c r="C42" s="14" t="str">
        <f t="shared" ref="C42:L42" si="12">IF(OR(C$25="",$A42=""),"",C$39*C32/C$29)</f>
        <v/>
      </c>
      <c r="D42" s="14" t="str">
        <f t="shared" si="12"/>
        <v/>
      </c>
      <c r="E42" s="14" t="str">
        <f t="shared" si="12"/>
        <v/>
      </c>
      <c r="F42" s="14" t="str">
        <f t="shared" si="12"/>
        <v/>
      </c>
      <c r="G42" s="14" t="str">
        <f t="shared" si="12"/>
        <v/>
      </c>
      <c r="H42" s="14" t="str">
        <f t="shared" si="12"/>
        <v/>
      </c>
      <c r="I42" s="14" t="str">
        <f t="shared" si="12"/>
        <v/>
      </c>
      <c r="J42" s="14" t="str">
        <f t="shared" si="12"/>
        <v/>
      </c>
      <c r="K42" s="14" t="str">
        <f t="shared" si="12"/>
        <v/>
      </c>
      <c r="L42" s="14" t="str">
        <f t="shared" si="12"/>
        <v/>
      </c>
    </row>
    <row r="43" spans="1:14" x14ac:dyDescent="0.35">
      <c r="A43" t="str">
        <f t="shared" si="9"/>
        <v xml:space="preserve">    Colorado River Delta Share</v>
      </c>
      <c r="B43" s="1"/>
      <c r="C43" s="14" t="str">
        <f t="shared" ref="C43:L43" si="13">IF(OR(C$25="",$A43=""),"",C$39*C33/C$29)</f>
        <v/>
      </c>
      <c r="D43" s="14" t="str">
        <f t="shared" si="13"/>
        <v/>
      </c>
      <c r="E43" s="14" t="str">
        <f t="shared" si="13"/>
        <v/>
      </c>
      <c r="F43" s="14" t="str">
        <f t="shared" si="13"/>
        <v/>
      </c>
      <c r="G43" s="14" t="str">
        <f t="shared" si="13"/>
        <v/>
      </c>
      <c r="H43" s="14" t="str">
        <f t="shared" si="13"/>
        <v/>
      </c>
      <c r="I43" s="14" t="str">
        <f t="shared" si="13"/>
        <v/>
      </c>
      <c r="J43" s="14" t="str">
        <f t="shared" si="13"/>
        <v/>
      </c>
      <c r="K43" s="14" t="str">
        <f t="shared" si="13"/>
        <v/>
      </c>
      <c r="L43" s="14" t="str">
        <f t="shared" si="13"/>
        <v/>
      </c>
    </row>
    <row r="44" spans="1:14" x14ac:dyDescent="0.35">
      <c r="A44" t="str">
        <f t="shared" si="9"/>
        <v xml:space="preserve">    First Nations Share</v>
      </c>
      <c r="B44" s="1"/>
      <c r="C44" s="14" t="str">
        <f t="shared" ref="C44:L44" si="14">IF(OR(C$25="",$A44=""),"",C$39*C34/C$29)</f>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9"/>
        <v xml:space="preserve">    Shared, Reserve Share</v>
      </c>
      <c r="B45" s="1"/>
      <c r="C45" s="14" t="str">
        <f t="shared" ref="C45:L45" si="15">IF(OR(C$25="",$A45=""),"",C$39*C35/C$29)</f>
        <v/>
      </c>
      <c r="D45" s="14" t="str">
        <f t="shared" si="15"/>
        <v/>
      </c>
      <c r="E45" s="14" t="str">
        <f t="shared" si="15"/>
        <v/>
      </c>
      <c r="F45" s="14" t="str">
        <f t="shared" si="15"/>
        <v/>
      </c>
      <c r="G45" s="14" t="str">
        <f t="shared" si="15"/>
        <v/>
      </c>
      <c r="H45" s="14" t="str">
        <f t="shared" si="15"/>
        <v/>
      </c>
      <c r="I45" s="14" t="str">
        <f t="shared" si="15"/>
        <v/>
      </c>
      <c r="J45" s="14" t="str">
        <f t="shared" si="15"/>
        <v/>
      </c>
      <c r="K45" s="14" t="str">
        <f t="shared" si="15"/>
        <v/>
      </c>
      <c r="L45" s="14" t="str">
        <f t="shared" si="15"/>
        <v/>
      </c>
    </row>
    <row r="46" spans="1:14" x14ac:dyDescent="0.35">
      <c r="A46" s="1" t="s">
        <v>244</v>
      </c>
      <c r="B46" s="72"/>
      <c r="C46" s="47" t="str">
        <f>IF(C$25&lt;&gt;"",1.5-0.21/9/2-VLOOKUP(C38,MandatoryConservation!$C$5:$P$13,13),"")</f>
        <v/>
      </c>
      <c r="D46" s="47" t="str">
        <f>IF(D$25&lt;&gt;"",1.5-0.21/9/2-VLOOKUP(D38,MandatoryConservation!$C$5:$P$13,13),"")</f>
        <v/>
      </c>
      <c r="E46" s="47" t="str">
        <f>IF(E$25&lt;&gt;"",1.5-0.21/9/2-VLOOKUP(E38,MandatoryConservation!$C$5:$P$13,13),"")</f>
        <v/>
      </c>
      <c r="F46" s="47" t="str">
        <f>IF(F$25&lt;&gt;"",1.5-0.21/9/2-VLOOKUP(F38,MandatoryConservation!$C$5:$P$13,13),"")</f>
        <v/>
      </c>
      <c r="G46" s="47" t="str">
        <f>IF(G$25&lt;&gt;"",1.5-0.21/9/2-VLOOKUP(G38,MandatoryConservation!$C$5:$P$13,13),"")</f>
        <v/>
      </c>
      <c r="H46" s="47" t="str">
        <f>IF(H$25&lt;&gt;"",1.5-0.21/9/2-VLOOKUP(H38,MandatoryConservation!$C$5:$P$13,13),"")</f>
        <v/>
      </c>
      <c r="I46" s="47" t="str">
        <f>IF(I$25&lt;&gt;"",1.5-0.21/9/2-VLOOKUP(I38,MandatoryConservation!$C$5:$P$13,13),"")</f>
        <v/>
      </c>
      <c r="J46" s="47" t="str">
        <f>IF(J$25&lt;&gt;"",1.5-0.21/9/2-VLOOKUP(J38,MandatoryConservation!$C$5:$P$13,13),"")</f>
        <v/>
      </c>
      <c r="K46" s="47" t="str">
        <f>IF(K$25&lt;&gt;"",1.5-0.21/9/2-VLOOKUP(K38,MandatoryConservation!$C$5:$P$13,13),"")</f>
        <v/>
      </c>
      <c r="L46" s="47" t="str">
        <f>IF(L$25&lt;&gt;"",1.5-0.21/9/2-VLOOKUP(L38,MandatoryConservation!$C$5:$P$13,13),"")</f>
        <v/>
      </c>
    </row>
    <row r="47" spans="1:14" x14ac:dyDescent="0.35">
      <c r="A47" s="1" t="s">
        <v>279</v>
      </c>
      <c r="B47" s="1"/>
      <c r="C47" s="49" t="str">
        <f>IF(C25="","",SUM(C25:C27)-C28)</f>
        <v/>
      </c>
      <c r="D47" s="49" t="str">
        <f t="shared" ref="D47:E47" si="16">IF(D25="","",SUM(D25:D27)-D28)</f>
        <v/>
      </c>
      <c r="E47" s="49" t="str">
        <f t="shared" si="16"/>
        <v/>
      </c>
      <c r="F47" s="49" t="str">
        <f t="shared" ref="F47:L47" si="17">IF(F25="","",SUM(F25:F27)-F28)</f>
        <v/>
      </c>
      <c r="G47" s="49" t="str">
        <f t="shared" si="17"/>
        <v/>
      </c>
      <c r="H47" s="49" t="str">
        <f t="shared" si="17"/>
        <v/>
      </c>
      <c r="I47" s="49" t="str">
        <f t="shared" si="17"/>
        <v/>
      </c>
      <c r="J47" s="49" t="str">
        <f t="shared" si="17"/>
        <v/>
      </c>
      <c r="K47" s="49" t="str">
        <f t="shared" si="17"/>
        <v/>
      </c>
      <c r="L47" s="49" t="str">
        <f t="shared" si="17"/>
        <v/>
      </c>
      <c r="M47" s="43"/>
      <c r="N47" s="43"/>
    </row>
    <row r="48" spans="1:14" x14ac:dyDescent="0.35">
      <c r="A48" t="str">
        <f t="shared" ref="A48:A53" si="18">IF(A5="","","    To "&amp;A5)</f>
        <v xml:space="preserve">    To Upper Basin</v>
      </c>
      <c r="B48" s="127" t="s">
        <v>144</v>
      </c>
      <c r="C48" s="106" t="str">
        <f>IF(OR(C$25="",$A48=""),"",MAX(C25-(82.3-$B$22)-C53*$B$21/SUM($B$21:$C$21),0))</f>
        <v/>
      </c>
      <c r="D48" s="106" t="str">
        <f>IF(OR(D$25="",$A48=""),"",MAX(0,D25-$B$49-D46/2-D53*$B$21/SUM($B$21:$C$21)))</f>
        <v/>
      </c>
      <c r="E48" s="106" t="str">
        <f t="shared" ref="E48" si="19">IF(OR(E$25="",$A48=""),"",MAX(0,E25-$B$49-E46/2-E53*$B$21/SUM($B$21:$C$21)))</f>
        <v/>
      </c>
      <c r="F48" s="106" t="str">
        <f t="shared" ref="F48:L48" si="20">IF(OR(F$25="",$A48=""),"",MAX(0,F25-$B$49-F46/2-F53*$B$21/SUM($B$21:$C$21)))</f>
        <v/>
      </c>
      <c r="G48" s="106" t="str">
        <f t="shared" si="20"/>
        <v/>
      </c>
      <c r="H48" s="106" t="str">
        <f t="shared" si="20"/>
        <v/>
      </c>
      <c r="I48" s="106" t="str">
        <f t="shared" si="20"/>
        <v/>
      </c>
      <c r="J48" s="106" t="str">
        <f t="shared" si="20"/>
        <v/>
      </c>
      <c r="K48" s="106" t="str">
        <f t="shared" si="20"/>
        <v/>
      </c>
      <c r="L48" s="106" t="str">
        <f t="shared" si="20"/>
        <v/>
      </c>
      <c r="M48" s="27"/>
      <c r="N48" s="27"/>
    </row>
    <row r="49" spans="1:14" x14ac:dyDescent="0.35">
      <c r="A49" t="str">
        <f t="shared" si="18"/>
        <v xml:space="preserve">    To Lower Basin</v>
      </c>
      <c r="B49" s="128">
        <f>7.5</f>
        <v>7.5</v>
      </c>
      <c r="C49" s="106" t="str">
        <f>IF(OR(C$25="",$A49=""),"",C26+C27-C28-C53*$C$21/SUM($B$21:$C$21)-C50+MIN(82.3-$B$22,C25))</f>
        <v/>
      </c>
      <c r="D49" s="106" t="str">
        <f>IF(OR(D$25="",$A49=""),"",D26+D27-D28-D53*IF($B49&lt;D25-D50/2,$C$21/SUM($B$21:$C$21),1)-D50/2+MIN($B49,D25-D50/2))</f>
        <v/>
      </c>
      <c r="E49" s="106" t="str">
        <f>IF(OR(E$25="",$A49=""),"",E26+E27-E28-E53*IF($B49&lt;E25-E50/2,$C$21/SUM($B$21:$C$21),1)-E50/2+MIN($B49,E25-E50/2))</f>
        <v/>
      </c>
      <c r="F49" s="106" t="str">
        <f t="shared" ref="F49:L49" si="21">IF(OR(F$25="",$A49=""),"",F26+F27-F28-F53*IF($B49&lt;F25-F50/2,$C$21/SUM($B$21:$C$21),1)-F50/2+MIN($B49,F25-F50/2))</f>
        <v/>
      </c>
      <c r="G49" s="106" t="str">
        <f t="shared" si="21"/>
        <v/>
      </c>
      <c r="H49" s="106" t="str">
        <f t="shared" si="21"/>
        <v/>
      </c>
      <c r="I49" s="106" t="str">
        <f t="shared" si="21"/>
        <v/>
      </c>
      <c r="J49" s="106" t="str">
        <f t="shared" si="21"/>
        <v/>
      </c>
      <c r="K49" s="106" t="str">
        <f t="shared" si="21"/>
        <v/>
      </c>
      <c r="L49" s="106" t="str">
        <f t="shared" si="21"/>
        <v/>
      </c>
      <c r="M49" s="27"/>
      <c r="N49" s="27"/>
    </row>
    <row r="50" spans="1:14" x14ac:dyDescent="0.35">
      <c r="A50" t="str">
        <f t="shared" si="18"/>
        <v xml:space="preserve">    To Mexico</v>
      </c>
      <c r="B50" s="128" t="s">
        <v>327</v>
      </c>
      <c r="C50" s="107" t="str">
        <f>IF(OR(C$25="",$A50=""),"",IF(C$47&gt;SUM(C51:C53,C46),C46,C$47-SUM(C51:C53)))</f>
        <v/>
      </c>
      <c r="D50" s="106" t="str">
        <f>IF(OR(D$25="",$A50=""),"",IF(D$47&gt;SUM(D51:D53,D46),D46,D$47-SUM(D51:D52)))</f>
        <v/>
      </c>
      <c r="E50" s="106" t="str">
        <f t="shared" ref="E50" si="22">IF(OR(E$25="",$A50=""),"",IF(E$47&gt;SUM(E51:E53,E46),E46,E$47-SUM(E51:E52)))</f>
        <v/>
      </c>
      <c r="F50" s="106" t="str">
        <f t="shared" ref="F50" si="23">IF(OR(F$25="",$A50=""),"",IF(F$47&gt;SUM(F51:F53,F46),F46,F$47-SUM(F51:F52)))</f>
        <v/>
      </c>
      <c r="G50" s="106" t="str">
        <f t="shared" ref="G50" si="24">IF(OR(G$25="",$A50=""),"",IF(G$47&gt;SUM(G51:G53,G46),G46,G$47-SUM(G51:G52)))</f>
        <v/>
      </c>
      <c r="H50" s="106" t="str">
        <f t="shared" ref="H50" si="25">IF(OR(H$25="",$A50=""),"",IF(H$47&gt;SUM(H51:H53,H46),H46,H$47-SUM(H51:H52)))</f>
        <v/>
      </c>
      <c r="I50" s="106" t="str">
        <f t="shared" ref="I50" si="26">IF(OR(I$25="",$A50=""),"",IF(I$47&gt;SUM(I51:I53,I46),I46,I$47-SUM(I51:I52)))</f>
        <v/>
      </c>
      <c r="J50" s="106" t="str">
        <f t="shared" ref="J50" si="27">IF(OR(J$25="",$A50=""),"",IF(J$47&gt;SUM(J51:J53,J46),J46,J$47-SUM(J51:J52)))</f>
        <v/>
      </c>
      <c r="K50" s="106" t="str">
        <f t="shared" ref="K50" si="28">IF(OR(K$25="",$A50=""),"",IF(K$47&gt;SUM(K51:K53,K46),K46,K$47-SUM(K51:K52)))</f>
        <v/>
      </c>
      <c r="L50" s="106" t="str">
        <f t="shared" ref="L50" si="29">IF(OR(L$25="",$A50=""),"",IF(L$47&gt;SUM(L51:L53,L46),L46,L$47-SUM(L51:L52)))</f>
        <v/>
      </c>
      <c r="M50" s="27"/>
      <c r="N50" s="27"/>
    </row>
    <row r="51" spans="1:14" x14ac:dyDescent="0.35">
      <c r="A51" t="str">
        <f t="shared" si="18"/>
        <v xml:space="preserve">    To Colorado River Delta</v>
      </c>
      <c r="B51" s="137">
        <f>0.21/9*(2/3)</f>
        <v>1.5555555555555553E-2</v>
      </c>
      <c r="C51" s="138" t="str">
        <f>IF(OR(C$25="",$A51=""),"",MIN($B51,C$47-SUM(C52:C53)))</f>
        <v/>
      </c>
      <c r="D51" s="138" t="str">
        <f t="shared" ref="D51:L51" si="30">IF(OR(D$25="",$A51=""),"",MIN($B51,D$47-SUM(D52:D53)))</f>
        <v/>
      </c>
      <c r="E51" s="138" t="str">
        <f t="shared" si="30"/>
        <v/>
      </c>
      <c r="F51" s="138" t="str">
        <f t="shared" si="30"/>
        <v/>
      </c>
      <c r="G51" s="138" t="str">
        <f t="shared" si="30"/>
        <v/>
      </c>
      <c r="H51" s="138" t="str">
        <f t="shared" si="30"/>
        <v/>
      </c>
      <c r="I51" s="138" t="str">
        <f t="shared" si="30"/>
        <v/>
      </c>
      <c r="J51" s="138" t="str">
        <f t="shared" si="30"/>
        <v/>
      </c>
      <c r="K51" s="138" t="str">
        <f t="shared" si="30"/>
        <v/>
      </c>
      <c r="L51" s="138" t="str">
        <f t="shared" si="30"/>
        <v/>
      </c>
      <c r="M51" s="27"/>
      <c r="N51" s="27"/>
    </row>
    <row r="52" spans="1:14" x14ac:dyDescent="0.35">
      <c r="A52" t="str">
        <f t="shared" si="18"/>
        <v xml:space="preserve">    To First Nations</v>
      </c>
      <c r="B52" s="128"/>
      <c r="C52" s="106"/>
      <c r="D52" s="106"/>
      <c r="E52" s="106"/>
      <c r="F52" s="106"/>
      <c r="G52" s="106"/>
      <c r="H52" s="106"/>
      <c r="I52" s="106"/>
      <c r="J52" s="106"/>
      <c r="K52" s="106"/>
      <c r="L52" s="106"/>
      <c r="M52" s="27"/>
      <c r="N52" s="27"/>
    </row>
    <row r="53" spans="1:14" x14ac:dyDescent="0.35">
      <c r="A53" t="str">
        <f t="shared" si="18"/>
        <v xml:space="preserve">    To Shared, Reserve</v>
      </c>
      <c r="B53" s="128" t="s">
        <v>335</v>
      </c>
      <c r="C53" s="106" t="str">
        <f>IF(OR(C$25="",$A53=""),"",IF(C$47&gt;C45,C45,C$47))</f>
        <v/>
      </c>
      <c r="D53" s="106" t="str">
        <f>IF(OR(D$25="",$A53=""),"",IF(D$47&gt;D45,D45,D47))</f>
        <v/>
      </c>
      <c r="E53" s="106" t="str">
        <f t="shared" ref="E53" si="31">IF(OR(E$25="",$A53=""),"",IF(E$47&gt;E45,E45,E47))</f>
        <v/>
      </c>
      <c r="F53" s="106" t="str">
        <f t="shared" ref="F53:L53" si="32">IF(OR(F$25="",$A53=""),"",IF(F$47&gt;F45,F45,F47))</f>
        <v/>
      </c>
      <c r="G53" s="106" t="str">
        <f t="shared" si="32"/>
        <v/>
      </c>
      <c r="H53" s="106" t="str">
        <f t="shared" si="32"/>
        <v/>
      </c>
      <c r="I53" s="106" t="str">
        <f t="shared" si="32"/>
        <v/>
      </c>
      <c r="J53" s="106" t="str">
        <f t="shared" si="32"/>
        <v/>
      </c>
      <c r="K53" s="106" t="str">
        <f t="shared" si="32"/>
        <v/>
      </c>
      <c r="L53" s="106" t="str">
        <f t="shared" si="32"/>
        <v/>
      </c>
      <c r="M53" s="27"/>
      <c r="N53" s="27"/>
    </row>
    <row r="54" spans="1:14" x14ac:dyDescent="0.35">
      <c r="C54" s="43"/>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Purchases(+) and Sales(-) [maf]")</f>
        <v xml:space="preserve">   Volume of Purchases(+) and Sales(-)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35">
      <c r="A58" s="30" t="str">
        <f>IF(A57="","","   Cash Payments(-) and Income(+) [$ Mill]")</f>
        <v xml:space="preserve">   Cash Payments(-) and Income(+)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t="str">
        <f t="shared" ref="C59:M59" si="33">IF(OR(C$25="",$A59=""),"",C$112)</f>
        <v/>
      </c>
      <c r="D59" s="65" t="str">
        <f t="shared" si="33"/>
        <v/>
      </c>
      <c r="E59" s="65" t="str">
        <f t="shared" si="33"/>
        <v/>
      </c>
      <c r="F59" s="65" t="str">
        <f t="shared" si="33"/>
        <v/>
      </c>
      <c r="G59" s="65" t="str">
        <f t="shared" si="33"/>
        <v/>
      </c>
      <c r="H59" s="65" t="str">
        <f t="shared" si="33"/>
        <v/>
      </c>
      <c r="I59" s="65" t="str">
        <f t="shared" si="33"/>
        <v/>
      </c>
      <c r="J59" s="65" t="str">
        <f t="shared" si="33"/>
        <v/>
      </c>
      <c r="K59" s="65" t="str">
        <f t="shared" si="33"/>
        <v/>
      </c>
      <c r="L59" s="65" t="str">
        <f t="shared" si="33"/>
        <v/>
      </c>
      <c r="M59" t="str">
        <f t="shared" si="33"/>
        <v/>
      </c>
      <c r="N59" t="str">
        <f>IF(A59="","","If non-zero, players need to change amount(s)")</f>
        <v>If non-zero, players need to change amount(s)</v>
      </c>
    </row>
    <row r="60" spans="1:14" x14ac:dyDescent="0.35">
      <c r="A60" s="1" t="str">
        <f>IF(A58="","","   Available Water [maf]")</f>
        <v xml:space="preserve">   Available Water [maf]</v>
      </c>
      <c r="C60" s="14" t="str">
        <f>IF(OR(C$25="",$A60=""),"",C30+C48-C40+C57)</f>
        <v/>
      </c>
      <c r="D60" s="14" t="str">
        <f t="shared" ref="D60:L60" si="34">IF(OR(D$25="",$A60=""),"",D30+D48-D40+D57)</f>
        <v/>
      </c>
      <c r="E60" s="14" t="str">
        <f t="shared" si="34"/>
        <v/>
      </c>
      <c r="F60" s="14" t="str">
        <f t="shared" si="34"/>
        <v/>
      </c>
      <c r="G60" s="14" t="str">
        <f t="shared" si="34"/>
        <v/>
      </c>
      <c r="H60" s="14" t="str">
        <f t="shared" si="34"/>
        <v/>
      </c>
      <c r="I60" s="14" t="str">
        <f t="shared" si="34"/>
        <v/>
      </c>
      <c r="J60" s="14" t="str">
        <f t="shared" si="34"/>
        <v/>
      </c>
      <c r="K60" s="14" t="str">
        <f t="shared" si="34"/>
        <v/>
      </c>
      <c r="L60" s="14" t="str">
        <f t="shared" si="34"/>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t="str">
        <f>IF(C26&lt;&gt;"",IF(C60&gt;4.2,4.2,MAX(C60,0)),"")</f>
        <v/>
      </c>
      <c r="D61" s="125" t="str">
        <f>IF(D26&lt;&gt;"",IF(D60&gt;4.2,4.2,MAX(D60,0)),"")</f>
        <v/>
      </c>
      <c r="E61" s="125" t="str">
        <f>IF(E26&lt;&gt;"",IF(E60&gt;4.2,4.2,MAX(E60,0)),"")</f>
        <v/>
      </c>
      <c r="F61" s="125" t="str">
        <f>IF(F26&lt;&gt;"",IF(F60&gt;4.2,4.2,MAX(F60,0)),"")</f>
        <v/>
      </c>
      <c r="G61" s="125" t="str">
        <f>IF(G26&lt;&gt;"",IF(G60&gt;4.2,4.2,MAX(G60,0)),"")</f>
        <v/>
      </c>
      <c r="H61" s="125"/>
      <c r="I61" s="125"/>
      <c r="J61" s="125"/>
      <c r="K61" s="125"/>
      <c r="L61" s="125"/>
      <c r="N61" t="str">
        <f>IF(A61="","","Must be less than Available water")</f>
        <v>Must be less than Available water</v>
      </c>
    </row>
    <row r="62" spans="1:14" x14ac:dyDescent="0.35">
      <c r="A62" s="30" t="str">
        <f>IF(A61="","","   End of Year Balance [maf]")</f>
        <v xml:space="preserve">   End of Year Balance [maf]</v>
      </c>
      <c r="C62" s="64" t="str">
        <f>IF(OR(C$25="",$A62=""),"",C60-C61)</f>
        <v/>
      </c>
      <c r="D62" s="64" t="str">
        <f t="shared" ref="D62:L62" si="35">IF(OR(D$25="",$A62=""),"",D60-D61)</f>
        <v/>
      </c>
      <c r="E62" s="64" t="str">
        <f t="shared" si="35"/>
        <v/>
      </c>
      <c r="F62" s="64" t="str">
        <f t="shared" si="35"/>
        <v/>
      </c>
      <c r="G62" s="64" t="str">
        <f t="shared" si="35"/>
        <v/>
      </c>
      <c r="H62" s="64" t="str">
        <f t="shared" si="35"/>
        <v/>
      </c>
      <c r="I62" s="64" t="str">
        <f t="shared" si="35"/>
        <v/>
      </c>
      <c r="J62" s="64" t="str">
        <f t="shared" si="35"/>
        <v/>
      </c>
      <c r="K62" s="64" t="str">
        <f t="shared" si="35"/>
        <v/>
      </c>
      <c r="L62" s="64" t="str">
        <f t="shared" si="35"/>
        <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IF(A64="[Unused]","",$A$57)</f>
        <v xml:space="preserve">   Volume of Purchases(+) and Sales(-) [maf]</v>
      </c>
      <c r="C65" s="123"/>
      <c r="D65" s="123"/>
      <c r="E65" s="123"/>
      <c r="F65" s="123"/>
      <c r="G65" s="123"/>
      <c r="H65" s="123"/>
      <c r="I65" s="123"/>
      <c r="J65" s="123"/>
      <c r="K65" s="123"/>
      <c r="L65" s="123"/>
      <c r="M65" s="65">
        <f>SUM(C65:L65)</f>
        <v>0</v>
      </c>
      <c r="N65" t="str">
        <f>IF(A65="","",N57)</f>
        <v>Add if multiple transactions, e.g.: 0.5 + 0.25</v>
      </c>
    </row>
    <row r="66" spans="1:14" x14ac:dyDescent="0.35">
      <c r="A66" s="30" t="str">
        <f>IF(A65="","",$A$58)</f>
        <v xml:space="preserve">   Cash Payments(-) and Income(+) [$ Mill]</v>
      </c>
      <c r="C66" s="124"/>
      <c r="D66" s="124"/>
      <c r="E66" s="124"/>
      <c r="F66" s="124"/>
      <c r="G66" s="124"/>
      <c r="H66" s="124"/>
      <c r="I66" s="124"/>
      <c r="J66" s="124"/>
      <c r="K66" s="124"/>
      <c r="L66" s="124"/>
      <c r="M66" s="63">
        <f>SUM(C66:L66)</f>
        <v>0</v>
      </c>
      <c r="N66" t="str">
        <f t="shared" ref="N66:N70" si="36">IF(A66="","",N58)</f>
        <v>Add if multiple transactions, e.g.: $350*0.5 + $450*0.25</v>
      </c>
    </row>
    <row r="67" spans="1:14" x14ac:dyDescent="0.35">
      <c r="A67" s="30" t="str">
        <f>IF(A66="","","   Volume all players (should be zero)")</f>
        <v xml:space="preserve">   Volume all players (should be zero)</v>
      </c>
      <c r="C67" s="65" t="str">
        <f t="shared" ref="C67:M67" si="37">IF(OR(C$25="",$A67=""),"",C$112)</f>
        <v/>
      </c>
      <c r="D67" s="65" t="str">
        <f t="shared" si="37"/>
        <v/>
      </c>
      <c r="E67" s="65" t="str">
        <f t="shared" si="37"/>
        <v/>
      </c>
      <c r="F67" s="65" t="str">
        <f t="shared" si="37"/>
        <v/>
      </c>
      <c r="G67" s="65" t="str">
        <f t="shared" si="37"/>
        <v/>
      </c>
      <c r="H67" s="65" t="str">
        <f t="shared" si="37"/>
        <v/>
      </c>
      <c r="I67" s="65" t="str">
        <f t="shared" si="37"/>
        <v/>
      </c>
      <c r="J67" s="65" t="str">
        <f t="shared" si="37"/>
        <v/>
      </c>
      <c r="K67" s="65" t="str">
        <f t="shared" si="37"/>
        <v/>
      </c>
      <c r="L67" s="65" t="str">
        <f t="shared" si="37"/>
        <v/>
      </c>
      <c r="M67" t="str">
        <f t="shared" si="37"/>
        <v/>
      </c>
      <c r="N67" t="str">
        <f t="shared" si="36"/>
        <v>If non-zero, players need to change amount(s)</v>
      </c>
    </row>
    <row r="68" spans="1:14" x14ac:dyDescent="0.35">
      <c r="A68" s="1" t="str">
        <f>IF(A66="","","   Available Water [maf]")</f>
        <v xml:space="preserve">   Available Water [maf]</v>
      </c>
      <c r="C68" s="14" t="str">
        <f>IF(OR(C$25="",$A68=""),"",C31+C49-C41+C65)</f>
        <v/>
      </c>
      <c r="D68" s="14" t="str">
        <f t="shared" ref="D68:L68" si="38">IF(OR(D$25="",$A68=""),"",D31+D49-D41+D65)</f>
        <v/>
      </c>
      <c r="E68" s="14" t="str">
        <f t="shared" si="38"/>
        <v/>
      </c>
      <c r="F68" s="14" t="str">
        <f t="shared" si="38"/>
        <v/>
      </c>
      <c r="G68" s="14" t="str">
        <f t="shared" si="38"/>
        <v/>
      </c>
      <c r="H68" s="14" t="str">
        <f t="shared" si="38"/>
        <v/>
      </c>
      <c r="I68" s="14" t="str">
        <f t="shared" si="38"/>
        <v/>
      </c>
      <c r="J68" s="14" t="str">
        <f t="shared" si="38"/>
        <v/>
      </c>
      <c r="K68" s="14" t="str">
        <f t="shared" si="38"/>
        <v/>
      </c>
      <c r="L68" s="14" t="str">
        <f t="shared" si="38"/>
        <v/>
      </c>
      <c r="N68" t="str">
        <f t="shared" si="36"/>
        <v>Available water = Account Balance + Available Inflow - Evaporation + Sales - Purchases</v>
      </c>
    </row>
    <row r="69" spans="1:14" x14ac:dyDescent="0.35">
      <c r="A69" s="1" t="str">
        <f>IF(A68="","","   Account Withdraw [maf]")</f>
        <v xml:space="preserve">   Account Withdraw [maf]</v>
      </c>
      <c r="C69" s="125" t="str">
        <f>IF(C26&lt;&gt;"",MIN(7.5-VLOOKUP(C38,MandatoryConservation!$C$5:$P$13,14),C68),"")</f>
        <v/>
      </c>
      <c r="D69" s="125" t="str">
        <f>IF(D26&lt;&gt;"",MIN(7.5-VLOOKUP(D38,MandatoryConservation!$C$5:$P$13,14),D68),"")</f>
        <v/>
      </c>
      <c r="E69" s="125" t="str">
        <f>IF(E26&lt;&gt;"",MIN(7.5-VLOOKUP(E38,MandatoryConservation!$C$5:$P$13,14),E68),"")</f>
        <v/>
      </c>
      <c r="F69" s="125" t="str">
        <f>IF(F26&lt;&gt;"",MIN(7.5-VLOOKUP(F38,MandatoryConservation!$C$5:$P$13,14),F68),"")</f>
        <v/>
      </c>
      <c r="G69" s="125" t="str">
        <f>IF(G26&lt;&gt;"",MIN(7.5-VLOOKUP(G38,MandatoryConservation!$C$5:$P$13,14),G68),"")</f>
        <v/>
      </c>
      <c r="H69" s="125" t="str">
        <f>IF(H26&lt;&gt;"",MIN(7.5-VLOOKUP(H38,MandatoryConservation!$C$5:$P$13,14),H68),"")</f>
        <v/>
      </c>
      <c r="I69" s="125" t="str">
        <f>IF(I26&lt;&gt;"",MIN(7.5-VLOOKUP(I38,MandatoryConservation!$C$5:$P$13,14),I68),"")</f>
        <v/>
      </c>
      <c r="J69" s="125" t="str">
        <f>IF(J26&lt;&gt;"",MIN(7.5-VLOOKUP(J38,MandatoryConservation!$C$5:$P$13,14),J68),"")</f>
        <v/>
      </c>
      <c r="K69" s="125" t="str">
        <f>IF(K26&lt;&gt;"",MIN(7.5-VLOOKUP(K38,MandatoryConservation!$C$5:$P$13,14),K68),"")</f>
        <v/>
      </c>
      <c r="L69" s="125" t="str">
        <f>IF(L26&lt;&gt;"",MIN(7.5-VLOOKUP(L38,MandatoryConservation!$C$5:$P$13,14),L68),"")</f>
        <v/>
      </c>
      <c r="N69" t="str">
        <f t="shared" si="36"/>
        <v>Must be less than Available water</v>
      </c>
    </row>
    <row r="70" spans="1:14" x14ac:dyDescent="0.35">
      <c r="A70" s="30" t="str">
        <f>IF(A69="","","   End of Year Balance [maf]")</f>
        <v xml:space="preserve">   End of Year Balance [maf]</v>
      </c>
      <c r="C70" s="64" t="str">
        <f>IF(OR(C$25="",$A70=""),"",C68-C69)</f>
        <v/>
      </c>
      <c r="D70" s="64" t="str">
        <f t="shared" ref="D70:L70" si="39">IF(OR(D$25="",$A70=""),"",D68-D69)</f>
        <v/>
      </c>
      <c r="E70" s="64" t="str">
        <f t="shared" si="39"/>
        <v/>
      </c>
      <c r="F70" s="64" t="str">
        <f t="shared" si="39"/>
        <v/>
      </c>
      <c r="G70" s="64" t="str">
        <f t="shared" si="39"/>
        <v/>
      </c>
      <c r="H70" s="64" t="str">
        <f t="shared" si="39"/>
        <v/>
      </c>
      <c r="I70" s="64" t="str">
        <f t="shared" si="39"/>
        <v/>
      </c>
      <c r="J70" s="64" t="str">
        <f t="shared" si="39"/>
        <v/>
      </c>
      <c r="K70" s="64" t="str">
        <f t="shared" si="39"/>
        <v/>
      </c>
      <c r="L70" s="64" t="str">
        <f t="shared" si="39"/>
        <v/>
      </c>
      <c r="N70" t="str">
        <f t="shared" si="36"/>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IF(A72="[Unused]","",$A$57)</f>
        <v xml:space="preserve">   Volume of Purchases(+) and Sales(-) [maf]</v>
      </c>
      <c r="C73" s="123"/>
      <c r="D73" s="123"/>
      <c r="E73" s="123"/>
      <c r="F73" s="123"/>
      <c r="G73" s="123"/>
      <c r="H73" s="123"/>
      <c r="I73" s="123"/>
      <c r="J73" s="123"/>
      <c r="K73" s="123"/>
      <c r="L73" s="123"/>
      <c r="M73" s="65">
        <f>SUM(C73:L73)</f>
        <v>0</v>
      </c>
      <c r="N73" t="str">
        <f>IF(A73="","",N65)</f>
        <v>Add if multiple transactions, e.g.: 0.5 + 0.25</v>
      </c>
    </row>
    <row r="74" spans="1:14" x14ac:dyDescent="0.35">
      <c r="A74" s="30" t="str">
        <f>IF(A73="","",$A$58)</f>
        <v xml:space="preserve">   Cash Payments(-) and Income(+) [$ Mill]</v>
      </c>
      <c r="C74" s="124"/>
      <c r="D74" s="124"/>
      <c r="E74" s="124"/>
      <c r="F74" s="124"/>
      <c r="G74" s="124"/>
      <c r="H74" s="124"/>
      <c r="I74" s="124"/>
      <c r="J74" s="124"/>
      <c r="K74" s="124"/>
      <c r="L74" s="124"/>
      <c r="M74" s="63">
        <f>SUM(C74:L74)</f>
        <v>0</v>
      </c>
      <c r="N74" t="str">
        <f t="shared" ref="N74:N78" si="40">IF(A74="","",N66)</f>
        <v>Add if multiple transactions, e.g.: $350*0.5 + $450*0.25</v>
      </c>
    </row>
    <row r="75" spans="1:14" x14ac:dyDescent="0.35">
      <c r="A75" s="30" t="str">
        <f>IF(A74="","","   Volume all players (should be zero)")</f>
        <v xml:space="preserve">   Volume all players (should be zero)</v>
      </c>
      <c r="C75" s="65" t="str">
        <f t="shared" ref="C75:M75" si="41">IF(OR(C$25="",$A75=""),"",C$112)</f>
        <v/>
      </c>
      <c r="D75" s="65" t="str">
        <f t="shared" si="41"/>
        <v/>
      </c>
      <c r="E75" s="65" t="str">
        <f t="shared" si="41"/>
        <v/>
      </c>
      <c r="F75" s="65" t="str">
        <f t="shared" si="41"/>
        <v/>
      </c>
      <c r="G75" s="65" t="str">
        <f t="shared" si="41"/>
        <v/>
      </c>
      <c r="H75" s="65" t="str">
        <f t="shared" si="41"/>
        <v/>
      </c>
      <c r="I75" s="65" t="str">
        <f t="shared" si="41"/>
        <v/>
      </c>
      <c r="J75" s="65" t="str">
        <f t="shared" si="41"/>
        <v/>
      </c>
      <c r="K75" s="65" t="str">
        <f t="shared" si="41"/>
        <v/>
      </c>
      <c r="L75" s="65" t="str">
        <f t="shared" si="41"/>
        <v/>
      </c>
      <c r="M75" t="str">
        <f t="shared" si="41"/>
        <v/>
      </c>
      <c r="N75" t="str">
        <f t="shared" si="40"/>
        <v>If non-zero, players need to change amount(s)</v>
      </c>
    </row>
    <row r="76" spans="1:14" x14ac:dyDescent="0.35">
      <c r="A76" s="1" t="str">
        <f>IF(A74="","","   Available Water [maf]")</f>
        <v xml:space="preserve">   Available Water [maf]</v>
      </c>
      <c r="C76" s="14" t="str">
        <f>IF(OR(C$25="",$A76=""),"",C32+C50-C42+C73)</f>
        <v/>
      </c>
      <c r="D76" s="14" t="str">
        <f t="shared" ref="D76:L76" si="42">IF(OR(D$25="",$A76=""),"",D32+D50-D42+D73)</f>
        <v/>
      </c>
      <c r="E76" s="14" t="str">
        <f t="shared" si="42"/>
        <v/>
      </c>
      <c r="F76" s="14" t="str">
        <f t="shared" si="42"/>
        <v/>
      </c>
      <c r="G76" s="14" t="str">
        <f t="shared" si="42"/>
        <v/>
      </c>
      <c r="H76" s="14" t="str">
        <f t="shared" si="42"/>
        <v/>
      </c>
      <c r="I76" s="14" t="str">
        <f t="shared" si="42"/>
        <v/>
      </c>
      <c r="J76" s="14" t="str">
        <f t="shared" si="42"/>
        <v/>
      </c>
      <c r="K76" s="14" t="str">
        <f t="shared" si="42"/>
        <v/>
      </c>
      <c r="L76" s="14" t="str">
        <f t="shared" si="42"/>
        <v/>
      </c>
      <c r="N76" t="str">
        <f t="shared" si="40"/>
        <v>Available water = Account Balance + Available Inflow - Evaporation + Sales - Purchases</v>
      </c>
    </row>
    <row r="77" spans="1:14" x14ac:dyDescent="0.35">
      <c r="A77" s="1" t="str">
        <f>IF(A76="","","   Account Withdraw [maf]")</f>
        <v xml:space="preserve">   Account Withdraw [maf]</v>
      </c>
      <c r="C77" s="125" t="str">
        <f>C46</f>
        <v/>
      </c>
      <c r="D77" s="125" t="str">
        <f t="shared" ref="D77:G77" si="43">D46</f>
        <v/>
      </c>
      <c r="E77" s="125" t="str">
        <f t="shared" si="43"/>
        <v/>
      </c>
      <c r="F77" s="125" t="str">
        <f t="shared" si="43"/>
        <v/>
      </c>
      <c r="G77" s="125" t="str">
        <f t="shared" si="43"/>
        <v/>
      </c>
      <c r="H77" s="125"/>
      <c r="I77" s="125"/>
      <c r="J77" s="125"/>
      <c r="K77" s="125"/>
      <c r="L77" s="125"/>
      <c r="N77" t="str">
        <f t="shared" si="40"/>
        <v>Must be less than Available water</v>
      </c>
    </row>
    <row r="78" spans="1:14" x14ac:dyDescent="0.35">
      <c r="A78" s="30" t="str">
        <f>IF(A77="","","   End of Year Balance [maf]")</f>
        <v xml:space="preserve">   End of Year Balance [maf]</v>
      </c>
      <c r="C78" s="64" t="str">
        <f>IF(OR(C$25="",$A78=""),"",C76-C77)</f>
        <v/>
      </c>
      <c r="D78" s="64" t="str">
        <f t="shared" ref="D78:L78" si="44">IF(OR(D$25="",$A78=""),"",D76-D77)</f>
        <v/>
      </c>
      <c r="E78" s="64" t="str">
        <f t="shared" si="44"/>
        <v/>
      </c>
      <c r="F78" s="64" t="str">
        <f t="shared" si="44"/>
        <v/>
      </c>
      <c r="G78" s="64" t="str">
        <f t="shared" si="44"/>
        <v/>
      </c>
      <c r="H78" s="64" t="str">
        <f t="shared" si="44"/>
        <v/>
      </c>
      <c r="I78" s="64" t="str">
        <f t="shared" si="44"/>
        <v/>
      </c>
      <c r="J78" s="64" t="str">
        <f t="shared" si="44"/>
        <v/>
      </c>
      <c r="K78" s="64" t="str">
        <f t="shared" si="44"/>
        <v/>
      </c>
      <c r="L78" s="64" t="str">
        <f t="shared" si="44"/>
        <v/>
      </c>
      <c r="N78" t="str">
        <f t="shared" si="40"/>
        <v>Available water - Account Withdraw</v>
      </c>
    </row>
    <row r="79" spans="1:14" x14ac:dyDescent="0.35">
      <c r="C79"/>
    </row>
    <row r="80" spans="1:14" x14ac:dyDescent="0.35">
      <c r="A80" s="132" t="str">
        <f>IF(A$8="","[Unused]",A8)</f>
        <v>Colorado River Delta</v>
      </c>
      <c r="B80" s="132"/>
      <c r="C80" s="132"/>
      <c r="D80" s="132"/>
      <c r="E80" s="132"/>
      <c r="F80" s="132"/>
      <c r="G80" s="132"/>
      <c r="H80" s="132"/>
      <c r="I80" s="132"/>
      <c r="J80" s="132"/>
      <c r="K80" s="132"/>
      <c r="L80" s="132"/>
      <c r="M80" s="133" t="s">
        <v>105</v>
      </c>
      <c r="N80" s="132" t="s">
        <v>169</v>
      </c>
    </row>
    <row r="81" spans="1:14" x14ac:dyDescent="0.35">
      <c r="A81" s="30" t="str">
        <f>IF(A80="[Unused]","",$A$57)</f>
        <v xml:space="preserve">   Volume of Purchases(+) and Sales(-)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IF(A81="","",$A$58)</f>
        <v xml:space="preserve">   Cash Payments(-) and Income(+) [$ Mill]</v>
      </c>
      <c r="C82" s="124"/>
      <c r="D82" s="124"/>
      <c r="E82" s="124"/>
      <c r="F82" s="124"/>
      <c r="G82" s="124"/>
      <c r="H82" s="124"/>
      <c r="I82" s="124"/>
      <c r="J82" s="124"/>
      <c r="K82" s="124"/>
      <c r="L82" s="124"/>
      <c r="M82" s="63">
        <f>SUM(C82:L82)</f>
        <v>0</v>
      </c>
      <c r="N82" t="str">
        <f t="shared" ref="N82:N86" si="45">IF(A82="","",N74)</f>
        <v>Add if multiple transactions, e.g.: $350*0.5 + $450*0.25</v>
      </c>
    </row>
    <row r="83" spans="1:14" x14ac:dyDescent="0.35">
      <c r="A83" s="30" t="str">
        <f>IF(A82="","","   Volume all players (should be zero)")</f>
        <v xml:space="preserve">   Volume all players (should be zero)</v>
      </c>
      <c r="C83" s="65" t="str">
        <f t="shared" ref="C83:M83" si="46">IF(OR(C$25="",$A83=""),"",C$112)</f>
        <v/>
      </c>
      <c r="D83" s="65" t="str">
        <f t="shared" si="46"/>
        <v/>
      </c>
      <c r="E83" s="65" t="str">
        <f t="shared" si="46"/>
        <v/>
      </c>
      <c r="F83" s="65" t="str">
        <f t="shared" si="46"/>
        <v/>
      </c>
      <c r="G83" s="65" t="str">
        <f t="shared" si="46"/>
        <v/>
      </c>
      <c r="H83" s="65" t="str">
        <f t="shared" si="46"/>
        <v/>
      </c>
      <c r="I83" s="65" t="str">
        <f t="shared" si="46"/>
        <v/>
      </c>
      <c r="J83" s="65" t="str">
        <f t="shared" si="46"/>
        <v/>
      </c>
      <c r="K83" s="65" t="str">
        <f t="shared" si="46"/>
        <v/>
      </c>
      <c r="L83" s="65" t="str">
        <f t="shared" si="46"/>
        <v/>
      </c>
      <c r="M83" t="str">
        <f t="shared" si="46"/>
        <v/>
      </c>
      <c r="N83" t="str">
        <f t="shared" si="45"/>
        <v>If non-zero, players need to change amount(s)</v>
      </c>
    </row>
    <row r="84" spans="1:14" x14ac:dyDescent="0.35">
      <c r="A84" s="1" t="str">
        <f>IF(A82="","","   Available Water [maf]")</f>
        <v xml:space="preserve">   Available Water [maf]</v>
      </c>
      <c r="C84" s="158" t="str">
        <f>IF(OR(C$25="",$A84=""),"",C33+C51-C43+C81)</f>
        <v/>
      </c>
      <c r="D84" s="158" t="str">
        <f t="shared" ref="D84:L84" si="47">IF(OR(D$25="",$A84=""),"",D33+D51-D43+D81)</f>
        <v/>
      </c>
      <c r="E84" s="158" t="str">
        <f t="shared" si="47"/>
        <v/>
      </c>
      <c r="F84" s="158" t="str">
        <f t="shared" si="47"/>
        <v/>
      </c>
      <c r="G84" s="158" t="str">
        <f t="shared" si="47"/>
        <v/>
      </c>
      <c r="H84" s="158" t="str">
        <f t="shared" si="47"/>
        <v/>
      </c>
      <c r="I84" s="158" t="str">
        <f t="shared" si="47"/>
        <v/>
      </c>
      <c r="J84" s="158" t="str">
        <f t="shared" si="47"/>
        <v/>
      </c>
      <c r="K84" s="158" t="str">
        <f t="shared" si="47"/>
        <v/>
      </c>
      <c r="L84" s="158" t="str">
        <f t="shared" si="47"/>
        <v/>
      </c>
      <c r="N84" t="str">
        <f t="shared" si="45"/>
        <v>Available water = Account Balance + Available Inflow - Evaporation + Sales - Purchases</v>
      </c>
    </row>
    <row r="85" spans="1:14" x14ac:dyDescent="0.35">
      <c r="A85" s="1" t="str">
        <f>IF(A84="","","   Account Withdraw [maf]")</f>
        <v xml:space="preserve">   Account Withdraw [maf]</v>
      </c>
      <c r="C85" s="162" t="str">
        <f>IF(OR(C$25="",$A84=""),"",IF(C84&gt;=0.06,0.06,0))</f>
        <v/>
      </c>
      <c r="D85" s="162" t="str">
        <f t="shared" ref="D85:L85" si="48">IF(OR(D$25="",$A84=""),"",IF(D84&gt;=0.06,0.06,0))</f>
        <v/>
      </c>
      <c r="E85" s="162" t="str">
        <f t="shared" si="48"/>
        <v/>
      </c>
      <c r="F85" s="162" t="str">
        <f t="shared" si="48"/>
        <v/>
      </c>
      <c r="G85" s="162" t="str">
        <f t="shared" si="48"/>
        <v/>
      </c>
      <c r="H85" s="162" t="str">
        <f t="shared" si="48"/>
        <v/>
      </c>
      <c r="I85" s="162" t="str">
        <f t="shared" si="48"/>
        <v/>
      </c>
      <c r="J85" s="162" t="str">
        <f t="shared" si="48"/>
        <v/>
      </c>
      <c r="K85" s="162" t="str">
        <f t="shared" si="48"/>
        <v/>
      </c>
      <c r="L85" s="162" t="str">
        <f t="shared" si="48"/>
        <v/>
      </c>
      <c r="N85" t="str">
        <f t="shared" si="45"/>
        <v>Must be less than Available water</v>
      </c>
    </row>
    <row r="86" spans="1:14" x14ac:dyDescent="0.35">
      <c r="A86" s="30" t="str">
        <f>IF(A85="","","   End of Year Balance [maf]")</f>
        <v xml:space="preserve">   End of Year Balance [maf]</v>
      </c>
      <c r="C86" s="161" t="str">
        <f>IF(OR(C$25="",$A86=""),"",C84-C85)</f>
        <v/>
      </c>
      <c r="D86" s="161" t="str">
        <f t="shared" ref="D86:L86" si="49">IF(OR(D$25="",$A86=""),"",D84-D85)</f>
        <v/>
      </c>
      <c r="E86" s="161" t="str">
        <f t="shared" si="49"/>
        <v/>
      </c>
      <c r="F86" s="161" t="str">
        <f t="shared" si="49"/>
        <v/>
      </c>
      <c r="G86" s="161" t="str">
        <f t="shared" si="49"/>
        <v/>
      </c>
      <c r="H86" s="161" t="str">
        <f t="shared" si="49"/>
        <v/>
      </c>
      <c r="I86" s="161" t="str">
        <f t="shared" si="49"/>
        <v/>
      </c>
      <c r="J86" s="161" t="str">
        <f t="shared" si="49"/>
        <v/>
      </c>
      <c r="K86" s="161" t="str">
        <f t="shared" si="49"/>
        <v/>
      </c>
      <c r="L86" s="161" t="str">
        <f t="shared" si="49"/>
        <v/>
      </c>
      <c r="N86" t="str">
        <f t="shared" si="45"/>
        <v>Available water - Account Withdraw</v>
      </c>
    </row>
    <row r="87" spans="1:14" x14ac:dyDescent="0.35">
      <c r="C87"/>
    </row>
    <row r="88" spans="1:14" x14ac:dyDescent="0.35">
      <c r="A88" s="160" t="str">
        <f>IF(A$9="","[Unused]",A9)</f>
        <v>First Nations</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xml:space="preserve">   Volume of Sales(+) and Purchases(-) [maf]</v>
      </c>
      <c r="C89" s="123"/>
      <c r="D89" s="123"/>
      <c r="E89" s="123"/>
      <c r="F89" s="123"/>
      <c r="G89" s="123"/>
      <c r="H89" s="123"/>
      <c r="I89" s="123"/>
      <c r="J89" s="123"/>
      <c r="K89" s="123"/>
      <c r="L89" s="123"/>
      <c r="M89" s="65">
        <f>SUM(C89:L89)</f>
        <v>0</v>
      </c>
      <c r="N89" t="str">
        <f>IF(A89="","",N81)</f>
        <v>Add if multiple transactions, e.g.: 0.5 + 0.25</v>
      </c>
    </row>
    <row r="90" spans="1:14" x14ac:dyDescent="0.35">
      <c r="A90" s="30" t="str">
        <f>IF(A89="","","   Cash Intake(+) and Payments(-) [$ Mill]")</f>
        <v xml:space="preserve">   Cash Intake(+) and Payments(-) [$ Mill]</v>
      </c>
      <c r="C90" s="124"/>
      <c r="D90" s="124"/>
      <c r="E90" s="124"/>
      <c r="F90" s="124"/>
      <c r="G90" s="124"/>
      <c r="H90" s="124"/>
      <c r="I90" s="124"/>
      <c r="J90" s="124"/>
      <c r="K90" s="124"/>
      <c r="L90" s="124"/>
      <c r="M90" s="63">
        <f>SUM(C90:L90)</f>
        <v>0</v>
      </c>
      <c r="N90" t="str">
        <f t="shared" ref="N90:N94" si="50">IF(A90="","",N82)</f>
        <v>Add if multiple transactions, e.g.: $350*0.5 + $450*0.25</v>
      </c>
    </row>
    <row r="91" spans="1:14" x14ac:dyDescent="0.35">
      <c r="A91" s="30" t="str">
        <f>IF(A90="","","   Volume all players (should be zero)")</f>
        <v xml:space="preserve">   Volume all players (should be zero)</v>
      </c>
      <c r="C91" s="65" t="str">
        <f t="shared" ref="C91:M91" si="51">IF(OR(C$25="",$A91=""),"",C$112)</f>
        <v/>
      </c>
      <c r="D91" s="65" t="str">
        <f t="shared" si="51"/>
        <v/>
      </c>
      <c r="E91" s="65" t="str">
        <f t="shared" si="51"/>
        <v/>
      </c>
      <c r="F91" s="65" t="str">
        <f t="shared" si="51"/>
        <v/>
      </c>
      <c r="G91" s="65" t="str">
        <f t="shared" si="51"/>
        <v/>
      </c>
      <c r="H91" s="65" t="str">
        <f t="shared" si="51"/>
        <v/>
      </c>
      <c r="I91" s="65" t="str">
        <f t="shared" si="51"/>
        <v/>
      </c>
      <c r="J91" s="65" t="str">
        <f t="shared" si="51"/>
        <v/>
      </c>
      <c r="K91" s="65" t="str">
        <f t="shared" si="51"/>
        <v/>
      </c>
      <c r="L91" s="65" t="str">
        <f t="shared" si="51"/>
        <v/>
      </c>
      <c r="M91" t="str">
        <f t="shared" si="51"/>
        <v/>
      </c>
      <c r="N91" t="str">
        <f t="shared" si="50"/>
        <v>If non-zero, players need to change amount(s)</v>
      </c>
    </row>
    <row r="92" spans="1:14" x14ac:dyDescent="0.35">
      <c r="A92" s="1" t="str">
        <f>IF(A90="","","   Available Water [maf]")</f>
        <v xml:space="preserve">   Available Water [maf]</v>
      </c>
      <c r="C92" s="14" t="str">
        <f>IF(OR(C$25="",$A92=""),"",C34+C52-C44+C89)</f>
        <v/>
      </c>
      <c r="D92" s="14" t="str">
        <f t="shared" ref="D92:L92" si="52">IF(OR(D$25="",$A92=""),"",D34+D52-D44+D89)</f>
        <v/>
      </c>
      <c r="E92" s="14" t="str">
        <f t="shared" si="52"/>
        <v/>
      </c>
      <c r="F92" s="14" t="str">
        <f t="shared" si="52"/>
        <v/>
      </c>
      <c r="G92" s="14" t="str">
        <f t="shared" si="52"/>
        <v/>
      </c>
      <c r="H92" s="14" t="str">
        <f t="shared" si="52"/>
        <v/>
      </c>
      <c r="I92" s="14" t="str">
        <f t="shared" si="52"/>
        <v/>
      </c>
      <c r="J92" s="14" t="str">
        <f t="shared" si="52"/>
        <v/>
      </c>
      <c r="K92" s="14" t="str">
        <f t="shared" si="52"/>
        <v/>
      </c>
      <c r="L92" s="14" t="str">
        <f t="shared" si="52"/>
        <v/>
      </c>
      <c r="N92" t="str">
        <f t="shared" si="50"/>
        <v>Available water = Account Balance + Available Inflow - Evaporation + Sales - Purchases</v>
      </c>
    </row>
    <row r="93" spans="1:14" x14ac:dyDescent="0.35">
      <c r="A93" s="1" t="str">
        <f>IF(A92="","","   Account Withdraw [maf]")</f>
        <v xml:space="preserve">   Account Withdraw [maf]</v>
      </c>
      <c r="C93" s="125"/>
      <c r="D93" s="125"/>
      <c r="E93" s="125"/>
      <c r="F93" s="125"/>
      <c r="G93" s="125"/>
      <c r="H93" s="125"/>
      <c r="I93" s="125"/>
      <c r="J93" s="125"/>
      <c r="K93" s="125"/>
      <c r="L93" s="125"/>
      <c r="N93" t="str">
        <f t="shared" si="50"/>
        <v>Must be less than Available water</v>
      </c>
    </row>
    <row r="94" spans="1:14" x14ac:dyDescent="0.35">
      <c r="A94" s="30" t="str">
        <f>IF(A93="","","   End of Year Balance [maf]")</f>
        <v xml:space="preserve">   End of Year Balance [maf]</v>
      </c>
      <c r="C94" s="64" t="str">
        <f>IF(OR(C$25="",$A94=""),"",C92-C93)</f>
        <v/>
      </c>
      <c r="D94" s="64" t="str">
        <f t="shared" ref="D94:L94" si="53">IF(OR(D$25="",$A94=""),"",D92-D93)</f>
        <v/>
      </c>
      <c r="E94" s="64" t="str">
        <f t="shared" si="53"/>
        <v/>
      </c>
      <c r="F94" s="64" t="str">
        <f t="shared" si="53"/>
        <v/>
      </c>
      <c r="G94" s="64" t="str">
        <f t="shared" si="53"/>
        <v/>
      </c>
      <c r="H94" s="64" t="str">
        <f t="shared" si="53"/>
        <v/>
      </c>
      <c r="I94" s="64" t="str">
        <f t="shared" si="53"/>
        <v/>
      </c>
      <c r="J94" s="64" t="str">
        <f t="shared" si="53"/>
        <v/>
      </c>
      <c r="K94" s="64" t="str">
        <f t="shared" si="53"/>
        <v/>
      </c>
      <c r="L94" s="64" t="str">
        <f t="shared" si="53"/>
        <v/>
      </c>
      <c r="N94" t="str">
        <f t="shared" si="50"/>
        <v>Available water - Account Withdraw</v>
      </c>
    </row>
    <row r="95" spans="1:14" x14ac:dyDescent="0.35">
      <c r="C95"/>
    </row>
    <row r="96" spans="1:14" x14ac:dyDescent="0.35">
      <c r="A96" s="160" t="str">
        <f>IF(A$10="","[Unused]",A10)</f>
        <v>Shared, Reserve</v>
      </c>
      <c r="B96" s="132"/>
      <c r="C96" s="132"/>
      <c r="D96" s="132"/>
      <c r="E96" s="132"/>
      <c r="F96" s="132"/>
      <c r="G96" s="132"/>
      <c r="H96" s="132"/>
      <c r="I96" s="132"/>
      <c r="J96" s="132"/>
      <c r="K96" s="132"/>
      <c r="L96" s="132"/>
      <c r="M96" s="133" t="s">
        <v>105</v>
      </c>
      <c r="N96" s="132" t="s">
        <v>169</v>
      </c>
    </row>
    <row r="97" spans="1:14" x14ac:dyDescent="0.35">
      <c r="A97" s="30" t="str">
        <f>IF(A96="[Unused]","",$A$57)</f>
        <v xml:space="preserve">   Volume of Purchases(+) and Sales(-) [maf]</v>
      </c>
      <c r="C97" s="123"/>
      <c r="D97" s="123"/>
      <c r="E97" s="123"/>
      <c r="F97" s="123"/>
      <c r="G97" s="123"/>
      <c r="H97" s="123"/>
      <c r="I97" s="123"/>
      <c r="J97" s="123"/>
      <c r="K97" s="123"/>
      <c r="L97" s="123"/>
      <c r="M97" s="65">
        <f>SUM(C97:L97)</f>
        <v>0</v>
      </c>
      <c r="N97" t="str">
        <f>IF(A97="","",N89)</f>
        <v>Add if multiple transactions, e.g.: 0.5 + 0.25</v>
      </c>
    </row>
    <row r="98" spans="1:14" x14ac:dyDescent="0.35">
      <c r="A98" s="30" t="str">
        <f>IF(A97="","",$A$58)</f>
        <v xml:space="preserve">   Cash Payments(-) and Income(+) [$ Mill]</v>
      </c>
      <c r="C98" s="124"/>
      <c r="D98" s="124"/>
      <c r="E98" s="124"/>
      <c r="F98" s="124"/>
      <c r="G98" s="124"/>
      <c r="H98" s="124"/>
      <c r="I98" s="124"/>
      <c r="J98" s="124"/>
      <c r="K98" s="124"/>
      <c r="L98" s="124"/>
      <c r="M98" s="63">
        <f>SUM(C98:L98)</f>
        <v>0</v>
      </c>
      <c r="N98" t="str">
        <f t="shared" ref="N98:N102" si="54">IF(A98="","",N90)</f>
        <v>Add if multiple transactions, e.g.: $350*0.5 + $450*0.25</v>
      </c>
    </row>
    <row r="99" spans="1:14" x14ac:dyDescent="0.35">
      <c r="A99" s="30" t="str">
        <f>IF(A98="","","   Volume all players (should be zero)")</f>
        <v xml:space="preserve">   Volume all players (should be zero)</v>
      </c>
      <c r="C99" s="65" t="str">
        <f t="shared" ref="C99:M99" si="55">IF(OR(C$25="",$A99=""),"",C$112)</f>
        <v/>
      </c>
      <c r="D99" s="65" t="str">
        <f t="shared" si="55"/>
        <v/>
      </c>
      <c r="E99" s="65" t="str">
        <f t="shared" si="55"/>
        <v/>
      </c>
      <c r="F99" s="65" t="str">
        <f t="shared" si="55"/>
        <v/>
      </c>
      <c r="G99" s="65" t="str">
        <f t="shared" si="55"/>
        <v/>
      </c>
      <c r="H99" s="65" t="str">
        <f t="shared" si="55"/>
        <v/>
      </c>
      <c r="I99" s="65" t="str">
        <f t="shared" si="55"/>
        <v/>
      </c>
      <c r="J99" s="65" t="str">
        <f t="shared" si="55"/>
        <v/>
      </c>
      <c r="K99" s="65" t="str">
        <f t="shared" si="55"/>
        <v/>
      </c>
      <c r="L99" s="65" t="str">
        <f t="shared" si="55"/>
        <v/>
      </c>
      <c r="M99" t="str">
        <f t="shared" si="55"/>
        <v/>
      </c>
      <c r="N99" t="str">
        <f t="shared" si="54"/>
        <v>If non-zero, players need to change amount(s)</v>
      </c>
    </row>
    <row r="100" spans="1:14" x14ac:dyDescent="0.35">
      <c r="A100" s="1" t="str">
        <f>IF(A98="","","   Available Water [maf]")</f>
        <v xml:space="preserve">   Available Water [maf]</v>
      </c>
      <c r="C100" s="14" t="str">
        <f>IF(OR(C$25="",$A100=""),"",C35+C53-C45+C97)</f>
        <v/>
      </c>
      <c r="D100" s="14" t="str">
        <f t="shared" ref="D100:L100" si="56">IF(OR(D$25="",$A100=""),"",D35+D53-D45+D97)</f>
        <v/>
      </c>
      <c r="E100" s="14" t="str">
        <f t="shared" si="56"/>
        <v/>
      </c>
      <c r="F100" s="14" t="str">
        <f t="shared" si="56"/>
        <v/>
      </c>
      <c r="G100" s="14" t="str">
        <f t="shared" si="56"/>
        <v/>
      </c>
      <c r="H100" s="14" t="str">
        <f t="shared" si="56"/>
        <v/>
      </c>
      <c r="I100" s="14" t="str">
        <f t="shared" si="56"/>
        <v/>
      </c>
      <c r="J100" s="14" t="str">
        <f t="shared" si="56"/>
        <v/>
      </c>
      <c r="K100" s="14" t="str">
        <f t="shared" si="56"/>
        <v/>
      </c>
      <c r="L100" s="14" t="str">
        <f t="shared" si="56"/>
        <v/>
      </c>
      <c r="N100" t="str">
        <f t="shared" si="54"/>
        <v>Available water = Account Balance + Available Inflow - Evaporation + Sales - Purchases</v>
      </c>
    </row>
    <row r="101" spans="1:14" x14ac:dyDescent="0.35">
      <c r="A101" s="1" t="str">
        <f>IF(A100="","","   Account Withdraw [maf]")</f>
        <v xml:space="preserve">   Account Withdraw [maf]</v>
      </c>
      <c r="C101" s="125"/>
      <c r="D101" s="125"/>
      <c r="E101" s="125"/>
      <c r="F101" s="125"/>
      <c r="G101" s="125"/>
      <c r="H101" s="125"/>
      <c r="I101" s="125"/>
      <c r="J101" s="125"/>
      <c r="K101" s="125"/>
      <c r="L101" s="125"/>
      <c r="N101" t="str">
        <f t="shared" si="54"/>
        <v>Must be less than Available water</v>
      </c>
    </row>
    <row r="102" spans="1:14" x14ac:dyDescent="0.35">
      <c r="A102" s="30" t="str">
        <f>IF(A101="","","   End of Year Balance [maf]")</f>
        <v xml:space="preserve">   End of Year Balance [maf]</v>
      </c>
      <c r="C102" s="64" t="str">
        <f>IF(OR(C$25="",$A102=""),"",C100-C101)</f>
        <v/>
      </c>
      <c r="D102" s="64" t="str">
        <f t="shared" ref="D102:L102" si="57">IF(OR(D$25="",$A102=""),"",D100-D101)</f>
        <v/>
      </c>
      <c r="E102" s="64" t="str">
        <f t="shared" si="57"/>
        <v/>
      </c>
      <c r="F102" s="64" t="str">
        <f t="shared" si="57"/>
        <v/>
      </c>
      <c r="G102" s="64" t="str">
        <f t="shared" si="57"/>
        <v/>
      </c>
      <c r="H102" s="64" t="str">
        <f t="shared" si="57"/>
        <v/>
      </c>
      <c r="I102" s="64" t="str">
        <f t="shared" si="57"/>
        <v/>
      </c>
      <c r="J102" s="64" t="str">
        <f t="shared" si="57"/>
        <v/>
      </c>
      <c r="K102" s="64" t="str">
        <f t="shared" si="57"/>
        <v/>
      </c>
      <c r="L102" s="64" t="str">
        <f t="shared" si="57"/>
        <v/>
      </c>
      <c r="N102" t="str">
        <f t="shared" si="54"/>
        <v>Available water - Account Withdraw</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352</v>
      </c>
      <c r="C105"/>
      <c r="M105" t="s">
        <v>179</v>
      </c>
      <c r="N105" t="s">
        <v>147</v>
      </c>
    </row>
    <row r="106" spans="1:14" x14ac:dyDescent="0.35">
      <c r="A106" t="str">
        <f t="shared" ref="A106:A111" si="58">IF(A5="","","    "&amp;A5)</f>
        <v xml:space="preserve">    Upper Basin</v>
      </c>
      <c r="B106" s="1"/>
      <c r="C106" s="65" t="str">
        <f t="shared" ref="C106:L106" ca="1" si="59">IF(OR(C$25="",$A106=""),"",OFFSET(C$57,8*(ROW(B106)-ROW(B$106)),0))</f>
        <v/>
      </c>
      <c r="D106" s="65" t="str">
        <f t="shared" ca="1" si="59"/>
        <v/>
      </c>
      <c r="E106" s="65" t="str">
        <f t="shared" ca="1" si="59"/>
        <v/>
      </c>
      <c r="F106" s="65" t="str">
        <f t="shared" ca="1" si="59"/>
        <v/>
      </c>
      <c r="G106" s="65" t="str">
        <f t="shared" ca="1" si="59"/>
        <v/>
      </c>
      <c r="H106" s="65" t="str">
        <f t="shared" ca="1" si="59"/>
        <v/>
      </c>
      <c r="I106" s="65" t="str">
        <f t="shared" ca="1" si="59"/>
        <v/>
      </c>
      <c r="J106" s="65" t="str">
        <f t="shared" ca="1" si="59"/>
        <v/>
      </c>
      <c r="K106" s="65" t="str">
        <f t="shared" ca="1" si="59"/>
        <v/>
      </c>
      <c r="L106" s="65" t="str">
        <f t="shared" ca="1" si="59"/>
        <v/>
      </c>
      <c r="M106" s="65">
        <f ca="1">IF(OR($A106=""),"",SUM(C106:L106))</f>
        <v>0</v>
      </c>
      <c r="N106" s="63">
        <f>IF(OR($A106=""),"",M58)</f>
        <v>0</v>
      </c>
    </row>
    <row r="107" spans="1:14" x14ac:dyDescent="0.35">
      <c r="A107" t="str">
        <f t="shared" si="58"/>
        <v xml:space="preserve">    Lower Basin</v>
      </c>
      <c r="B107" s="1"/>
      <c r="C107" s="65" t="str">
        <f t="shared" ref="C107:L107" ca="1" si="60">IF(OR(C$25="",$A107=""),"",OFFSET(C$57,8*(ROW(B107)-ROW(B$106)),0))</f>
        <v/>
      </c>
      <c r="D107" s="65" t="str">
        <f t="shared" ca="1" si="60"/>
        <v/>
      </c>
      <c r="E107" s="65" t="str">
        <f t="shared" ca="1" si="60"/>
        <v/>
      </c>
      <c r="F107" s="65" t="str">
        <f t="shared" ca="1" si="60"/>
        <v/>
      </c>
      <c r="G107" s="65" t="str">
        <f t="shared" ca="1" si="60"/>
        <v/>
      </c>
      <c r="H107" s="65" t="str">
        <f t="shared" ca="1" si="60"/>
        <v/>
      </c>
      <c r="I107" s="65" t="str">
        <f t="shared" ca="1" si="60"/>
        <v/>
      </c>
      <c r="J107" s="65" t="str">
        <f t="shared" ca="1" si="60"/>
        <v/>
      </c>
      <c r="K107" s="65" t="str">
        <f t="shared" ca="1" si="60"/>
        <v/>
      </c>
      <c r="L107" s="65" t="str">
        <f t="shared" ca="1" si="60"/>
        <v/>
      </c>
      <c r="M107" s="65">
        <f t="shared" ref="M107:M111" ca="1" si="61">IF(OR($A107=""),"",SUM(C107:L107))</f>
        <v>0</v>
      </c>
      <c r="N107" s="63">
        <f>IF(OR($A107=""),"",M66)</f>
        <v>0</v>
      </c>
    </row>
    <row r="108" spans="1:14" x14ac:dyDescent="0.35">
      <c r="A108" t="str">
        <f t="shared" si="58"/>
        <v xml:space="preserve">    Mexico</v>
      </c>
      <c r="B108" s="1"/>
      <c r="C108" s="65" t="str">
        <f t="shared" ref="C108:L108" ca="1" si="62">IF(OR(C$25="",$A108=""),"",OFFSET(C$57,8*(ROW(B108)-ROW(B$106)),0))</f>
        <v/>
      </c>
      <c r="D108" s="65" t="str">
        <f t="shared" ca="1" si="62"/>
        <v/>
      </c>
      <c r="E108" s="65" t="str">
        <f t="shared" ca="1" si="62"/>
        <v/>
      </c>
      <c r="F108" s="65" t="str">
        <f t="shared" ca="1" si="62"/>
        <v/>
      </c>
      <c r="G108" s="65" t="str">
        <f t="shared" ca="1" si="62"/>
        <v/>
      </c>
      <c r="H108" s="65" t="str">
        <f t="shared" ca="1" si="62"/>
        <v/>
      </c>
      <c r="I108" s="65" t="str">
        <f t="shared" ca="1" si="62"/>
        <v/>
      </c>
      <c r="J108" s="65" t="str">
        <f t="shared" ca="1" si="62"/>
        <v/>
      </c>
      <c r="K108" s="65" t="str">
        <f t="shared" ca="1" si="62"/>
        <v/>
      </c>
      <c r="L108" s="65" t="str">
        <f t="shared" ca="1" si="62"/>
        <v/>
      </c>
      <c r="M108" s="65">
        <f t="shared" ca="1" si="61"/>
        <v>0</v>
      </c>
      <c r="N108" s="63">
        <f>IF(OR($A108=""),"",M74)</f>
        <v>0</v>
      </c>
    </row>
    <row r="109" spans="1:14" x14ac:dyDescent="0.35">
      <c r="A109" t="str">
        <f t="shared" si="58"/>
        <v xml:space="preserve">    Colorado River Delta</v>
      </c>
      <c r="B109" s="1"/>
      <c r="C109" s="65" t="str">
        <f t="shared" ref="C109:L109" ca="1" si="63">IF(OR(C$25="",$A109=""),"",OFFSET(C$57,8*(ROW(B109)-ROW(B$106)),0))</f>
        <v/>
      </c>
      <c r="D109" s="65" t="str">
        <f t="shared" ca="1" si="63"/>
        <v/>
      </c>
      <c r="E109" s="65" t="str">
        <f t="shared" ca="1" si="63"/>
        <v/>
      </c>
      <c r="F109" s="65" t="str">
        <f t="shared" ca="1" si="63"/>
        <v/>
      </c>
      <c r="G109" s="65" t="str">
        <f t="shared" ca="1" si="63"/>
        <v/>
      </c>
      <c r="H109" s="65" t="str">
        <f t="shared" ca="1" si="63"/>
        <v/>
      </c>
      <c r="I109" s="65" t="str">
        <f t="shared" ca="1" si="63"/>
        <v/>
      </c>
      <c r="J109" s="65" t="str">
        <f t="shared" ca="1" si="63"/>
        <v/>
      </c>
      <c r="K109" s="65" t="str">
        <f t="shared" ca="1" si="63"/>
        <v/>
      </c>
      <c r="L109" s="65" t="str">
        <f t="shared" ca="1" si="63"/>
        <v/>
      </c>
      <c r="M109" s="65">
        <f t="shared" ca="1" si="61"/>
        <v>0</v>
      </c>
      <c r="N109" s="63">
        <f>IF(OR($A109=""),"",M82)</f>
        <v>0</v>
      </c>
    </row>
    <row r="110" spans="1:14" x14ac:dyDescent="0.35">
      <c r="A110" t="str">
        <f t="shared" si="58"/>
        <v xml:space="preserve">    First Nations</v>
      </c>
      <c r="B110" s="1"/>
      <c r="C110" s="65" t="str">
        <f t="shared" ref="C110:L110" ca="1" si="64">IF(OR(C$25="",$A110=""),"",OFFSET(C$57,8*(ROW(B110)-ROW(B$106)),0))</f>
        <v/>
      </c>
      <c r="D110" s="65" t="str">
        <f t="shared" ca="1" si="64"/>
        <v/>
      </c>
      <c r="E110" s="65" t="str">
        <f t="shared" ca="1" si="64"/>
        <v/>
      </c>
      <c r="F110" s="65" t="str">
        <f t="shared" ca="1" si="64"/>
        <v/>
      </c>
      <c r="G110" s="65" t="str">
        <f t="shared" ca="1" si="64"/>
        <v/>
      </c>
      <c r="H110" s="65" t="str">
        <f t="shared" ca="1" si="64"/>
        <v/>
      </c>
      <c r="I110" s="65" t="str">
        <f t="shared" ca="1" si="64"/>
        <v/>
      </c>
      <c r="J110" s="65" t="str">
        <f t="shared" ca="1" si="64"/>
        <v/>
      </c>
      <c r="K110" s="65" t="str">
        <f t="shared" ca="1" si="64"/>
        <v/>
      </c>
      <c r="L110" s="65" t="str">
        <f t="shared" ca="1" si="64"/>
        <v/>
      </c>
      <c r="M110" s="65">
        <f t="shared" ca="1" si="61"/>
        <v>0</v>
      </c>
      <c r="N110" s="63">
        <f>IF(OR($A110=""),"",M90)</f>
        <v>0</v>
      </c>
    </row>
    <row r="111" spans="1:14" x14ac:dyDescent="0.35">
      <c r="A111" t="str">
        <f t="shared" si="58"/>
        <v xml:space="preserve">    Shared, Reserve</v>
      </c>
      <c r="B111" s="1"/>
      <c r="C111" s="65" t="str">
        <f t="shared" ref="C111:L111" ca="1" si="65">IF(OR(C$25="",$A111=""),"",OFFSET(C$57,8*(ROW(B111)-ROW(B$106)),0))</f>
        <v/>
      </c>
      <c r="D111" s="65" t="str">
        <f t="shared" ca="1" si="65"/>
        <v/>
      </c>
      <c r="E111" s="65" t="str">
        <f t="shared" ca="1" si="65"/>
        <v/>
      </c>
      <c r="F111" s="65" t="str">
        <f t="shared" ca="1" si="65"/>
        <v/>
      </c>
      <c r="G111" s="65" t="str">
        <f t="shared" ca="1" si="65"/>
        <v/>
      </c>
      <c r="H111" s="65" t="str">
        <f t="shared" ca="1" si="65"/>
        <v/>
      </c>
      <c r="I111" s="65" t="str">
        <f t="shared" ca="1" si="65"/>
        <v/>
      </c>
      <c r="J111" s="65" t="str">
        <f t="shared" ca="1" si="65"/>
        <v/>
      </c>
      <c r="K111" s="65" t="str">
        <f t="shared" ca="1" si="65"/>
        <v/>
      </c>
      <c r="L111" s="65" t="str">
        <f t="shared" ca="1" si="65"/>
        <v/>
      </c>
      <c r="M111" s="65">
        <f t="shared" ca="1" si="61"/>
        <v>0</v>
      </c>
      <c r="N111" s="63">
        <f>IF(OR($A111=""),"",M98)</f>
        <v>0</v>
      </c>
    </row>
    <row r="112" spans="1:14" x14ac:dyDescent="0.35">
      <c r="A112" t="s">
        <v>143</v>
      </c>
      <c r="B112" s="1"/>
      <c r="C112" s="49" t="str">
        <f>IF(C$25&lt;&gt;"",SUM(C106:C111),"")</f>
        <v/>
      </c>
      <c r="D112" s="49" t="str">
        <f t="shared" ref="D112:L112" si="66">IF(D$25&lt;&gt;"",SUM(D106:D111),"")</f>
        <v/>
      </c>
      <c r="E112" s="113" t="str">
        <f t="shared" si="66"/>
        <v/>
      </c>
      <c r="F112" s="49" t="str">
        <f t="shared" si="66"/>
        <v/>
      </c>
      <c r="G112" s="49" t="str">
        <f t="shared" si="66"/>
        <v/>
      </c>
      <c r="H112" s="49" t="str">
        <f t="shared" si="66"/>
        <v/>
      </c>
      <c r="I112" s="49" t="str">
        <f t="shared" si="66"/>
        <v/>
      </c>
      <c r="J112" s="49" t="str">
        <f t="shared" si="66"/>
        <v/>
      </c>
      <c r="K112" s="49" t="str">
        <f t="shared" si="66"/>
        <v/>
      </c>
      <c r="L112" s="49" t="str">
        <f t="shared" si="66"/>
        <v/>
      </c>
      <c r="M112" s="32"/>
    </row>
    <row r="113" spans="1:12" x14ac:dyDescent="0.35">
      <c r="A113" s="1" t="s">
        <v>353</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t="str">
        <f t="shared" ref="C114:L114" ca="1" si="67">IF(OR(C$25="",$A114=""),"",OFFSET(C$61,8*(ROW(B114)-ROW(B$114)),0))</f>
        <v/>
      </c>
      <c r="D114" s="65" t="str">
        <f t="shared" ca="1" si="67"/>
        <v/>
      </c>
      <c r="E114" s="65" t="str">
        <f t="shared" ca="1" si="67"/>
        <v/>
      </c>
      <c r="F114" s="65" t="str">
        <f t="shared" ca="1" si="67"/>
        <v/>
      </c>
      <c r="G114" s="65" t="str">
        <f t="shared" ca="1" si="67"/>
        <v/>
      </c>
      <c r="H114" s="65" t="str">
        <f t="shared" ca="1" si="67"/>
        <v/>
      </c>
      <c r="I114" s="65" t="str">
        <f t="shared" ca="1" si="67"/>
        <v/>
      </c>
      <c r="J114" s="65" t="str">
        <f t="shared" ca="1" si="67"/>
        <v/>
      </c>
      <c r="K114" s="65" t="str">
        <f t="shared" ca="1" si="67"/>
        <v/>
      </c>
      <c r="L114" s="65" t="str">
        <f t="shared" ca="1" si="67"/>
        <v/>
      </c>
    </row>
    <row r="115" spans="1:12" x14ac:dyDescent="0.35">
      <c r="A115" t="str">
        <f>IF(A6="","","    "&amp;A6&amp;" - Release from Mead")</f>
        <v xml:space="preserve">    Lower Basin - Release from Mead</v>
      </c>
      <c r="C115" s="65" t="str">
        <f t="shared" ref="C115:L115" ca="1" si="68">IF(OR(C$25="",$A115=""),"",OFFSET(C$61,8*(ROW(B115)-ROW(B$114)),0))</f>
        <v/>
      </c>
      <c r="D115" s="65" t="str">
        <f t="shared" ca="1" si="68"/>
        <v/>
      </c>
      <c r="E115" s="65" t="str">
        <f t="shared" ca="1" si="68"/>
        <v/>
      </c>
      <c r="F115" s="65" t="str">
        <f t="shared" ca="1" si="68"/>
        <v/>
      </c>
      <c r="G115" s="65" t="str">
        <f t="shared" ca="1" si="68"/>
        <v/>
      </c>
      <c r="H115" s="65" t="str">
        <f t="shared" ca="1" si="68"/>
        <v/>
      </c>
      <c r="I115" s="65" t="str">
        <f t="shared" ca="1" si="68"/>
        <v/>
      </c>
      <c r="J115" s="65" t="str">
        <f t="shared" ca="1" si="68"/>
        <v/>
      </c>
      <c r="K115" s="65" t="str">
        <f t="shared" ca="1" si="68"/>
        <v/>
      </c>
      <c r="L115" s="65" t="str">
        <f t="shared" ca="1" si="68"/>
        <v/>
      </c>
    </row>
    <row r="116" spans="1:12" x14ac:dyDescent="0.35">
      <c r="A116" t="str">
        <f>IF(A7="","","    "&amp;A7&amp;" - Release from Mead")</f>
        <v xml:space="preserve">    Mexico - Release from Mead</v>
      </c>
      <c r="C116" s="65" t="str">
        <f t="shared" ref="C116:L116" ca="1" si="69">IF(OR(C$25="",$A116=""),"",OFFSET(C$61,8*(ROW(B116)-ROW(B$114)),0))</f>
        <v/>
      </c>
      <c r="D116" s="65" t="str">
        <f t="shared" ca="1" si="69"/>
        <v/>
      </c>
      <c r="E116" s="65" t="str">
        <f t="shared" ca="1" si="69"/>
        <v/>
      </c>
      <c r="F116" s="65" t="str">
        <f t="shared" ca="1" si="69"/>
        <v/>
      </c>
      <c r="G116" s="65" t="str">
        <f t="shared" ca="1" si="69"/>
        <v/>
      </c>
      <c r="H116" s="65" t="str">
        <f t="shared" ca="1" si="69"/>
        <v/>
      </c>
      <c r="I116" s="65" t="str">
        <f t="shared" ca="1" si="69"/>
        <v/>
      </c>
      <c r="J116" s="65" t="str">
        <f t="shared" ca="1" si="69"/>
        <v/>
      </c>
      <c r="K116" s="65" t="str">
        <f t="shared" ca="1" si="69"/>
        <v/>
      </c>
      <c r="L116" s="65" t="str">
        <f t="shared" ca="1" si="69"/>
        <v/>
      </c>
    </row>
    <row r="117" spans="1:12" x14ac:dyDescent="0.35">
      <c r="A117" t="str">
        <f>IF(A8="","","    "&amp;A8&amp;" - Release from Mead")</f>
        <v xml:space="preserve">    Colorado River Delta - Release from Mead</v>
      </c>
      <c r="C117" s="65" t="str">
        <f t="shared" ref="C117:L117" ca="1" si="70">IF(OR(C$25="",$A117=""),"",OFFSET(C$61,8*(ROW(B117)-ROW(B$114)),0))</f>
        <v/>
      </c>
      <c r="D117" s="65" t="str">
        <f t="shared" ca="1" si="70"/>
        <v/>
      </c>
      <c r="E117" s="65" t="str">
        <f t="shared" ca="1" si="70"/>
        <v/>
      </c>
      <c r="F117" s="65" t="str">
        <f t="shared" ca="1" si="70"/>
        <v/>
      </c>
      <c r="G117" s="65" t="str">
        <f t="shared" ca="1" si="70"/>
        <v/>
      </c>
      <c r="H117" s="65" t="str">
        <f t="shared" ca="1" si="70"/>
        <v/>
      </c>
      <c r="I117" s="65" t="str">
        <f t="shared" ca="1" si="70"/>
        <v/>
      </c>
      <c r="J117" s="65" t="str">
        <f t="shared" ca="1" si="70"/>
        <v/>
      </c>
      <c r="K117" s="65" t="str">
        <f t="shared" ca="1" si="70"/>
        <v/>
      </c>
      <c r="L117" s="65" t="str">
        <f t="shared" ca="1" si="70"/>
        <v/>
      </c>
    </row>
    <row r="118" spans="1:12" x14ac:dyDescent="0.35">
      <c r="A118" t="str">
        <f>IF(A9="","","    "&amp;A9&amp;" - Release from Mead")</f>
        <v xml:space="preserve">    First Nations - Release from Mead</v>
      </c>
      <c r="C118" s="65" t="str">
        <f t="shared" ref="C118:L118" ca="1" si="71">IF(OR(C$25="",$A118=""),"",OFFSET(C$61,8*(ROW(B118)-ROW(B$114)),0))</f>
        <v/>
      </c>
      <c r="D118" s="65" t="str">
        <f t="shared" ca="1" si="71"/>
        <v/>
      </c>
      <c r="E118" s="65" t="str">
        <f t="shared" ca="1" si="71"/>
        <v/>
      </c>
      <c r="F118" s="65" t="str">
        <f t="shared" ca="1" si="71"/>
        <v/>
      </c>
      <c r="G118" s="65" t="str">
        <f t="shared" ca="1" si="71"/>
        <v/>
      </c>
      <c r="H118" s="65" t="str">
        <f t="shared" ca="1" si="71"/>
        <v/>
      </c>
      <c r="I118" s="65" t="str">
        <f t="shared" ca="1" si="71"/>
        <v/>
      </c>
      <c r="J118" s="65" t="str">
        <f t="shared" ca="1" si="71"/>
        <v/>
      </c>
      <c r="K118" s="65" t="str">
        <f t="shared" ca="1" si="71"/>
        <v/>
      </c>
      <c r="L118" s="65" t="str">
        <f t="shared" ca="1" si="71"/>
        <v/>
      </c>
    </row>
    <row r="119" spans="1:12" x14ac:dyDescent="0.35">
      <c r="A119" t="str">
        <f>IF(A10="","","    "&amp;A10&amp;" - Release from Mead")</f>
        <v xml:space="preserve">    Shared, Reserve - Release from Mead</v>
      </c>
      <c r="C119" s="65" t="str">
        <f t="shared" ref="C119:L119" ca="1" si="72">IF(OR(C$25="",$A119=""),"",OFFSET(C$61,8*(ROW(B119)-ROW(B$114)),0))</f>
        <v/>
      </c>
      <c r="D119" s="65" t="str">
        <f t="shared" ca="1" si="72"/>
        <v/>
      </c>
      <c r="E119" s="65" t="str">
        <f t="shared" ca="1" si="72"/>
        <v/>
      </c>
      <c r="F119" s="65" t="str">
        <f t="shared" ca="1" si="72"/>
        <v/>
      </c>
      <c r="G119" s="65" t="str">
        <f t="shared" ca="1" si="72"/>
        <v/>
      </c>
      <c r="H119" s="65" t="str">
        <f t="shared" ca="1" si="72"/>
        <v/>
      </c>
      <c r="I119" s="65" t="str">
        <f t="shared" ca="1" si="72"/>
        <v/>
      </c>
      <c r="J119" s="65" t="str">
        <f t="shared" ca="1" si="72"/>
        <v/>
      </c>
      <c r="K119" s="65" t="str">
        <f t="shared" ca="1" si="72"/>
        <v/>
      </c>
      <c r="L119" s="65" t="str">
        <f t="shared" ca="1" si="72"/>
        <v/>
      </c>
    </row>
    <row r="120" spans="1:12" x14ac:dyDescent="0.35">
      <c r="A120" s="1" t="s">
        <v>354</v>
      </c>
      <c r="B120" s="1"/>
      <c r="D120" s="2"/>
      <c r="E120" s="2"/>
      <c r="F120" s="2"/>
      <c r="G120" s="2"/>
      <c r="H120" s="2"/>
      <c r="I120" s="2"/>
      <c r="J120" s="2"/>
      <c r="K120" s="2"/>
      <c r="L120" s="2"/>
    </row>
    <row r="121" spans="1:12" x14ac:dyDescent="0.35">
      <c r="A121" t="str">
        <f t="shared" ref="A121:A126" si="73">IF(A5="","","    "&amp;A5)</f>
        <v xml:space="preserve">    Upper Basin</v>
      </c>
      <c r="C121" s="65" t="str">
        <f t="shared" ref="C121:L121" ca="1" si="74">IF(OR(C$25="",$A121=""),"",OFFSET(C$62,8*(ROW(B121)-ROW(B$121)),0))</f>
        <v/>
      </c>
      <c r="D121" s="65" t="str">
        <f t="shared" ca="1" si="74"/>
        <v/>
      </c>
      <c r="E121" s="65" t="str">
        <f t="shared" ca="1" si="74"/>
        <v/>
      </c>
      <c r="F121" s="65" t="str">
        <f t="shared" ca="1" si="74"/>
        <v/>
      </c>
      <c r="G121" s="65" t="str">
        <f t="shared" ca="1" si="74"/>
        <v/>
      </c>
      <c r="H121" s="65" t="str">
        <f t="shared" ca="1" si="74"/>
        <v/>
      </c>
      <c r="I121" s="65" t="str">
        <f t="shared" ca="1" si="74"/>
        <v/>
      </c>
      <c r="J121" s="65" t="str">
        <f t="shared" ca="1" si="74"/>
        <v/>
      </c>
      <c r="K121" s="65" t="str">
        <f t="shared" ca="1" si="74"/>
        <v/>
      </c>
      <c r="L121" s="65" t="str">
        <f t="shared" ca="1" si="74"/>
        <v/>
      </c>
    </row>
    <row r="122" spans="1:12" x14ac:dyDescent="0.35">
      <c r="A122" t="str">
        <f t="shared" si="73"/>
        <v xml:space="preserve">    Lower Basin</v>
      </c>
      <c r="C122" s="65" t="str">
        <f t="shared" ref="C122:L122" ca="1" si="75">IF(OR(C$25="",$A122=""),"",OFFSET(C$62,8*(ROW(B122)-ROW(B$121)),0))</f>
        <v/>
      </c>
      <c r="D122" s="65" t="str">
        <f t="shared" ca="1" si="75"/>
        <v/>
      </c>
      <c r="E122" s="65" t="str">
        <f t="shared" ca="1" si="75"/>
        <v/>
      </c>
      <c r="F122" s="65" t="str">
        <f t="shared" ca="1" si="75"/>
        <v/>
      </c>
      <c r="G122" s="65" t="str">
        <f t="shared" ca="1" si="75"/>
        <v/>
      </c>
      <c r="H122" s="65" t="str">
        <f t="shared" ca="1" si="75"/>
        <v/>
      </c>
      <c r="I122" s="65" t="str">
        <f t="shared" ca="1" si="75"/>
        <v/>
      </c>
      <c r="J122" s="65" t="str">
        <f t="shared" ca="1" si="75"/>
        <v/>
      </c>
      <c r="K122" s="65" t="str">
        <f t="shared" ca="1" si="75"/>
        <v/>
      </c>
      <c r="L122" s="65" t="str">
        <f t="shared" ca="1" si="75"/>
        <v/>
      </c>
    </row>
    <row r="123" spans="1:12" x14ac:dyDescent="0.35">
      <c r="A123" t="str">
        <f t="shared" si="73"/>
        <v xml:space="preserve">    Mexico</v>
      </c>
      <c r="C123" s="65" t="str">
        <f t="shared" ref="C123:L123" ca="1" si="76">IF(OR(C$25="",$A123=""),"",OFFSET(C$62,8*(ROW(B123)-ROW(B$121)),0))</f>
        <v/>
      </c>
      <c r="D123" s="65" t="str">
        <f t="shared" ca="1" si="76"/>
        <v/>
      </c>
      <c r="E123" s="65" t="str">
        <f t="shared" ca="1" si="76"/>
        <v/>
      </c>
      <c r="F123" s="65" t="str">
        <f t="shared" ca="1" si="76"/>
        <v/>
      </c>
      <c r="G123" s="65" t="str">
        <f t="shared" ca="1" si="76"/>
        <v/>
      </c>
      <c r="H123" s="65" t="str">
        <f t="shared" ca="1" si="76"/>
        <v/>
      </c>
      <c r="I123" s="65" t="str">
        <f t="shared" ca="1" si="76"/>
        <v/>
      </c>
      <c r="J123" s="65" t="str">
        <f t="shared" ca="1" si="76"/>
        <v/>
      </c>
      <c r="K123" s="65" t="str">
        <f t="shared" ca="1" si="76"/>
        <v/>
      </c>
      <c r="L123" s="65" t="str">
        <f t="shared" ca="1" si="76"/>
        <v/>
      </c>
    </row>
    <row r="124" spans="1:12" x14ac:dyDescent="0.35">
      <c r="A124" t="str">
        <f t="shared" si="73"/>
        <v xml:space="preserve">    Colorado River Delta</v>
      </c>
      <c r="C124" s="65" t="str">
        <f t="shared" ref="C124:L124" ca="1" si="77">IF(OR(C$25="",$A124=""),"",OFFSET(C$62,8*(ROW(B124)-ROW(B$121)),0))</f>
        <v/>
      </c>
      <c r="D124" s="65" t="str">
        <f t="shared" ca="1" si="77"/>
        <v/>
      </c>
      <c r="E124" s="65" t="str">
        <f t="shared" ca="1" si="77"/>
        <v/>
      </c>
      <c r="F124" s="65" t="str">
        <f t="shared" ca="1" si="77"/>
        <v/>
      </c>
      <c r="G124" s="65" t="str">
        <f t="shared" ca="1" si="77"/>
        <v/>
      </c>
      <c r="H124" s="65" t="str">
        <f t="shared" ca="1" si="77"/>
        <v/>
      </c>
      <c r="I124" s="65" t="str">
        <f t="shared" ca="1" si="77"/>
        <v/>
      </c>
      <c r="J124" s="65" t="str">
        <f t="shared" ca="1" si="77"/>
        <v/>
      </c>
      <c r="K124" s="65" t="str">
        <f t="shared" ca="1" si="77"/>
        <v/>
      </c>
      <c r="L124" s="65" t="str">
        <f t="shared" ca="1" si="77"/>
        <v/>
      </c>
    </row>
    <row r="125" spans="1:12" x14ac:dyDescent="0.35">
      <c r="A125" t="str">
        <f t="shared" si="73"/>
        <v xml:space="preserve">    First Nations</v>
      </c>
      <c r="C125" s="65" t="str">
        <f t="shared" ref="C125:L125" ca="1" si="78">IF(OR(C$25="",$A125=""),"",OFFSET(C$62,8*(ROW(B125)-ROW(B$121)),0))</f>
        <v/>
      </c>
      <c r="D125" s="65" t="str">
        <f t="shared" ca="1" si="78"/>
        <v/>
      </c>
      <c r="E125" s="65" t="str">
        <f t="shared" ca="1" si="78"/>
        <v/>
      </c>
      <c r="F125" s="65" t="str">
        <f t="shared" ca="1" si="78"/>
        <v/>
      </c>
      <c r="G125" s="65" t="str">
        <f t="shared" ca="1" si="78"/>
        <v/>
      </c>
      <c r="H125" s="65" t="str">
        <f t="shared" ca="1" si="78"/>
        <v/>
      </c>
      <c r="I125" s="65" t="str">
        <f t="shared" ca="1" si="78"/>
        <v/>
      </c>
      <c r="J125" s="65" t="str">
        <f t="shared" ca="1" si="78"/>
        <v/>
      </c>
      <c r="K125" s="65" t="str">
        <f t="shared" ca="1" si="78"/>
        <v/>
      </c>
      <c r="L125" s="65" t="str">
        <f t="shared" ca="1" si="78"/>
        <v/>
      </c>
    </row>
    <row r="126" spans="1:12" x14ac:dyDescent="0.35">
      <c r="A126" t="str">
        <f t="shared" si="73"/>
        <v xml:space="preserve">    Shared, Reserve</v>
      </c>
      <c r="C126" s="65" t="str">
        <f t="shared" ref="C126:L126" ca="1" si="79">IF(OR(C$25="",$A126=""),"",OFFSET(C$62,8*(ROW(B126)-ROW(B$121)),0))</f>
        <v/>
      </c>
      <c r="D126" s="65" t="str">
        <f t="shared" ca="1" si="79"/>
        <v/>
      </c>
      <c r="E126" s="65" t="str">
        <f t="shared" ca="1" si="79"/>
        <v/>
      </c>
      <c r="F126" s="65" t="str">
        <f t="shared" ca="1" si="79"/>
        <v/>
      </c>
      <c r="G126" s="65" t="str">
        <f t="shared" ca="1" si="79"/>
        <v/>
      </c>
      <c r="H126" s="65" t="str">
        <f t="shared" ca="1" si="79"/>
        <v/>
      </c>
      <c r="I126" s="65" t="str">
        <f t="shared" ca="1" si="79"/>
        <v/>
      </c>
      <c r="J126" s="65" t="str">
        <f t="shared" ca="1" si="79"/>
        <v/>
      </c>
      <c r="K126" s="65" t="str">
        <f t="shared" ca="1" si="79"/>
        <v/>
      </c>
      <c r="L126" s="65" t="str">
        <f t="shared" ca="1" si="79"/>
        <v/>
      </c>
    </row>
    <row r="127" spans="1:12" x14ac:dyDescent="0.35">
      <c r="A127" s="1" t="s">
        <v>349</v>
      </c>
      <c r="B127" s="1"/>
      <c r="C127" s="14" t="str">
        <f>IF(C$25&lt;&gt;"",SUM(C121:C126),"")</f>
        <v/>
      </c>
      <c r="D127" s="14" t="str">
        <f t="shared" ref="D127:L127" si="80">IF(D$25&lt;&gt;"",SUM(D121:D126),"")</f>
        <v/>
      </c>
      <c r="E127" s="14" t="str">
        <f t="shared" si="80"/>
        <v/>
      </c>
      <c r="F127" s="14" t="str">
        <f t="shared" si="80"/>
        <v/>
      </c>
      <c r="G127" s="14" t="str">
        <f t="shared" si="80"/>
        <v/>
      </c>
      <c r="H127" s="14" t="str">
        <f t="shared" si="80"/>
        <v/>
      </c>
      <c r="I127" s="14" t="str">
        <f t="shared" si="80"/>
        <v/>
      </c>
      <c r="J127" s="14" t="str">
        <f t="shared" si="80"/>
        <v/>
      </c>
      <c r="K127" s="14" t="str">
        <f t="shared" si="80"/>
        <v/>
      </c>
      <c r="L127" s="14" t="str">
        <f t="shared" si="80"/>
        <v/>
      </c>
    </row>
    <row r="128" spans="1:12" x14ac:dyDescent="0.35">
      <c r="A128" s="1" t="s">
        <v>194</v>
      </c>
      <c r="B128" s="1"/>
      <c r="C128" s="66">
        <v>0.5</v>
      </c>
      <c r="D128" s="66">
        <v>0.5</v>
      </c>
      <c r="E128" s="66">
        <v>0.5</v>
      </c>
      <c r="F128" s="66">
        <v>0.5</v>
      </c>
      <c r="G128" s="66">
        <v>0.5</v>
      </c>
      <c r="H128" s="66"/>
      <c r="I128" s="66"/>
      <c r="J128" s="66"/>
      <c r="K128" s="66"/>
      <c r="L128" s="66"/>
    </row>
    <row r="129" spans="1:14" x14ac:dyDescent="0.35">
      <c r="A129" s="1" t="s">
        <v>190</v>
      </c>
      <c r="B129" s="1"/>
      <c r="C129" s="14" t="str">
        <f t="shared" ref="C129:L129" si="81">IF(C25="","",C$128*C$127)</f>
        <v/>
      </c>
      <c r="D129" s="14" t="str">
        <f t="shared" si="81"/>
        <v/>
      </c>
      <c r="E129" s="14" t="str">
        <f t="shared" si="81"/>
        <v/>
      </c>
      <c r="F129" s="14" t="str">
        <f t="shared" si="81"/>
        <v/>
      </c>
      <c r="G129" s="14" t="str">
        <f t="shared" si="81"/>
        <v/>
      </c>
      <c r="H129" s="14" t="str">
        <f t="shared" si="81"/>
        <v/>
      </c>
      <c r="I129" s="14" t="str">
        <f t="shared" si="81"/>
        <v/>
      </c>
      <c r="J129" s="14" t="str">
        <f t="shared" si="81"/>
        <v/>
      </c>
      <c r="K129" s="14" t="str">
        <f t="shared" si="81"/>
        <v/>
      </c>
      <c r="L129" s="14" t="str">
        <f t="shared" si="81"/>
        <v/>
      </c>
    </row>
    <row r="130" spans="1:14" x14ac:dyDescent="0.35">
      <c r="A130" s="1" t="s">
        <v>191</v>
      </c>
      <c r="B130" s="1"/>
      <c r="C130" s="14" t="str">
        <f t="shared" ref="C130:L130" si="82">IF(C26="","",(1-C$128)*C$127)</f>
        <v/>
      </c>
      <c r="D130" s="14" t="str">
        <f t="shared" si="82"/>
        <v/>
      </c>
      <c r="E130" s="14" t="str">
        <f t="shared" si="82"/>
        <v/>
      </c>
      <c r="F130" s="14" t="str">
        <f t="shared" si="82"/>
        <v/>
      </c>
      <c r="G130" s="14" t="str">
        <f t="shared" si="82"/>
        <v/>
      </c>
      <c r="H130" s="14" t="str">
        <f t="shared" si="82"/>
        <v/>
      </c>
      <c r="I130" s="14" t="str">
        <f t="shared" si="82"/>
        <v/>
      </c>
      <c r="J130" s="14" t="str">
        <f t="shared" si="82"/>
        <v/>
      </c>
      <c r="K130" s="14" t="str">
        <f t="shared" si="82"/>
        <v/>
      </c>
      <c r="L130" s="14" t="str">
        <f t="shared" si="82"/>
        <v/>
      </c>
    </row>
    <row r="131" spans="1:14" x14ac:dyDescent="0.35">
      <c r="A131" s="30" t="s">
        <v>255</v>
      </c>
      <c r="B131" s="1"/>
      <c r="C131" s="81" t="str">
        <f>IF(C$25&lt;&gt;"",VLOOKUP(C129*1000000,'Powell-Elevation-Area'!$B$5:$H$689,7),"")</f>
        <v/>
      </c>
      <c r="D131" s="81" t="str">
        <f>IF(D$25&lt;&gt;"",VLOOKUP(D129*1000000,'Powell-Elevation-Area'!$B$5:$H$689,7),"")</f>
        <v/>
      </c>
      <c r="E131" s="81" t="str">
        <f>IF(E$25&lt;&gt;"",VLOOKUP(E129*1000000,'Powell-Elevation-Area'!$B$5:$H$689,7),"")</f>
        <v/>
      </c>
      <c r="F131" s="81" t="str">
        <f>IF(F$25&lt;&gt;"",VLOOKUP(F129*1000000,'Powell-Elevation-Area'!$B$5:$H$689,7),"")</f>
        <v/>
      </c>
      <c r="G131" s="81" t="str">
        <f>IF(G$25&lt;&gt;"",VLOOKUP(G129*1000000,'Powell-Elevation-Area'!$B$5:$H$689,7),"")</f>
        <v/>
      </c>
      <c r="H131" s="81" t="str">
        <f>IF(H$25&lt;&gt;"",VLOOKUP(H129*1000000,'Powell-Elevation-Area'!$B$5:$H$689,7),"")</f>
        <v/>
      </c>
      <c r="I131" s="81" t="str">
        <f>IF(I$25&lt;&gt;"",VLOOKUP(I129*1000000,'Powell-Elevation-Area'!$B$5:$H$689,7),"")</f>
        <v/>
      </c>
      <c r="J131" s="81" t="str">
        <f>IF(J$25&lt;&gt;"",VLOOKUP(J129*1000000,'Powell-Elevation-Area'!$B$5:$H$689,7),"")</f>
        <v/>
      </c>
      <c r="K131" s="81" t="str">
        <f>IF(K$25&lt;&gt;"",VLOOKUP(K129*1000000,'Powell-Elevation-Area'!$B$5:$H$689,7),"")</f>
        <v/>
      </c>
      <c r="L131" s="81" t="str">
        <f>IF(L$25&lt;&gt;"",VLOOKUP(L129*1000000,'Powell-Elevation-Area'!$B$5:$H$689,7),"")</f>
        <v/>
      </c>
    </row>
    <row r="132" spans="1:14" x14ac:dyDescent="0.35">
      <c r="A132" s="30" t="s">
        <v>256</v>
      </c>
      <c r="B132" s="1"/>
      <c r="C132" s="81" t="str">
        <f>IF(C$25&lt;&gt;"",VLOOKUP(C130*1000000,'Mead-Elevation-Area'!$B$5:$H$689,7),"")</f>
        <v/>
      </c>
      <c r="D132" s="81" t="str">
        <f>IF(D$25&lt;&gt;"",VLOOKUP(D130*1000000,'Mead-Elevation-Area'!$B$5:$H$689,7),"")</f>
        <v/>
      </c>
      <c r="E132" s="81" t="str">
        <f>IF(E$25&lt;&gt;"",VLOOKUP(E130*1000000,'Mead-Elevation-Area'!$B$5:$H$689,7),"")</f>
        <v/>
      </c>
      <c r="F132" s="81" t="str">
        <f>IF(F$25&lt;&gt;"",VLOOKUP(F130*1000000,'Mead-Elevation-Area'!$B$5:$H$689,7),"")</f>
        <v/>
      </c>
      <c r="G132" s="81" t="str">
        <f>IF(G$25&lt;&gt;"",VLOOKUP(G130*1000000,'Mead-Elevation-Area'!$B$5:$H$689,7),"")</f>
        <v/>
      </c>
      <c r="H132" s="81" t="str">
        <f>IF(H$25&lt;&gt;"",VLOOKUP(H130*1000000,'Mead-Elevation-Area'!$B$5:$H$689,7),"")</f>
        <v/>
      </c>
      <c r="I132" s="81" t="str">
        <f>IF(I$25&lt;&gt;"",VLOOKUP(I130*1000000,'Mead-Elevation-Area'!$B$5:$H$689,7),"")</f>
        <v/>
      </c>
      <c r="J132" s="81" t="str">
        <f>IF(J$25&lt;&gt;"",VLOOKUP(J130*1000000,'Mead-Elevation-Area'!$B$5:$H$689,7),"")</f>
        <v/>
      </c>
      <c r="K132" s="81" t="str">
        <f>IF(K$25&lt;&gt;"",VLOOKUP(K130*1000000,'Mead-Elevation-Area'!$B$5:$H$689,7),"")</f>
        <v/>
      </c>
      <c r="L132" s="81" t="str">
        <f>IF(L$25&lt;&gt;"",VLOOKUP(L130*1000000,'Mead-Elevation-Area'!$B$5:$H$689,7),"")</f>
        <v/>
      </c>
    </row>
    <row r="133" spans="1:14" x14ac:dyDescent="0.35">
      <c r="A133" s="1" t="s">
        <v>268</v>
      </c>
      <c r="B133" s="1"/>
    </row>
    <row r="134" spans="1:14" x14ac:dyDescent="0.35">
      <c r="A134" s="30" t="s">
        <v>269</v>
      </c>
      <c r="B134" s="1"/>
      <c r="C134" s="14" t="str">
        <f>IF(C$25&lt;&gt;"",-C129+C37+C25-C61-VLOOKUP(C37*1000000,'Powell-Elevation-Area'!$B$5:$D$689,3)*$B$18/1000000,"")</f>
        <v/>
      </c>
      <c r="D134" s="14" t="str">
        <f>IF(D$25&lt;&gt;"",-D129+D37+D25-D61-VLOOKUP(D37*1000000,'Powell-Elevation-Area'!$B$5:$D$689,3)*$B$18/1000000,"")</f>
        <v/>
      </c>
      <c r="E134" s="14" t="str">
        <f>IF(E$25&lt;&gt;"",-E129+E37+E25-E61-VLOOKUP(E37*1000000,'Powell-Elevation-Area'!$B$5:$D$689,3)*$B$18/1000000,"")</f>
        <v/>
      </c>
      <c r="F134" s="14" t="str">
        <f>IF(F$25&lt;&gt;"",-F129+F37+F25-F61-VLOOKUP(F37*1000000,'Powell-Elevation-Area'!$B$5:$D$689,3)*$B$18/1000000,"")</f>
        <v/>
      </c>
      <c r="G134" s="14" t="str">
        <f>IF(G$25&lt;&gt;"",-G129+G37+G25-G61-VLOOKUP(G37*1000000,'Powell-Elevation-Area'!$B$5:$D$689,3)*$B$18/1000000,"")</f>
        <v/>
      </c>
      <c r="H134" s="14" t="str">
        <f>IF(H$25&lt;&gt;"",-H129+H37+H25-H61-VLOOKUP(H37*1000000,'Powell-Elevation-Area'!$B$5:$D$689,3)*$B$18/1000000,"")</f>
        <v/>
      </c>
      <c r="I134" s="14" t="str">
        <f>IF(I$25&lt;&gt;"",-I129+I37+I25-I61-VLOOKUP(I37*1000000,'Powell-Elevation-Area'!$B$5:$D$689,3)*$B$18/1000000,"")</f>
        <v/>
      </c>
      <c r="J134" s="14" t="str">
        <f>IF(J$25&lt;&gt;"",-J129+J37+J25-J61-VLOOKUP(J37*1000000,'Powell-Elevation-Area'!$B$5:$D$689,3)*$B$18/1000000,"")</f>
        <v/>
      </c>
      <c r="K134" s="14" t="str">
        <f>IF(K$25&lt;&gt;"",-K129+K37+K25-K61-VLOOKUP(K37*1000000,'Powell-Elevation-Area'!$B$5:$D$689,3)*$B$18/1000000,"")</f>
        <v/>
      </c>
      <c r="L134" s="14" t="str">
        <f>IF(L$25&lt;&gt;"",-L129+L37+L25-L61-VLOOKUP(L37*1000000,'Powell-Elevation-Area'!$B$5:$D$689,3)*$B$18/1000000,"")</f>
        <v/>
      </c>
      <c r="N134" t="s">
        <v>192</v>
      </c>
    </row>
    <row r="135" spans="1:14" x14ac:dyDescent="0.35">
      <c r="A135" s="30" t="s">
        <v>283</v>
      </c>
      <c r="B135" s="1"/>
      <c r="C135" s="81" t="str">
        <f>IF(C$25&lt;&gt;"",VLOOKUP(C131,PowellReleaseTemperature!$A$5:$B$11,2),"")</f>
        <v/>
      </c>
      <c r="D135" s="81" t="str">
        <f>IF(D$25&lt;&gt;"",VLOOKUP(D131,PowellReleaseTemperature!$A$5:$B$11,2),"")</f>
        <v/>
      </c>
      <c r="E135" s="81" t="str">
        <f>IF(E$25&lt;&gt;"",VLOOKUP(E131,PowellReleaseTemperature!$A$5:$B$11,2),"")</f>
        <v/>
      </c>
      <c r="F135" s="81" t="str">
        <f>IF(F$25&lt;&gt;"",VLOOKUP(F131,PowellReleaseTemperature!$A$5:$B$11,2),"")</f>
        <v/>
      </c>
      <c r="G135" s="81" t="str">
        <f>IF(G$25&lt;&gt;"",VLOOKUP(G131,PowellReleaseTemperature!$A$5:$B$11,2),"")</f>
        <v/>
      </c>
      <c r="H135" s="81" t="str">
        <f>IF(H$25&lt;&gt;"",VLOOKUP(H131,PowellReleaseTemperature!$A$5:$B$11,2),"")</f>
        <v/>
      </c>
      <c r="I135" s="81" t="str">
        <f>IF(I$25&lt;&gt;"",VLOOKUP(I131,PowellReleaseTemperature!$A$5:$B$11,2),"")</f>
        <v/>
      </c>
      <c r="J135" s="81" t="str">
        <f>IF(J$25&lt;&gt;"",VLOOKUP(J131,PowellReleaseTemperature!$A$5:$B$11,2),"")</f>
        <v/>
      </c>
      <c r="K135" s="81" t="str">
        <f>IF(K$25&lt;&gt;"",VLOOKUP(K131,PowellReleaseTemperature!$A$5:$B$11,2),"")</f>
        <v/>
      </c>
      <c r="L135" s="81" t="str">
        <f>IF(L$25&lt;&gt;"",VLOOKUP(L131,PowellReleaseTemperature!$A$5:$B$11,2),"")</f>
        <v/>
      </c>
      <c r="N135" t="s">
        <v>274</v>
      </c>
    </row>
    <row r="136" spans="1:14" s="83" customFormat="1" ht="62.5" customHeight="1" x14ac:dyDescent="0.35">
      <c r="A136" s="115" t="s">
        <v>284</v>
      </c>
      <c r="B136" s="82"/>
      <c r="C136" s="114" t="str">
        <f>IF(C$25&lt;&gt;"",VLOOKUP(C$131,PowellReleaseTemperature!$A$5:$E$11,5),"")</f>
        <v/>
      </c>
      <c r="D136" s="114" t="str">
        <f>IF(D$25&lt;&gt;"",VLOOKUP(D$131,PowellReleaseTemperature!$A$5:$E$11,5),"")</f>
        <v/>
      </c>
      <c r="E136" s="114" t="str">
        <f>IF(E$25&lt;&gt;"",VLOOKUP(E$131,PowellReleaseTemperature!$A$5:$E$11,5),"")</f>
        <v/>
      </c>
      <c r="F136" s="114" t="str">
        <f>IF(F$25&lt;&gt;"",VLOOKUP(F$131,PowellReleaseTemperature!$A$5:$E$11,5),"")</f>
        <v/>
      </c>
      <c r="G136" s="114" t="str">
        <f>IF(G$25&lt;&gt;"",VLOOKUP(G$131,PowellReleaseTemperature!$A$5:$E$11,5),"")</f>
        <v/>
      </c>
      <c r="H136" s="114" t="str">
        <f>IF(H$25&lt;&gt;"",VLOOKUP(H$131,PowellReleaseTemperature!$A$5:$E$11,5),"")</f>
        <v/>
      </c>
      <c r="I136" s="114" t="str">
        <f>IF(I$25&lt;&gt;"",VLOOKUP(I$131,PowellReleaseTemperature!$A$5:$E$11,5),"")</f>
        <v/>
      </c>
      <c r="J136" s="114" t="str">
        <f>IF(J$25&lt;&gt;"",VLOOKUP(J$131,PowellReleaseTemperature!$A$5:$E$11,5),"")</f>
        <v/>
      </c>
      <c r="K136" s="114" t="str">
        <f>IF(K$25&lt;&gt;"",VLOOKUP(K$131,PowellReleaseTemperature!$A$5:$E$11,5),"")</f>
        <v/>
      </c>
      <c r="L136" s="114" t="str">
        <f>IF(L$25&lt;&gt;"",VLOOKUP(L$131,PowellReleaseTemperature!$A$5:$E$11,5),"")</f>
        <v/>
      </c>
    </row>
    <row r="137" spans="1:14" s="83" customFormat="1" ht="32.15" customHeight="1" x14ac:dyDescent="0.35">
      <c r="A137" s="115" t="s">
        <v>290</v>
      </c>
      <c r="B137" s="82"/>
      <c r="C137" s="114" t="str">
        <f>IF(C$25&lt;&gt;"",VLOOKUP(C$131,PowellReleaseTemperature!$A$5:$F$11,6),"")</f>
        <v/>
      </c>
      <c r="D137" s="114" t="str">
        <f>IF(D$25&lt;&gt;"",VLOOKUP(D$131,PowellReleaseTemperature!$A$5:$F$11,6),"")</f>
        <v/>
      </c>
      <c r="E137" s="114" t="str">
        <f>IF(E$25&lt;&gt;"",VLOOKUP(E$131,PowellReleaseTemperature!$A$5:$F$11,6),"")</f>
        <v/>
      </c>
      <c r="F137" s="114" t="str">
        <f>IF(F$25&lt;&gt;"",VLOOKUP(F$131,PowellReleaseTemperature!$A$5:$F$11,6),"")</f>
        <v/>
      </c>
      <c r="G137" s="114" t="str">
        <f>IF(G$25&lt;&gt;"",VLOOKUP(G$131,PowellReleaseTemperature!$A$5:$F$11,6),"")</f>
        <v/>
      </c>
      <c r="H137" s="114" t="str">
        <f>IF(H$25&lt;&gt;"",VLOOKUP(H$131,PowellReleaseTemperature!$A$5:$F$11,6),"")</f>
        <v/>
      </c>
      <c r="I137" s="114" t="str">
        <f>IF(I$25&lt;&gt;"",VLOOKUP(I$131,PowellReleaseTemperature!$A$5:$F$11,6),"")</f>
        <v/>
      </c>
      <c r="J137" s="114" t="str">
        <f>IF(J$25&lt;&gt;"",VLOOKUP(J$131,PowellReleaseTemperature!$A$5:$F$11,6),"")</f>
        <v/>
      </c>
      <c r="K137" s="114" t="str">
        <f>IF(K$25&lt;&gt;"",VLOOKUP(K$131,PowellReleaseTemperature!$A$5:$F$11,6),"")</f>
        <v/>
      </c>
      <c r="L137" s="114" t="str">
        <f>IF(L$25&lt;&gt;"",VLOOKUP(L$131,PowellReleaseTemperature!$A$5:$F$11,6),"")</f>
        <v/>
      </c>
    </row>
    <row r="139" spans="1:14" x14ac:dyDescent="0.35">
      <c r="D139" s="17"/>
    </row>
  </sheetData>
  <mergeCells count="12">
    <mergeCell ref="C8:G8"/>
    <mergeCell ref="A3:G3"/>
    <mergeCell ref="C4:G4"/>
    <mergeCell ref="C5:G5"/>
    <mergeCell ref="C6:G6"/>
    <mergeCell ref="C7:G7"/>
    <mergeCell ref="B15:D15"/>
    <mergeCell ref="C9:G9"/>
    <mergeCell ref="C10:G10"/>
    <mergeCell ref="B12:D12"/>
    <mergeCell ref="B13:D13"/>
    <mergeCell ref="B14:D14"/>
  </mergeCells>
  <conditionalFormatting sqref="C101">
    <cfRule type="cellIs" dxfId="264" priority="25" operator="greaterThan">
      <formula>$C$100</formula>
    </cfRule>
  </conditionalFormatting>
  <conditionalFormatting sqref="D101">
    <cfRule type="cellIs" dxfId="263" priority="24" operator="greaterThan">
      <formula>$D$100</formula>
    </cfRule>
  </conditionalFormatting>
  <conditionalFormatting sqref="E101">
    <cfRule type="cellIs" dxfId="262" priority="23" operator="greaterThan">
      <formula>$E$100</formula>
    </cfRule>
  </conditionalFormatting>
  <conditionalFormatting sqref="F101">
    <cfRule type="cellIs" dxfId="261" priority="22" operator="greaterThan">
      <formula>$F$100</formula>
    </cfRule>
  </conditionalFormatting>
  <conditionalFormatting sqref="G101">
    <cfRule type="cellIs" dxfId="260" priority="21" operator="greaterThan">
      <formula>$G$100</formula>
    </cfRule>
  </conditionalFormatting>
  <conditionalFormatting sqref="H101">
    <cfRule type="cellIs" dxfId="259" priority="20" operator="greaterThan">
      <formula>$H$100</formula>
    </cfRule>
  </conditionalFormatting>
  <conditionalFormatting sqref="I101">
    <cfRule type="cellIs" dxfId="258" priority="19" operator="greaterThan">
      <formula>$I$100</formula>
    </cfRule>
  </conditionalFormatting>
  <conditionalFormatting sqref="J101">
    <cfRule type="cellIs" dxfId="257" priority="18" operator="greaterThan">
      <formula>$J$100</formula>
    </cfRule>
  </conditionalFormatting>
  <conditionalFormatting sqref="K101">
    <cfRule type="cellIs" dxfId="256" priority="17" operator="greaterThan">
      <formula>$K$100</formula>
    </cfRule>
  </conditionalFormatting>
  <conditionalFormatting sqref="L101">
    <cfRule type="cellIs" dxfId="255" priority="16"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0576702B-8702-4C5D-99F7-F7B836663561}">
            <xm:f>PowellReleaseTemperature!$B$10</xm:f>
            <x14:dxf>
              <font>
                <color auto="1"/>
              </font>
              <fill>
                <patternFill>
                  <bgColor theme="4"/>
                </patternFill>
              </fill>
            </x14:dxf>
          </x14:cfRule>
          <x14:cfRule type="cellIs" priority="12" operator="equal" id="{D0277AC2-D62C-40E8-BCD5-A68E34AAEBE4}">
            <xm:f>PowellReleaseTemperature!$B$9</xm:f>
            <x14:dxf>
              <font>
                <color theme="4" tint="-0.24994659260841701"/>
              </font>
              <fill>
                <patternFill>
                  <bgColor theme="8" tint="0.59996337778862885"/>
                </patternFill>
              </fill>
            </x14:dxf>
          </x14:cfRule>
          <x14:cfRule type="cellIs" priority="13" operator="equal" id="{BBA92604-BA99-41F5-8C19-E50002275E0E}">
            <xm:f>PowellReleaseTemperature!$B$8</xm:f>
            <x14:dxf>
              <font>
                <color rgb="FF9C0006"/>
              </font>
              <fill>
                <patternFill>
                  <bgColor rgb="FFFFC7CE"/>
                </patternFill>
              </fill>
            </x14:dxf>
          </x14:cfRule>
          <x14:cfRule type="cellIs" priority="14" operator="equal" id="{1F8C977A-C58E-435C-8A95-1297854D335F}">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FD82447-DF3E-492C-94BE-239996E6F4BA}">
            <xm:f>PowellReleaseTemperature!$E$5</xm:f>
            <x14:dxf>
              <font>
                <color auto="1"/>
              </font>
              <fill>
                <patternFill>
                  <bgColor rgb="FFFF0000"/>
                </patternFill>
              </fill>
            </x14:dxf>
          </x14:cfRule>
          <x14:cfRule type="cellIs" priority="8" operator="equal" id="{0A908823-5846-4968-A10E-0AADBC84D788}">
            <xm:f>PowellReleaseTemperature!$E$8</xm:f>
            <x14:dxf>
              <font>
                <color rgb="FF9C0006"/>
              </font>
              <fill>
                <patternFill>
                  <bgColor rgb="FFFFC7CE"/>
                </patternFill>
              </fill>
            </x14:dxf>
          </x14:cfRule>
          <x14:cfRule type="cellIs" priority="9" operator="equal" id="{40CDCEB2-A8A3-4440-AC08-65729878E69B}">
            <xm:f>PowellReleaseTemperature!$E$9</xm:f>
            <x14:dxf>
              <font>
                <color theme="4" tint="-0.24994659260841701"/>
              </font>
              <fill>
                <patternFill>
                  <bgColor theme="8" tint="0.59996337778862885"/>
                </patternFill>
              </fill>
            </x14:dxf>
          </x14:cfRule>
          <x14:cfRule type="cellIs" priority="10" operator="equal" id="{AB1CCDF2-CFC9-4F7A-B3CE-C13F6FD87955}">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9F10B46B-4118-4611-8522-A20E237E8ABD}">
            <xm:f>PowellReleaseTemperature!$F$10</xm:f>
            <x14:dxf>
              <font>
                <color auto="1"/>
              </font>
              <fill>
                <patternFill>
                  <bgColor theme="4"/>
                </patternFill>
              </fill>
            </x14:dxf>
          </x14:cfRule>
          <x14:cfRule type="cellIs" priority="5" operator="equal" id="{8527DA45-B324-4A85-9C46-3574E4585717}">
            <xm:f>PowellReleaseTemperature!$F$9</xm:f>
            <x14:dxf>
              <font>
                <color theme="4" tint="-0.24994659260841701"/>
              </font>
              <fill>
                <patternFill>
                  <bgColor theme="8" tint="0.59996337778862885"/>
                </patternFill>
              </fill>
            </x14:dxf>
          </x14:cfRule>
          <x14:cfRule type="cellIs" priority="6" operator="equal" id="{0E69ECDF-3BE4-4299-B533-3F775CF03AD3}">
            <xm:f>PowellReleaseTemperature!$F$5</xm:f>
            <x14:dxf>
              <font>
                <color auto="1"/>
              </font>
              <fill>
                <patternFill>
                  <bgColor rgb="FFFF0000"/>
                </patternFill>
              </fill>
            </x14:dxf>
          </x14:cfRule>
          <xm:sqref>C137:L137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8CC22-AAAD-4723-8EA7-38E44E80D15A}">
  <dimension ref="G1:X1"/>
  <sheetViews>
    <sheetView workbookViewId="0">
      <selection activeCell="D39" sqref="D39"/>
    </sheetView>
  </sheetViews>
  <sheetFormatPr defaultRowHeight="14.5" x14ac:dyDescent="0.35"/>
  <sheetData>
    <row r="1" spans="7:24" ht="36" x14ac:dyDescent="0.8">
      <c r="G1" s="45" t="s">
        <v>39</v>
      </c>
      <c r="P1" s="45" t="s">
        <v>40</v>
      </c>
      <c r="X1" s="45" t="s">
        <v>200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42"/>
  <sheetViews>
    <sheetView topLeftCell="A50" zoomScale="150" zoomScaleNormal="150" workbookViewId="0">
      <selection activeCell="C48" sqref="C48"/>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56" t="s">
        <v>148</v>
      </c>
      <c r="B3" s="256"/>
      <c r="C3" s="256"/>
      <c r="D3" s="256"/>
      <c r="E3" s="256"/>
      <c r="F3" s="256"/>
      <c r="G3" s="256"/>
      <c r="H3" s="62"/>
      <c r="I3" s="62"/>
      <c r="J3" s="62"/>
      <c r="K3" s="62"/>
    </row>
    <row r="4" spans="1:13" x14ac:dyDescent="0.35">
      <c r="A4" s="51" t="s">
        <v>38</v>
      </c>
      <c r="B4" s="51" t="s">
        <v>42</v>
      </c>
      <c r="C4" s="257" t="s">
        <v>43</v>
      </c>
      <c r="D4" s="258"/>
      <c r="E4" s="258"/>
      <c r="F4" s="258"/>
      <c r="G4" s="259"/>
      <c r="M4" s="1" t="s">
        <v>294</v>
      </c>
    </row>
    <row r="5" spans="1:13" x14ac:dyDescent="0.35">
      <c r="A5" s="122" t="s">
        <v>39</v>
      </c>
      <c r="B5" s="122" t="s">
        <v>150</v>
      </c>
      <c r="C5" s="247" t="s">
        <v>297</v>
      </c>
      <c r="D5" s="242"/>
      <c r="E5" s="242"/>
      <c r="F5" s="242"/>
      <c r="G5" s="242"/>
      <c r="M5" t="s">
        <v>295</v>
      </c>
    </row>
    <row r="6" spans="1:13" x14ac:dyDescent="0.35">
      <c r="A6" s="122" t="s">
        <v>40</v>
      </c>
      <c r="B6" s="122" t="s">
        <v>150</v>
      </c>
      <c r="C6" s="247" t="s">
        <v>298</v>
      </c>
      <c r="D6" s="242"/>
      <c r="E6" s="242"/>
      <c r="F6" s="242"/>
      <c r="G6" s="242"/>
      <c r="M6" t="s">
        <v>300</v>
      </c>
    </row>
    <row r="7" spans="1:13" x14ac:dyDescent="0.35">
      <c r="A7" s="122" t="s">
        <v>41</v>
      </c>
      <c r="B7" s="122" t="s">
        <v>150</v>
      </c>
      <c r="C7" s="247" t="s">
        <v>299</v>
      </c>
      <c r="D7" s="242"/>
      <c r="E7" s="242"/>
      <c r="F7" s="242"/>
      <c r="G7" s="242"/>
      <c r="M7" t="s">
        <v>301</v>
      </c>
    </row>
    <row r="8" spans="1:13" x14ac:dyDescent="0.35">
      <c r="A8" s="105" t="s">
        <v>154</v>
      </c>
      <c r="B8" s="105" t="s">
        <v>150</v>
      </c>
      <c r="C8" s="249" t="s">
        <v>296</v>
      </c>
      <c r="D8" s="249"/>
      <c r="E8" s="249"/>
      <c r="F8" s="249"/>
      <c r="G8" s="249"/>
    </row>
    <row r="9" spans="1:13" x14ac:dyDescent="0.35">
      <c r="A9" s="122"/>
      <c r="B9" s="122"/>
      <c r="C9" s="248"/>
      <c r="D9" s="248"/>
      <c r="E9" s="248"/>
      <c r="F9" s="248"/>
      <c r="G9" s="248"/>
    </row>
    <row r="10" spans="1:13" x14ac:dyDescent="0.35">
      <c r="A10" s="122"/>
      <c r="B10" s="122"/>
      <c r="C10" s="248"/>
      <c r="D10" s="248"/>
      <c r="E10" s="248"/>
      <c r="F10" s="248"/>
      <c r="G10" s="248"/>
    </row>
    <row r="11" spans="1:13" x14ac:dyDescent="0.35">
      <c r="A11" s="15"/>
      <c r="B11" s="2"/>
      <c r="C11"/>
    </row>
    <row r="12" spans="1:13" x14ac:dyDescent="0.35">
      <c r="A12" s="18" t="s">
        <v>45</v>
      </c>
      <c r="B12" s="260" t="s">
        <v>195</v>
      </c>
      <c r="C12" s="260"/>
      <c r="D12" s="260"/>
      <c r="E12" s="260"/>
      <c r="F12" s="260"/>
    </row>
    <row r="13" spans="1:13" x14ac:dyDescent="0.35">
      <c r="B13" s="261" t="s">
        <v>314</v>
      </c>
      <c r="C13" s="262"/>
      <c r="D13" s="262"/>
      <c r="E13" s="262"/>
      <c r="F13" s="262"/>
    </row>
    <row r="14" spans="1:13" x14ac:dyDescent="0.35">
      <c r="B14" s="263" t="s">
        <v>303</v>
      </c>
      <c r="C14" s="264"/>
      <c r="D14" s="264"/>
      <c r="E14" s="264"/>
      <c r="F14" s="264"/>
    </row>
    <row r="15" spans="1:13" x14ac:dyDescent="0.35">
      <c r="B15" s="265" t="s">
        <v>46</v>
      </c>
      <c r="C15" s="265"/>
      <c r="D15" s="265"/>
      <c r="E15" s="265"/>
      <c r="F15" s="265"/>
    </row>
    <row r="17" spans="1:14" x14ac:dyDescent="0.35">
      <c r="A17" s="1" t="s">
        <v>53</v>
      </c>
      <c r="D17" s="260" t="s">
        <v>151</v>
      </c>
      <c r="E17" s="260"/>
      <c r="F17" s="260"/>
      <c r="G17" s="260"/>
    </row>
    <row r="19" spans="1:14" x14ac:dyDescent="0.35">
      <c r="A19" s="1" t="s">
        <v>32</v>
      </c>
      <c r="B19" s="1" t="s">
        <v>108</v>
      </c>
      <c r="C19" s="13" t="s">
        <v>109</v>
      </c>
    </row>
    <row r="20" spans="1:14" x14ac:dyDescent="0.35">
      <c r="A20" t="s">
        <v>107</v>
      </c>
      <c r="B20" s="129">
        <v>5.73</v>
      </c>
      <c r="C20" s="129">
        <v>6</v>
      </c>
      <c r="D20" s="22" t="s">
        <v>110</v>
      </c>
    </row>
    <row r="21" spans="1:14" x14ac:dyDescent="0.35">
      <c r="A21" t="s">
        <v>139</v>
      </c>
      <c r="B21" s="129">
        <v>11</v>
      </c>
      <c r="C21" s="129">
        <v>10.1</v>
      </c>
      <c r="D21" s="11" t="s">
        <v>34</v>
      </c>
    </row>
    <row r="22" spans="1:14" x14ac:dyDescent="0.35">
      <c r="A22" t="s">
        <v>186</v>
      </c>
      <c r="B22" s="60">
        <v>3525</v>
      </c>
      <c r="C22" s="60">
        <v>1020</v>
      </c>
      <c r="D22" s="11"/>
    </row>
    <row r="23" spans="1:14" x14ac:dyDescent="0.35">
      <c r="A23" t="s">
        <v>172</v>
      </c>
      <c r="B23" s="129">
        <f>VLOOKUP(B22,'Powell-Elevation-Area'!$A$5:$B$689,2)/1000000</f>
        <v>5.9265762500000001</v>
      </c>
      <c r="C23" s="129">
        <f>VLOOKUP(C22,'Mead-Elevation-Area'!$A$5:$B$689,2)/1000000</f>
        <v>5.664593</v>
      </c>
      <c r="D23" s="11"/>
      <c r="E23" s="43"/>
    </row>
    <row r="25" spans="1:14" s="1" customFormat="1" x14ac:dyDescent="0.3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35">
      <c r="A26" s="1" t="s">
        <v>44</v>
      </c>
      <c r="B26" s="1"/>
      <c r="C26" s="130">
        <v>11</v>
      </c>
      <c r="D26" s="130">
        <v>9</v>
      </c>
      <c r="E26" s="130">
        <v>8.1</v>
      </c>
      <c r="F26" s="130">
        <v>8.1</v>
      </c>
      <c r="G26" s="130">
        <v>8.1</v>
      </c>
      <c r="H26" s="130"/>
      <c r="I26" s="130"/>
      <c r="J26" s="130"/>
      <c r="K26" s="130"/>
      <c r="L26" s="130"/>
    </row>
    <row r="27" spans="1:14" x14ac:dyDescent="0.35">
      <c r="A27" s="1" t="s">
        <v>119</v>
      </c>
      <c r="B27" s="1"/>
      <c r="C27" s="129">
        <f>IF(C$26&lt;&gt;"",0.8,"")</f>
        <v>0.8</v>
      </c>
      <c r="D27" s="129">
        <f t="shared" ref="D27:L27" si="0">IF(D$26&lt;&gt;"",0.8,"")</f>
        <v>0.8</v>
      </c>
      <c r="E27" s="129">
        <f t="shared" si="0"/>
        <v>0.8</v>
      </c>
      <c r="F27" s="129">
        <f t="shared" si="0"/>
        <v>0.8</v>
      </c>
      <c r="G27" s="129">
        <f t="shared" si="0"/>
        <v>0.8</v>
      </c>
      <c r="H27" s="129" t="str">
        <f t="shared" si="0"/>
        <v/>
      </c>
      <c r="I27" s="129" t="str">
        <f t="shared" si="0"/>
        <v/>
      </c>
      <c r="J27" s="129" t="str">
        <f t="shared" si="0"/>
        <v/>
      </c>
      <c r="K27" s="129" t="str">
        <f t="shared" si="0"/>
        <v/>
      </c>
      <c r="L27" s="129" t="str">
        <f t="shared" si="0"/>
        <v/>
      </c>
    </row>
    <row r="28" spans="1:14" x14ac:dyDescent="0.35">
      <c r="A28" s="1" t="s">
        <v>278</v>
      </c>
      <c r="B28" s="1"/>
      <c r="C28" s="129">
        <f>IF(C$26&lt;&gt;"",0.6,"")</f>
        <v>0.6</v>
      </c>
      <c r="D28" s="129">
        <f t="shared" ref="D28:L28" si="1">IF(D$26&lt;&gt;"",0.6,"")</f>
        <v>0.6</v>
      </c>
      <c r="E28" s="129">
        <f t="shared" si="1"/>
        <v>0.6</v>
      </c>
      <c r="F28" s="129">
        <f t="shared" si="1"/>
        <v>0.6</v>
      </c>
      <c r="G28" s="129">
        <f t="shared" si="1"/>
        <v>0.6</v>
      </c>
      <c r="H28" s="129" t="str">
        <f t="shared" si="1"/>
        <v/>
      </c>
      <c r="I28" s="129" t="str">
        <f t="shared" si="1"/>
        <v/>
      </c>
      <c r="J28" s="129" t="str">
        <f t="shared" si="1"/>
        <v/>
      </c>
      <c r="K28" s="129" t="str">
        <f t="shared" si="1"/>
        <v/>
      </c>
      <c r="L28" s="129" t="str">
        <f t="shared" si="1"/>
        <v/>
      </c>
    </row>
    <row r="29" spans="1:14" x14ac:dyDescent="0.35">
      <c r="A29" s="1" t="s">
        <v>122</v>
      </c>
      <c r="B29" s="108">
        <f>SUM(B30:B35)-SUM(B21:C21)</f>
        <v>0</v>
      </c>
      <c r="C29" s="14">
        <f>IF(C$26&lt;&gt;"",SUM(B21:C21),"")</f>
        <v>21.1</v>
      </c>
      <c r="D29" s="14">
        <f ca="1">IF(D$26&lt;&gt;"",C127,"")</f>
        <v>19.278102320000027</v>
      </c>
      <c r="E29" s="14">
        <f t="shared" ref="E29:L29" ca="1" si="2">IF(E$26&lt;&gt;"",D127,"")</f>
        <v>16.611442566000605</v>
      </c>
      <c r="F29" s="14">
        <f t="shared" ca="1" si="2"/>
        <v>14.115209246000605</v>
      </c>
      <c r="G29" s="14">
        <f t="shared" ca="1" si="2"/>
        <v>13.103063047500005</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09">
        <f>B21-B23</f>
        <v>5.0734237499999999</v>
      </c>
      <c r="C30" s="106">
        <f>IF(OR(C$26="",$A30=""),"",B30)</f>
        <v>5.0734237499999999</v>
      </c>
      <c r="D30" s="14">
        <f ca="1">IF(OR(D$26="",$A30=""),"",C121)</f>
        <v>3.5040452368981807</v>
      </c>
      <c r="E30" s="14">
        <f t="shared" ref="E30:L30" ca="1" si="4">IF(OR(E$26="",$A30=""),"",D121)</f>
        <v>1.8046756171878031</v>
      </c>
      <c r="F30" s="14">
        <f t="shared" ca="1" si="4"/>
        <v>1.5073083708761734</v>
      </c>
      <c r="G30" s="14">
        <f t="shared" ca="1" si="4"/>
        <v>0.82058243277347986</v>
      </c>
      <c r="H30" s="14" t="str">
        <f t="shared" si="4"/>
        <v/>
      </c>
      <c r="I30" s="14" t="str">
        <f t="shared" si="4"/>
        <v/>
      </c>
      <c r="J30" s="14" t="str">
        <f t="shared" si="4"/>
        <v/>
      </c>
      <c r="K30" s="14" t="str">
        <f t="shared" si="4"/>
        <v/>
      </c>
      <c r="L30" s="14" t="str">
        <f t="shared" si="4"/>
        <v/>
      </c>
      <c r="N30" t="s">
        <v>174</v>
      </c>
    </row>
    <row r="31" spans="1:14" x14ac:dyDescent="0.35">
      <c r="A31" t="str">
        <f t="shared" si="3"/>
        <v xml:space="preserve">    Lower Basin Balance</v>
      </c>
      <c r="B31" s="109">
        <f>C21-C23-B32</f>
        <v>4.2614069999999993</v>
      </c>
      <c r="C31" s="106">
        <f t="shared" ref="C31:C35" si="5">IF(OR(C$26="",$A31=""),"",B31)</f>
        <v>4.2614069999999993</v>
      </c>
      <c r="D31" s="14">
        <f t="shared" ref="D31:L31" ca="1" si="6">IF(OR(D$26="",$A31=""),"",C122)</f>
        <v>4.0699815232907888</v>
      </c>
      <c r="E31" s="14">
        <f t="shared" ca="1" si="6"/>
        <v>2.8610195042827629</v>
      </c>
      <c r="F31" s="14">
        <f t="shared" ca="1" si="6"/>
        <v>0.86795057260783626</v>
      </c>
      <c r="G31" s="14">
        <f t="shared" ca="1" si="6"/>
        <v>0.63775738801431459</v>
      </c>
      <c r="H31" s="14" t="str">
        <f t="shared" si="6"/>
        <v/>
      </c>
      <c r="I31" s="14" t="str">
        <f t="shared" si="6"/>
        <v/>
      </c>
      <c r="J31" s="14" t="str">
        <f t="shared" si="6"/>
        <v/>
      </c>
      <c r="K31" s="14" t="str">
        <f t="shared" si="6"/>
        <v/>
      </c>
      <c r="L31" s="14" t="str">
        <f t="shared" si="6"/>
        <v/>
      </c>
      <c r="N31" t="s">
        <v>171</v>
      </c>
    </row>
    <row r="32" spans="1:14" x14ac:dyDescent="0.35">
      <c r="A32" t="str">
        <f t="shared" si="3"/>
        <v xml:space="preserve">    Mexico Balance</v>
      </c>
      <c r="B32" s="110">
        <v>0.17399999999999999</v>
      </c>
      <c r="C32" s="107">
        <f t="shared" si="5"/>
        <v>0.17399999999999999</v>
      </c>
      <c r="D32" s="50">
        <f t="shared" ref="D32:L32" ca="1" si="7">IF(OR(D$26="",$A32=""),"",C123)</f>
        <v>0.11290630981105854</v>
      </c>
      <c r="E32" s="50">
        <f t="shared" ca="1" si="7"/>
        <v>0.35457819453003792</v>
      </c>
      <c r="F32" s="50">
        <f t="shared" ca="1" si="7"/>
        <v>0.14878105251659535</v>
      </c>
      <c r="G32" s="50">
        <f t="shared" ca="1" si="7"/>
        <v>5.3553976712210183E-2</v>
      </c>
      <c r="H32" s="14" t="str">
        <f t="shared" si="7"/>
        <v/>
      </c>
      <c r="I32" s="14" t="str">
        <f t="shared" si="7"/>
        <v/>
      </c>
      <c r="J32" s="14" t="str">
        <f t="shared" si="7"/>
        <v/>
      </c>
      <c r="K32" s="14" t="str">
        <f t="shared" si="7"/>
        <v/>
      </c>
      <c r="L32" s="14" t="str">
        <f t="shared" si="7"/>
        <v/>
      </c>
      <c r="N32" t="s">
        <v>170</v>
      </c>
    </row>
    <row r="33" spans="1:14" x14ac:dyDescent="0.35">
      <c r="A33" t="str">
        <f t="shared" si="3"/>
        <v xml:space="preserve">    Shared, Reserve Balance</v>
      </c>
      <c r="B33" s="109">
        <f>SUM(B23:C23)</f>
        <v>11.59116925</v>
      </c>
      <c r="C33" s="106">
        <f t="shared" si="5"/>
        <v>11.59116925</v>
      </c>
      <c r="D33" s="14">
        <f t="shared" ref="D33:L33" ca="1" si="8">IF(OR(D$26="",$A33=""),"",C124)</f>
        <v>11.59116925</v>
      </c>
      <c r="E33" s="14">
        <f t="shared" ca="1" si="8"/>
        <v>11.59116925</v>
      </c>
      <c r="F33" s="14">
        <f t="shared" ca="1" si="8"/>
        <v>11.59116925</v>
      </c>
      <c r="G33" s="14">
        <f t="shared" ca="1" si="8"/>
        <v>11.59116925</v>
      </c>
      <c r="H33" s="14" t="str">
        <f t="shared" si="8"/>
        <v/>
      </c>
      <c r="I33" s="14" t="str">
        <f t="shared" si="8"/>
        <v/>
      </c>
      <c r="J33" s="14" t="str">
        <f t="shared" si="8"/>
        <v/>
      </c>
      <c r="K33" s="14" t="str">
        <f t="shared" si="8"/>
        <v/>
      </c>
      <c r="L33" s="14" t="str">
        <f t="shared" si="8"/>
        <v/>
      </c>
    </row>
    <row r="34" spans="1:14" x14ac:dyDescent="0.35">
      <c r="A34" t="str">
        <f t="shared" si="3"/>
        <v/>
      </c>
      <c r="B34" s="109"/>
      <c r="C34" s="106" t="str">
        <f t="shared" si="5"/>
        <v/>
      </c>
      <c r="D34" s="14" t="str">
        <f t="shared" ref="D34:L34" si="9">IF(OR(D$26="",$A34=""),"",C125)</f>
        <v/>
      </c>
      <c r="E34" s="14" t="str">
        <f t="shared" si="9"/>
        <v/>
      </c>
      <c r="F34" s="14" t="str">
        <f t="shared" si="9"/>
        <v/>
      </c>
      <c r="G34" s="14" t="str">
        <f t="shared" si="9"/>
        <v/>
      </c>
      <c r="H34" s="14" t="str">
        <f t="shared" si="9"/>
        <v/>
      </c>
      <c r="I34" s="14" t="str">
        <f t="shared" si="9"/>
        <v/>
      </c>
      <c r="J34" s="14" t="str">
        <f t="shared" si="9"/>
        <v/>
      </c>
      <c r="K34" s="14" t="str">
        <f t="shared" si="9"/>
        <v/>
      </c>
      <c r="L34" s="14" t="str">
        <f t="shared" si="9"/>
        <v/>
      </c>
      <c r="N34" t="s">
        <v>173</v>
      </c>
    </row>
    <row r="35" spans="1:14" x14ac:dyDescent="0.35">
      <c r="A35" t="str">
        <f t="shared" si="3"/>
        <v/>
      </c>
      <c r="B35" s="111"/>
      <c r="C35" s="106" t="str">
        <f t="shared" si="5"/>
        <v/>
      </c>
      <c r="D35" s="14" t="str">
        <f t="shared" ref="D35:L35" si="10">IF(OR(D$26="",$A35=""),"",C126)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35">
      <c r="A36" s="1" t="s">
        <v>193</v>
      </c>
      <c r="C36"/>
    </row>
    <row r="37" spans="1:14" x14ac:dyDescent="0.35">
      <c r="A37" t="s">
        <v>111</v>
      </c>
      <c r="C37" s="14">
        <f>IF(C$26&lt;&gt;"",B21,"")</f>
        <v>11</v>
      </c>
      <c r="D37" s="14">
        <f ca="1">IF(D$26&lt;&gt;"",C129,"")</f>
        <v>9.6390511600000135</v>
      </c>
      <c r="E37" s="14">
        <f t="shared" ref="E37:G37" ca="1" si="11">IF(E$26&lt;&gt;"",D129,"")</f>
        <v>10.797437667900393</v>
      </c>
      <c r="F37" s="14">
        <f t="shared" ca="1" si="11"/>
        <v>12.703688321400545</v>
      </c>
      <c r="G37" s="14">
        <f t="shared" ca="1" si="11"/>
        <v>6.5515315237500023</v>
      </c>
      <c r="H37" s="14" t="str">
        <f t="shared" ref="H37:H38" si="12">IF(H$26&lt;&gt;"",G129,"")</f>
        <v/>
      </c>
      <c r="I37" s="14" t="str">
        <f t="shared" ref="I37:I38" si="13">IF(I$26&lt;&gt;"",H129,"")</f>
        <v/>
      </c>
      <c r="J37" s="14" t="str">
        <f t="shared" ref="J37:J38" si="14">IF(J$26&lt;&gt;"",I129,"")</f>
        <v/>
      </c>
      <c r="K37" s="14" t="str">
        <f t="shared" ref="K37:K38" si="15">IF(K$26&lt;&gt;"",J129,"")</f>
        <v/>
      </c>
      <c r="L37" s="14" t="str">
        <f t="shared" ref="L37:L38" si="16">IF(L$26&lt;&gt;"",K129,"")</f>
        <v/>
      </c>
    </row>
    <row r="38" spans="1:14" x14ac:dyDescent="0.35">
      <c r="A38" t="s">
        <v>112</v>
      </c>
      <c r="C38" s="14">
        <f>IF(C$26&lt;&gt;"",C21,"")</f>
        <v>10.1</v>
      </c>
      <c r="D38" s="14">
        <f ca="1">IF(D$26&lt;&gt;"",C130,"")</f>
        <v>9.6390511600000135</v>
      </c>
      <c r="E38" s="14">
        <f t="shared" ref="E38:G38" ca="1" si="17">IF(E$26&lt;&gt;"",D130,"")</f>
        <v>5.8140048981002117</v>
      </c>
      <c r="F38" s="14">
        <f t="shared" ca="1" si="17"/>
        <v>1.4115209246000602</v>
      </c>
      <c r="G38" s="14">
        <f t="shared" ca="1" si="17"/>
        <v>6.5515315237500023</v>
      </c>
      <c r="H38" s="14" t="str">
        <f t="shared" si="12"/>
        <v/>
      </c>
      <c r="I38" s="14" t="str">
        <f t="shared" si="13"/>
        <v/>
      </c>
      <c r="J38" s="14" t="str">
        <f t="shared" si="14"/>
        <v/>
      </c>
      <c r="K38" s="14" t="str">
        <f t="shared" si="15"/>
        <v/>
      </c>
      <c r="L38" s="14" t="str">
        <f t="shared" si="16"/>
        <v/>
      </c>
    </row>
    <row r="39" spans="1:14" x14ac:dyDescent="0.3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0.96665975399942705</v>
      </c>
      <c r="E39" s="14">
        <f ca="1">IF(E$26&lt;&gt;"",VLOOKUP(E37*1000000,'Powell-Elevation-Area'!$B$5:$D$689,3)*$B$20/1000000 + VLOOKUP(E38*1000000,'Mead-Elevation-Area'!$B$5:$D$676,3)*$C$20/1000000,"")</f>
        <v>0.89623332000000011</v>
      </c>
      <c r="F39" s="14">
        <f ca="1">IF(F$26&lt;&gt;"",VLOOKUP(F37*1000000,'Powell-Elevation-Area'!$B$5:$D$689,3)*$B$20/1000000 + VLOOKUP(F38*1000000,'Mead-Elevation-Area'!$B$5:$D$676,3)*$C$20/1000000,"")</f>
        <v>0.8121461985006001</v>
      </c>
      <c r="G39" s="14">
        <f ca="1">IF(G$26&lt;&gt;"",VLOOKUP(G37*1000000,'Powell-Elevation-Area'!$B$5:$D$689,3)*$B$20/1000000 + VLOOKUP(G38*1000000,'Mead-Elevation-Area'!$B$5:$D$676,3)*$C$20/1000000,"")</f>
        <v>0.77339183249999999</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8">IF(A5="","","    "&amp;A5&amp;" Share")</f>
        <v xml:space="preserve">    Upper Basin Share</v>
      </c>
      <c r="B40" s="1"/>
      <c r="C40" s="14">
        <f t="shared" ref="C40:C45" si="19">IF(OR(C$26="",$A40=""),"",C$39*C30/C$29)</f>
        <v>0.24571184643515467</v>
      </c>
      <c r="D40" s="14">
        <f t="shared" ref="D40:L40" ca="1" si="20">IF(OR(D$26="",$A40=""),"",D$39*D30/D$29)</f>
        <v>0.175702953043713</v>
      </c>
      <c r="E40" s="14">
        <f t="shared" ca="1" si="20"/>
        <v>9.7367246311629893E-2</v>
      </c>
      <c r="F40" s="14">
        <f t="shared" ca="1" si="20"/>
        <v>8.6725938102693606E-2</v>
      </c>
      <c r="G40" s="14">
        <f t="shared" ca="1" si="20"/>
        <v>4.8433847040144862E-2</v>
      </c>
      <c r="H40" s="14" t="str">
        <f t="shared" si="20"/>
        <v/>
      </c>
      <c r="I40" s="14" t="str">
        <f t="shared" si="20"/>
        <v/>
      </c>
      <c r="J40" s="14" t="str">
        <f t="shared" si="20"/>
        <v/>
      </c>
      <c r="K40" s="14" t="str">
        <f t="shared" si="20"/>
        <v/>
      </c>
      <c r="L40" s="14" t="str">
        <f t="shared" si="20"/>
        <v/>
      </c>
    </row>
    <row r="41" spans="1:14" x14ac:dyDescent="0.35">
      <c r="A41" t="str">
        <f t="shared" si="18"/>
        <v xml:space="preserve">    Lower Basin Share</v>
      </c>
      <c r="B41" s="1"/>
      <c r="C41" s="14">
        <f t="shared" si="19"/>
        <v>0.20638492544244763</v>
      </c>
      <c r="D41" s="14">
        <f t="shared" ref="D41:L41" ca="1" si="21">IF(OR(D$26="",$A41=""),"",D$39*D31/D$29)</f>
        <v>0.2040806337045358</v>
      </c>
      <c r="E41" s="14">
        <f t="shared" ca="1" si="21"/>
        <v>0.15435992381277222</v>
      </c>
      <c r="F41" s="14">
        <f t="shared" ca="1" si="21"/>
        <v>4.9939235454805608E-2</v>
      </c>
      <c r="G41" s="14">
        <f t="shared" ca="1" si="21"/>
        <v>3.7642828491229095E-2</v>
      </c>
      <c r="H41" s="14" t="str">
        <f t="shared" si="21"/>
        <v/>
      </c>
      <c r="I41" s="14" t="str">
        <f t="shared" si="21"/>
        <v/>
      </c>
      <c r="J41" s="14" t="str">
        <f t="shared" si="21"/>
        <v/>
      </c>
      <c r="K41" s="14" t="str">
        <f t="shared" si="21"/>
        <v/>
      </c>
      <c r="L41" s="14" t="str">
        <f t="shared" si="21"/>
        <v/>
      </c>
    </row>
    <row r="42" spans="1:14" x14ac:dyDescent="0.35">
      <c r="A42" t="str">
        <f t="shared" si="18"/>
        <v xml:space="preserve">    Mexico Share</v>
      </c>
      <c r="B42" s="1"/>
      <c r="C42" s="14">
        <f t="shared" si="19"/>
        <v>8.4270235222746598E-3</v>
      </c>
      <c r="D42" s="14">
        <f t="shared" ref="D42:L42" ca="1" si="22">IF(OR(D$26="",$A42=""),"",D$39*D32/D$29)</f>
        <v>5.6614486143541122E-3</v>
      </c>
      <c r="E42" s="14">
        <f t="shared" ca="1" si="22"/>
        <v>1.9130475346776102E-2</v>
      </c>
      <c r="F42" s="14">
        <f t="shared" ca="1" si="22"/>
        <v>8.5604091377184163E-3</v>
      </c>
      <c r="G42" s="14">
        <f t="shared" ca="1" si="22"/>
        <v>3.1609561853570512E-3</v>
      </c>
      <c r="H42" s="14" t="str">
        <f t="shared" si="22"/>
        <v/>
      </c>
      <c r="I42" s="14" t="str">
        <f t="shared" si="22"/>
        <v/>
      </c>
      <c r="J42" s="14" t="str">
        <f t="shared" si="22"/>
        <v/>
      </c>
      <c r="K42" s="14" t="str">
        <f t="shared" si="22"/>
        <v/>
      </c>
      <c r="L42" s="14" t="str">
        <f t="shared" si="22"/>
        <v/>
      </c>
    </row>
    <row r="43" spans="1:14" x14ac:dyDescent="0.35">
      <c r="A43" t="str">
        <f t="shared" si="18"/>
        <v xml:space="preserve">    Shared, Reserve Share</v>
      </c>
      <c r="B43" s="1"/>
      <c r="C43" s="14">
        <f t="shared" si="19"/>
        <v>0.56137388460009618</v>
      </c>
      <c r="D43" s="14">
        <f t="shared" ref="D43:L43" ca="1" si="23">IF(OR(D$26="",$A43=""),"",D$39*D33/D$29)</f>
        <v>0.58121471863682417</v>
      </c>
      <c r="E43" s="14">
        <f t="shared" ca="1" si="23"/>
        <v>0.62537567452882192</v>
      </c>
      <c r="F43" s="14">
        <f t="shared" ca="1" si="23"/>
        <v>0.66692061580538253</v>
      </c>
      <c r="G43" s="14">
        <f t="shared" ca="1" si="23"/>
        <v>0.68415420078326905</v>
      </c>
      <c r="H43" s="14" t="str">
        <f t="shared" si="23"/>
        <v/>
      </c>
      <c r="I43" s="14" t="str">
        <f t="shared" si="23"/>
        <v/>
      </c>
      <c r="J43" s="14" t="str">
        <f t="shared" si="23"/>
        <v/>
      </c>
      <c r="K43" s="14" t="str">
        <f t="shared" si="23"/>
        <v/>
      </c>
      <c r="L43" s="14" t="str">
        <f t="shared" si="23"/>
        <v/>
      </c>
    </row>
    <row r="44" spans="1:14" x14ac:dyDescent="0.35">
      <c r="A44" t="str">
        <f t="shared" si="18"/>
        <v/>
      </c>
      <c r="B44" s="1"/>
      <c r="C44" s="14" t="str">
        <f t="shared" si="19"/>
        <v/>
      </c>
      <c r="D44" s="14" t="str">
        <f t="shared" ref="D44:L44" si="24">IF(OR(D$26="",$A44=""),"",D$39*D34/D$29)</f>
        <v/>
      </c>
      <c r="E44" s="14" t="str">
        <f t="shared" si="24"/>
        <v/>
      </c>
      <c r="F44" s="14" t="str">
        <f t="shared" si="24"/>
        <v/>
      </c>
      <c r="G44" s="14" t="str">
        <f t="shared" si="24"/>
        <v/>
      </c>
      <c r="H44" s="14" t="str">
        <f t="shared" si="24"/>
        <v/>
      </c>
      <c r="I44" s="14" t="str">
        <f t="shared" si="24"/>
        <v/>
      </c>
      <c r="J44" s="14" t="str">
        <f t="shared" si="24"/>
        <v/>
      </c>
      <c r="K44" s="14" t="str">
        <f t="shared" si="24"/>
        <v/>
      </c>
      <c r="L44" s="14" t="str">
        <f t="shared" si="24"/>
        <v/>
      </c>
    </row>
    <row r="45" spans="1:14" x14ac:dyDescent="0.35">
      <c r="A45" t="str">
        <f t="shared" si="18"/>
        <v/>
      </c>
      <c r="B45" s="1"/>
      <c r="C45" s="14" t="str">
        <f t="shared" si="19"/>
        <v/>
      </c>
      <c r="D45" s="14" t="str">
        <f t="shared" ref="D45:L45" si="25">IF(OR(D$26="",$A45=""),"",D$39*D35/D$29)</f>
        <v/>
      </c>
      <c r="E45" s="14" t="str">
        <f t="shared" si="25"/>
        <v/>
      </c>
      <c r="F45" s="14" t="str">
        <f t="shared" si="25"/>
        <v/>
      </c>
      <c r="G45" s="14" t="str">
        <f t="shared" si="25"/>
        <v/>
      </c>
      <c r="H45" s="14" t="str">
        <f t="shared" si="25"/>
        <v/>
      </c>
      <c r="I45" s="14" t="str">
        <f t="shared" si="25"/>
        <v/>
      </c>
      <c r="J45" s="14" t="str">
        <f t="shared" si="25"/>
        <v/>
      </c>
      <c r="K45" s="14" t="str">
        <f t="shared" si="25"/>
        <v/>
      </c>
      <c r="L45" s="14" t="str">
        <f t="shared" si="25"/>
        <v/>
      </c>
    </row>
    <row r="46" spans="1:14" x14ac:dyDescent="0.3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1.2133333333333334</v>
      </c>
      <c r="F46" s="47">
        <f ca="1">IF(F$26&lt;&gt;"",1.5-0.21/9/2-VLOOKUP(F38,MandatoryConservation!$C$5:$P$13,13),"")</f>
        <v>1.2133333333333334</v>
      </c>
      <c r="G46" s="47">
        <f ca="1">IF(G$26&lt;&gt;"",1.5-0.21/9/2-VLOOKUP(G38,MandatoryConservation!$C$5:$P$13,13),"")</f>
        <v>1.3263333333333334</v>
      </c>
      <c r="H46" s="47" t="str">
        <f>IF(H$26&lt;&gt;"",1.5-0.21/9/2-VLOOKUP(H38,MandatoryConservation!$C$5:$P$13,13),"")</f>
        <v/>
      </c>
      <c r="I46" s="47" t="str">
        <f>IF(I$26&lt;&gt;"",1.5-0.21/9/2-VLOOKUP(I38,MandatoryConservation!$C$5:$P$13,13),"")</f>
        <v/>
      </c>
      <c r="J46" s="47" t="str">
        <f>IF(J$26&lt;&gt;"",1.5-0.21/9/2-VLOOKUP(J38,MandatoryConservation!$C$5:$P$13,13),"")</f>
        <v/>
      </c>
      <c r="K46" s="47" t="str">
        <f>IF(K$26&lt;&gt;"",1.5-0.21/9/2-VLOOKUP(K38,MandatoryConservation!$C$5:$P$13,13),"")</f>
        <v/>
      </c>
      <c r="L46" s="47" t="str">
        <f>IF(L$26&lt;&gt;"",1.5-0.21/9/2-VLOOKUP(L38,MandatoryConservation!$C$5:$P$13,13),"")</f>
        <v/>
      </c>
    </row>
    <row r="47" spans="1:14" x14ac:dyDescent="0.35">
      <c r="A47" s="1" t="s">
        <v>279</v>
      </c>
      <c r="B47" s="1"/>
      <c r="C47" s="49">
        <f>IF(C26="","",SUM(C26:C27)-C28)</f>
        <v>11.200000000000001</v>
      </c>
      <c r="D47" s="49">
        <f t="shared" ref="D47:L47" si="26">IF(D26="","",SUM(D26:D27)-D28)</f>
        <v>9.2000000000000011</v>
      </c>
      <c r="E47" s="14">
        <f>IF(E26="","",SUM(E26:E27)-E28)</f>
        <v>8.3000000000000007</v>
      </c>
      <c r="F47" s="49">
        <f t="shared" si="26"/>
        <v>8.3000000000000007</v>
      </c>
      <c r="G47" s="49">
        <f t="shared" si="26"/>
        <v>8.3000000000000007</v>
      </c>
      <c r="H47" s="49" t="str">
        <f t="shared" si="26"/>
        <v/>
      </c>
      <c r="I47" s="49" t="str">
        <f t="shared" si="26"/>
        <v/>
      </c>
      <c r="J47" s="49" t="str">
        <f t="shared" si="26"/>
        <v/>
      </c>
      <c r="K47" s="49" t="str">
        <f t="shared" si="26"/>
        <v/>
      </c>
      <c r="L47" s="49" t="str">
        <f t="shared" si="26"/>
        <v/>
      </c>
      <c r="M47" s="43"/>
      <c r="N47" s="43"/>
    </row>
    <row r="48" spans="1:14" x14ac:dyDescent="0.35">
      <c r="A48" t="str">
        <f t="shared" ref="A48:A53" si="27">IF(A5="","","    To "&amp;A5)</f>
        <v xml:space="preserve">    To Upper Basin</v>
      </c>
      <c r="B48" s="127" t="s">
        <v>144</v>
      </c>
      <c r="C48" s="106">
        <f>IF(OR(C$26="",$A48=""),"",MAX(0,C47-SUM(C49:C53)))</f>
        <v>2.7763333333333353</v>
      </c>
      <c r="D48" s="106">
        <f ca="1">IF(OR(D$26="",$A48=""),"",MAX(0,D47-SUM(D49:D53)))</f>
        <v>0.77633333333333532</v>
      </c>
      <c r="E48" s="106">
        <f t="shared" ref="E48:G48" ca="1" si="28">IF(OR(E$26="",$A48=""),"",MAX(0,E47-SUM(E49:E53)))</f>
        <v>0</v>
      </c>
      <c r="F48" s="106">
        <f t="shared" ca="1" si="28"/>
        <v>0</v>
      </c>
      <c r="G48" s="106">
        <f t="shared" ca="1" si="28"/>
        <v>1.7763568394002505E-15</v>
      </c>
      <c r="H48" s="106" t="str">
        <f t="shared" ref="H48" si="29">IF(OR(H$26="",$A48=""),"",MAX(0,H47-SUM(H49:H53)))</f>
        <v/>
      </c>
      <c r="I48" s="106" t="str">
        <f t="shared" ref="I48" si="30">IF(OR(I$26="",$A48=""),"",MAX(0,I47-SUM(I49:I53)))</f>
        <v/>
      </c>
      <c r="J48" s="106" t="str">
        <f t="shared" ref="J48" si="31">IF(OR(J$26="",$A48=""),"",MAX(0,J47-SUM(J49:J53)))</f>
        <v/>
      </c>
      <c r="K48" s="106" t="str">
        <f t="shared" ref="K48" si="32">IF(OR(K$26="",$A48=""),"",MAX(0,K47-SUM(K49:K53)))</f>
        <v/>
      </c>
      <c r="L48" s="106" t="str">
        <f t="shared" ref="L48" si="33">IF(OR(L$26="",$A48=""),"",MAX(0,L47-SUM(L49:L53)))</f>
        <v/>
      </c>
      <c r="M48" s="27"/>
      <c r="N48" s="27"/>
    </row>
    <row r="49" spans="1:14" x14ac:dyDescent="0.35">
      <c r="A49" t="str">
        <f t="shared" si="27"/>
        <v xml:space="preserve">    To Lower Basin</v>
      </c>
      <c r="B49" s="128">
        <f>7.5</f>
        <v>7.5</v>
      </c>
      <c r="C49" s="106">
        <f>IF(OR(C$26="",$A49=""),"",C27-C28-C51-C50/2+MIN($B49,C26-C50/2))</f>
        <v>6.4149594487332369</v>
      </c>
      <c r="D49" s="14">
        <f t="shared" ref="D49:G49" ca="1" si="34">IF(OR(D$26="",$A49=""),"",D27-D28-D51-D50/2+MIN($B49,D26-D50/2))</f>
        <v>6.3951186146965089</v>
      </c>
      <c r="E49" s="14">
        <f ca="1">IF(OR(E$26="",$A49=""),"",E27-E28-E51-E50/2+MIN($B49,E26-E50/2))</f>
        <v>6.4612909921378447</v>
      </c>
      <c r="F49" s="14">
        <f t="shared" ca="1" si="34"/>
        <v>6.419746050861284</v>
      </c>
      <c r="G49" s="14">
        <f t="shared" ca="1" si="34"/>
        <v>6.289512465883397</v>
      </c>
      <c r="H49" s="14" t="str">
        <f t="shared" ref="H49:L49" si="35">IF(OR(H$26="",$A49=""),"",H27-H28-H51-H50/2+MIN($B49,H26-H50/2))</f>
        <v/>
      </c>
      <c r="I49" s="14" t="str">
        <f t="shared" si="35"/>
        <v/>
      </c>
      <c r="J49" s="14" t="str">
        <f t="shared" si="35"/>
        <v/>
      </c>
      <c r="K49" s="14" t="str">
        <f t="shared" si="35"/>
        <v/>
      </c>
      <c r="L49" s="14" t="str">
        <f t="shared" si="35"/>
        <v/>
      </c>
      <c r="M49" s="27"/>
      <c r="N49" s="27"/>
    </row>
    <row r="50" spans="1:14" x14ac:dyDescent="0.35">
      <c r="A50" t="str">
        <f t="shared" si="27"/>
        <v xml:space="preserve">    To Mexico</v>
      </c>
      <c r="B50" s="128" t="s">
        <v>182</v>
      </c>
      <c r="C50" s="106">
        <f>IF(OR(C$26="",$A50=""),"",IF(C$47&gt;SUM(C51:C52,C46),C46,C$47-SUM(C51:C52)))</f>
        <v>1.4473333333333334</v>
      </c>
      <c r="D50" s="14">
        <f t="shared" ref="D50:G50" ca="1" si="36">IF(OR(D$26="",$A50=""),"",IF(D$47&gt;SUM(D51:D52,D46),D46,D$47-SUM(D51:D52)))</f>
        <v>1.4473333333333334</v>
      </c>
      <c r="E50" s="14">
        <f ca="1">IF(OR(E$26="",$A50=""),"",IF(E$47&gt;SUM(E51:E52,E46),E46,E$47-SUM(E51:E52)))</f>
        <v>1.2133333333333334</v>
      </c>
      <c r="F50" s="14">
        <f t="shared" ca="1" si="36"/>
        <v>1.2133333333333334</v>
      </c>
      <c r="G50" s="14">
        <f t="shared" ca="1" si="36"/>
        <v>1.3263333333333334</v>
      </c>
      <c r="H50" s="14" t="str">
        <f t="shared" ref="H50:L50" si="37">IF(OR(H$26="",$A50=""),"",IF(H$47&gt;SUM(H51:H52,H46),H46,H$47-SUM(H51:H52)))</f>
        <v/>
      </c>
      <c r="I50" s="14" t="str">
        <f t="shared" si="37"/>
        <v/>
      </c>
      <c r="J50" s="14" t="str">
        <f t="shared" si="37"/>
        <v/>
      </c>
      <c r="K50" s="14" t="str">
        <f t="shared" si="37"/>
        <v/>
      </c>
      <c r="L50" s="14" t="str">
        <f t="shared" si="37"/>
        <v/>
      </c>
      <c r="M50" s="27"/>
      <c r="N50" s="27"/>
    </row>
    <row r="51" spans="1:14" x14ac:dyDescent="0.35">
      <c r="A51" t="str">
        <f t="shared" si="27"/>
        <v xml:space="preserve">    To Shared, Reserve</v>
      </c>
      <c r="B51" s="128" t="s">
        <v>181</v>
      </c>
      <c r="C51" s="106">
        <f>IF(OR(C$26="",$A51=""),"",IF(C$47&gt;C43,C43,C47))</f>
        <v>0.56137388460009618</v>
      </c>
      <c r="D51" s="14">
        <f t="shared" ref="D51:G51" ca="1" si="38">IF(OR(D$26="",$A51=""),"",IF(D$47&gt;D43,D43,D47))</f>
        <v>0.58121471863682417</v>
      </c>
      <c r="E51" s="14">
        <f t="shared" ca="1" si="38"/>
        <v>0.62537567452882192</v>
      </c>
      <c r="F51" s="14">
        <f t="shared" ca="1" si="38"/>
        <v>0.66692061580538253</v>
      </c>
      <c r="G51" s="14">
        <f t="shared" ca="1" si="38"/>
        <v>0.68415420078326905</v>
      </c>
      <c r="H51" s="14" t="str">
        <f t="shared" ref="H51:L51" si="39">IF(OR(H$26="",$A51=""),"",IF(H$47&gt;H43,H43,H47))</f>
        <v/>
      </c>
      <c r="I51" s="14" t="str">
        <f t="shared" si="39"/>
        <v/>
      </c>
      <c r="J51" s="14" t="str">
        <f t="shared" si="39"/>
        <v/>
      </c>
      <c r="K51" s="14" t="str">
        <f t="shared" si="39"/>
        <v/>
      </c>
      <c r="L51" s="14" t="str">
        <f t="shared" si="39"/>
        <v/>
      </c>
      <c r="M51" s="27"/>
      <c r="N51" s="27"/>
    </row>
    <row r="52" spans="1:14" x14ac:dyDescent="0.35">
      <c r="A52" t="str">
        <f t="shared" si="27"/>
        <v/>
      </c>
      <c r="B52" s="128"/>
      <c r="C52" s="106"/>
      <c r="D52" s="14"/>
      <c r="E52" s="14"/>
      <c r="F52" s="14"/>
      <c r="G52" s="14"/>
      <c r="H52" s="14"/>
      <c r="I52" s="14"/>
      <c r="J52" s="14"/>
      <c r="K52" s="14"/>
      <c r="L52" s="14"/>
      <c r="M52" s="27"/>
      <c r="N52" s="27"/>
    </row>
    <row r="53" spans="1:14" x14ac:dyDescent="0.35">
      <c r="A53" t="str">
        <f t="shared" si="27"/>
        <v/>
      </c>
      <c r="B53" s="128"/>
      <c r="C53" s="107"/>
      <c r="D53" s="50"/>
      <c r="E53" s="50"/>
      <c r="F53" s="50"/>
      <c r="G53" s="50"/>
      <c r="H53" s="50"/>
      <c r="I53" s="50"/>
      <c r="J53" s="50"/>
      <c r="K53" s="50"/>
      <c r="L53" s="50"/>
      <c r="M53" s="27"/>
      <c r="N53" s="27"/>
    </row>
    <row r="54" spans="1:14" x14ac:dyDescent="0.35">
      <c r="C54" s="43"/>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Sales(+) and Purchases(-) [maf]")</f>
        <v xml:space="preserve">   Volume of Sales(+) and Purchases(-) [maf]</v>
      </c>
      <c r="C57" s="123">
        <v>0.6</v>
      </c>
      <c r="D57" s="123">
        <v>-0.6</v>
      </c>
      <c r="E57" s="123">
        <v>-1.8</v>
      </c>
      <c r="F57" s="123">
        <f>-F73</f>
        <v>-0.1</v>
      </c>
      <c r="G57" s="123"/>
      <c r="H57" s="123"/>
      <c r="I57" s="123"/>
      <c r="J57" s="123"/>
      <c r="K57" s="123"/>
      <c r="L57" s="123"/>
      <c r="M57" s="65">
        <f>SUM(C57:L57)</f>
        <v>-1.9000000000000001</v>
      </c>
      <c r="N57" t="str">
        <f>IF(A57="","","Add if multiple transactions, e.g.: 0.5 + 0.25")</f>
        <v>Add if multiple transactions, e.g.: 0.5 + 0.25</v>
      </c>
    </row>
    <row r="58" spans="1:14" x14ac:dyDescent="0.35">
      <c r="A58" s="30" t="str">
        <f>IF(A57="","","   Cash Intake(+) and Payments(-) [$ Mill]")</f>
        <v xml:space="preserve">   Cash Intake(+) and Payments(-) [$ Mill]</v>
      </c>
      <c r="C58" s="124">
        <f>1000*C57</f>
        <v>600</v>
      </c>
      <c r="D58" s="124">
        <f>1000*D57</f>
        <v>-600</v>
      </c>
      <c r="E58" s="124">
        <f>-1.6*1000-0.2*1500</f>
        <v>-1900</v>
      </c>
      <c r="F58" s="123">
        <f>-F74</f>
        <v>-150</v>
      </c>
      <c r="G58" s="124"/>
      <c r="H58" s="124"/>
      <c r="I58" s="124"/>
      <c r="J58" s="124"/>
      <c r="K58" s="124"/>
      <c r="L58" s="124"/>
      <c r="M58" s="63">
        <f>SUM(C58:L58)</f>
        <v>-2050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40">IF(OR(C$26="",$A59=""),"",C$112)</f>
        <v>0</v>
      </c>
      <c r="D59" s="65">
        <f t="shared" ca="1" si="40"/>
        <v>0</v>
      </c>
      <c r="E59" s="65">
        <f t="shared" ca="1" si="40"/>
        <v>5.5511151231257827E-17</v>
      </c>
      <c r="F59" s="65">
        <f t="shared" ca="1" si="40"/>
        <v>0</v>
      </c>
      <c r="G59" s="65">
        <f t="shared" ca="1" si="40"/>
        <v>0</v>
      </c>
      <c r="H59" s="65" t="str">
        <f t="shared" si="40"/>
        <v/>
      </c>
      <c r="I59" s="65" t="str">
        <f t="shared" si="40"/>
        <v/>
      </c>
      <c r="J59" s="65" t="str">
        <f t="shared" si="40"/>
        <v/>
      </c>
      <c r="K59" s="65" t="str">
        <f t="shared" si="40"/>
        <v/>
      </c>
      <c r="L59" s="65" t="str">
        <f t="shared" si="40"/>
        <v/>
      </c>
      <c r="M59" t="str">
        <f t="shared" si="40"/>
        <v/>
      </c>
      <c r="N59" t="str">
        <f>IF(A59="","","If non-zero, players need to change amount(s)")</f>
        <v>If non-zero, players need to change amount(s)</v>
      </c>
    </row>
    <row r="60" spans="1:14" x14ac:dyDescent="0.35">
      <c r="A60" s="1" t="str">
        <f>IF(A58="","","   Available Water [maf]")</f>
        <v xml:space="preserve">   Available Water [maf]</v>
      </c>
      <c r="C60" s="14">
        <f>IF(OR(C$26="",$A60=""),"",C30+C48-C40-C57)</f>
        <v>7.0040452368981807</v>
      </c>
      <c r="D60" s="14">
        <f t="shared" ref="D60:L60" ca="1" si="41">IF(OR(D$26="",$A60=""),"",D30+D48-D40-D57)</f>
        <v>4.704675617187803</v>
      </c>
      <c r="E60" s="14">
        <f t="shared" ca="1" si="41"/>
        <v>3.5073083708761734</v>
      </c>
      <c r="F60" s="14">
        <f t="shared" ca="1" si="41"/>
        <v>1.5205824327734798</v>
      </c>
      <c r="G60" s="14">
        <f t="shared" ca="1" si="41"/>
        <v>0.77214858573333678</v>
      </c>
      <c r="H60" s="14" t="str">
        <f t="shared" si="41"/>
        <v/>
      </c>
      <c r="I60" s="14" t="str">
        <f t="shared" si="41"/>
        <v/>
      </c>
      <c r="J60" s="14" t="str">
        <f t="shared" si="41"/>
        <v/>
      </c>
      <c r="K60" s="14" t="str">
        <f t="shared" si="41"/>
        <v/>
      </c>
      <c r="L60" s="14" t="str">
        <f t="shared" si="41"/>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v>3.5</v>
      </c>
      <c r="D61" s="125">
        <v>2.9</v>
      </c>
      <c r="E61" s="125">
        <v>2</v>
      </c>
      <c r="F61" s="125">
        <v>0.7</v>
      </c>
      <c r="G61" s="125">
        <v>0.3</v>
      </c>
      <c r="H61" s="125"/>
      <c r="I61" s="125"/>
      <c r="J61" s="125"/>
      <c r="K61" s="125"/>
      <c r="L61" s="125"/>
      <c r="N61" t="str">
        <f>IF(A61="","","Must be less than Available water")</f>
        <v>Must be less than Available water</v>
      </c>
    </row>
    <row r="62" spans="1:14" x14ac:dyDescent="0.35">
      <c r="A62" s="30" t="str">
        <f>IF(A61="","","   End of Year Balance [maf]")</f>
        <v xml:space="preserve">   End of Year Balance [maf]</v>
      </c>
      <c r="C62" s="64">
        <f>IF(OR(C$26="",$A62=""),"",C60-C61)</f>
        <v>3.5040452368981807</v>
      </c>
      <c r="D62" s="64">
        <f t="shared" ref="D62:L62" ca="1" si="42">IF(OR(D$26="",$A62=""),"",D60-D61)</f>
        <v>1.8046756171878031</v>
      </c>
      <c r="E62" s="64">
        <f t="shared" ca="1" si="42"/>
        <v>1.5073083708761734</v>
      </c>
      <c r="F62" s="64">
        <f t="shared" ca="1" si="42"/>
        <v>0.82058243277347986</v>
      </c>
      <c r="G62" s="64">
        <f t="shared" ca="1" si="42"/>
        <v>0.47214858573333679</v>
      </c>
      <c r="H62" s="64" t="str">
        <f t="shared" si="42"/>
        <v/>
      </c>
      <c r="I62" s="64" t="str">
        <f t="shared" si="42"/>
        <v/>
      </c>
      <c r="J62" s="64" t="str">
        <f t="shared" si="42"/>
        <v/>
      </c>
      <c r="K62" s="64" t="str">
        <f t="shared" si="42"/>
        <v/>
      </c>
      <c r="L62" s="64" t="str">
        <f t="shared" si="42"/>
        <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   Volume of Sales(+) and Purchases(-) [maf]")</f>
        <v xml:space="preserve">   Volume of Sales(+) and Purchases(-) [maf]</v>
      </c>
      <c r="C65" s="123">
        <f>-C57</f>
        <v>-0.6</v>
      </c>
      <c r="D65" s="123">
        <f t="shared" ref="D65" si="43">-D57</f>
        <v>0.6</v>
      </c>
      <c r="E65" s="123">
        <v>1.6</v>
      </c>
      <c r="F65" s="123"/>
      <c r="G65" s="123"/>
      <c r="H65" s="123"/>
      <c r="I65" s="123"/>
      <c r="J65" s="123"/>
      <c r="K65" s="123"/>
      <c r="L65" s="123"/>
      <c r="M65" s="65">
        <f>SUM(C65:L65)</f>
        <v>1.6</v>
      </c>
      <c r="N65" t="str">
        <f>IF(A65="","",N57)</f>
        <v>Add if multiple transactions, e.g.: 0.5 + 0.25</v>
      </c>
    </row>
    <row r="66" spans="1:14" x14ac:dyDescent="0.35">
      <c r="A66" s="30" t="str">
        <f>IF(A65="","","   Cash Intake(+) and Payments(-) [$ Mill]")</f>
        <v xml:space="preserve">   Cash Intake(+) and Payments(-) [$ Mill]</v>
      </c>
      <c r="C66" s="124">
        <f>-C58</f>
        <v>-600</v>
      </c>
      <c r="D66" s="124">
        <f t="shared" ref="D66" si="44">-D58</f>
        <v>600</v>
      </c>
      <c r="E66" s="124">
        <f>1000*E65</f>
        <v>1600</v>
      </c>
      <c r="F66" s="124"/>
      <c r="G66" s="124"/>
      <c r="H66" s="124"/>
      <c r="I66" s="124"/>
      <c r="J66" s="124"/>
      <c r="K66" s="124"/>
      <c r="L66" s="124"/>
      <c r="M66" s="63">
        <f>SUM(C66:L66)</f>
        <v>1600</v>
      </c>
      <c r="N66" t="str">
        <f t="shared" ref="N66:N70" si="45">IF(A66="","",N58)</f>
        <v>Add if multiple transactions, e.g.: $350*0.5 + $450*0.25</v>
      </c>
    </row>
    <row r="67" spans="1:14" x14ac:dyDescent="0.35">
      <c r="A67" s="30" t="str">
        <f>IF(A66="","","   Volume all players (should be zero)")</f>
        <v xml:space="preserve">   Volume all players (should be zero)</v>
      </c>
      <c r="C67" s="65">
        <f t="shared" ref="C67:M67" ca="1" si="46">IF(OR(C$26="",$A67=""),"",C$112)</f>
        <v>0</v>
      </c>
      <c r="D67" s="65">
        <f t="shared" ca="1" si="46"/>
        <v>0</v>
      </c>
      <c r="E67" s="65">
        <f t="shared" ca="1" si="46"/>
        <v>5.5511151231257827E-17</v>
      </c>
      <c r="F67" s="65">
        <f t="shared" ca="1" si="46"/>
        <v>0</v>
      </c>
      <c r="G67" s="65">
        <f t="shared" ca="1" si="46"/>
        <v>0</v>
      </c>
      <c r="H67" s="65" t="str">
        <f t="shared" si="46"/>
        <v/>
      </c>
      <c r="I67" s="65" t="str">
        <f t="shared" si="46"/>
        <v/>
      </c>
      <c r="J67" s="65" t="str">
        <f t="shared" si="46"/>
        <v/>
      </c>
      <c r="K67" s="65" t="str">
        <f t="shared" si="46"/>
        <v/>
      </c>
      <c r="L67" s="65" t="str">
        <f t="shared" si="46"/>
        <v/>
      </c>
      <c r="M67" t="str">
        <f t="shared" si="46"/>
        <v/>
      </c>
      <c r="N67" t="str">
        <f t="shared" si="45"/>
        <v>If non-zero, players need to change amount(s)</v>
      </c>
    </row>
    <row r="68" spans="1:14" x14ac:dyDescent="0.35">
      <c r="A68" s="1" t="str">
        <f>IF(A66="","","   Available Water [maf]")</f>
        <v xml:space="preserve">   Available Water [maf]</v>
      </c>
      <c r="C68" s="14">
        <f t="shared" ref="C68:L68" si="47">IF(OR(C$26="",$A68=""),"",C31+C49-C41-C65)</f>
        <v>11.069981523290789</v>
      </c>
      <c r="D68" s="14">
        <f t="shared" ca="1" si="47"/>
        <v>9.6610195042827627</v>
      </c>
      <c r="E68" s="14">
        <f t="shared" ca="1" si="47"/>
        <v>7.5679505726078364</v>
      </c>
      <c r="F68" s="14">
        <f t="shared" ca="1" si="47"/>
        <v>7.2377573880143142</v>
      </c>
      <c r="G68" s="14">
        <f t="shared" ca="1" si="47"/>
        <v>6.8896270254064822</v>
      </c>
      <c r="H68" s="14" t="str">
        <f t="shared" si="47"/>
        <v/>
      </c>
      <c r="I68" s="14" t="str">
        <f t="shared" si="47"/>
        <v/>
      </c>
      <c r="J68" s="14" t="str">
        <f t="shared" si="47"/>
        <v/>
      </c>
      <c r="K68" s="14" t="str">
        <f t="shared" si="47"/>
        <v/>
      </c>
      <c r="L68" s="14" t="str">
        <f t="shared" si="47"/>
        <v/>
      </c>
      <c r="N68" t="str">
        <f t="shared" si="45"/>
        <v>Available water = Account Balance + Available Inflow - Evaporation + Sales - Purchases</v>
      </c>
    </row>
    <row r="69" spans="1:14" x14ac:dyDescent="0.35">
      <c r="A69" s="1" t="str">
        <f>IF(A68="","","   Account Withdraw [maf]")</f>
        <v xml:space="preserve">   Account Withdraw [maf]</v>
      </c>
      <c r="C69" s="125">
        <v>7</v>
      </c>
      <c r="D69" s="125">
        <v>6.8</v>
      </c>
      <c r="E69" s="125">
        <v>6.7</v>
      </c>
      <c r="F69" s="125">
        <v>6.6</v>
      </c>
      <c r="G69" s="125">
        <v>6.6</v>
      </c>
      <c r="H69" s="125"/>
      <c r="I69" s="125"/>
      <c r="J69" s="125"/>
      <c r="K69" s="125"/>
      <c r="L69" s="125"/>
      <c r="N69" t="str">
        <f t="shared" si="45"/>
        <v>Must be less than Available water</v>
      </c>
    </row>
    <row r="70" spans="1:14" x14ac:dyDescent="0.35">
      <c r="A70" s="30" t="str">
        <f>IF(A69="","","   End of Year Balance [maf]")</f>
        <v xml:space="preserve">   End of Year Balance [maf]</v>
      </c>
      <c r="C70" s="64">
        <f>IF(OR(C$26="",$A70=""),"",C68-C69)</f>
        <v>4.0699815232907888</v>
      </c>
      <c r="D70" s="64">
        <f t="shared" ref="D70:L70" ca="1" si="48">IF(OR(D$26="",$A70=""),"",D68-D69)</f>
        <v>2.8610195042827629</v>
      </c>
      <c r="E70" s="64">
        <f t="shared" ca="1" si="48"/>
        <v>0.86795057260783626</v>
      </c>
      <c r="F70" s="64">
        <f t="shared" ca="1" si="48"/>
        <v>0.63775738801431459</v>
      </c>
      <c r="G70" s="64">
        <f t="shared" ca="1" si="48"/>
        <v>0.28962702540648255</v>
      </c>
      <c r="H70" s="64" t="str">
        <f t="shared" si="48"/>
        <v/>
      </c>
      <c r="I70" s="64" t="str">
        <f t="shared" si="48"/>
        <v/>
      </c>
      <c r="J70" s="64" t="str">
        <f t="shared" si="48"/>
        <v/>
      </c>
      <c r="K70" s="64" t="str">
        <f t="shared" si="48"/>
        <v/>
      </c>
      <c r="L70" s="64" t="str">
        <f t="shared" si="48"/>
        <v/>
      </c>
      <c r="N70" t="str">
        <f t="shared" si="45"/>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   Volume of Sales(+) and Purchases(-) [maf]")</f>
        <v xml:space="preserve">   Volume of Sales(+) and Purchases(-) [maf]</v>
      </c>
      <c r="C73" s="123"/>
      <c r="D73" s="123"/>
      <c r="E73" s="123">
        <v>0.2</v>
      </c>
      <c r="F73" s="123">
        <v>0.1</v>
      </c>
      <c r="G73" s="123"/>
      <c r="H73" s="123"/>
      <c r="I73" s="123"/>
      <c r="J73" s="123"/>
      <c r="K73" s="123"/>
      <c r="L73" s="123"/>
      <c r="M73" s="65">
        <f>SUM(C73:L73)</f>
        <v>0.30000000000000004</v>
      </c>
      <c r="N73" t="str">
        <f>IF(A73="","",N65)</f>
        <v>Add if multiple transactions, e.g.: 0.5 + 0.25</v>
      </c>
    </row>
    <row r="74" spans="1:14" x14ac:dyDescent="0.35">
      <c r="A74" s="30" t="str">
        <f>IF(A73="","","   Cash Intake(+) and Payments(-) [$ Mill]")</f>
        <v xml:space="preserve">   Cash Intake(+) and Payments(-) [$ Mill]</v>
      </c>
      <c r="C74" s="124"/>
      <c r="D74" s="124"/>
      <c r="E74" s="124">
        <f>1500*E73</f>
        <v>300</v>
      </c>
      <c r="F74" s="124">
        <f>1500*F73</f>
        <v>150</v>
      </c>
      <c r="G74" s="124"/>
      <c r="H74" s="124"/>
      <c r="I74" s="124"/>
      <c r="J74" s="124"/>
      <c r="K74" s="124"/>
      <c r="L74" s="124"/>
      <c r="M74" s="63">
        <f>SUM(C74:L74)</f>
        <v>450</v>
      </c>
      <c r="N74" t="str">
        <f t="shared" ref="N74:N78" si="49">IF(A74="","",N66)</f>
        <v>Add if multiple transactions, e.g.: $350*0.5 + $450*0.25</v>
      </c>
    </row>
    <row r="75" spans="1:14" x14ac:dyDescent="0.35">
      <c r="A75" s="30" t="str">
        <f>IF(A74="","","   Volume all players (should be zero)")</f>
        <v xml:space="preserve">   Volume all players (should be zero)</v>
      </c>
      <c r="C75" s="65">
        <f t="shared" ref="C75:M75" ca="1" si="50">IF(OR(C$26="",$A75=""),"",C$112)</f>
        <v>0</v>
      </c>
      <c r="D75" s="65">
        <f t="shared" ca="1" si="50"/>
        <v>0</v>
      </c>
      <c r="E75" s="65">
        <f t="shared" ca="1" si="50"/>
        <v>5.5511151231257827E-17</v>
      </c>
      <c r="F75" s="65">
        <f t="shared" ca="1" si="50"/>
        <v>0</v>
      </c>
      <c r="G75" s="65">
        <f t="shared" ca="1" si="50"/>
        <v>0</v>
      </c>
      <c r="H75" s="65" t="str">
        <f t="shared" si="50"/>
        <v/>
      </c>
      <c r="I75" s="65" t="str">
        <f t="shared" si="50"/>
        <v/>
      </c>
      <c r="J75" s="65" t="str">
        <f t="shared" si="50"/>
        <v/>
      </c>
      <c r="K75" s="65" t="str">
        <f t="shared" si="50"/>
        <v/>
      </c>
      <c r="L75" s="65" t="str">
        <f t="shared" si="50"/>
        <v/>
      </c>
      <c r="M75" t="str">
        <f t="shared" si="50"/>
        <v/>
      </c>
      <c r="N75" t="str">
        <f t="shared" si="49"/>
        <v>If non-zero, players need to change amount(s)</v>
      </c>
    </row>
    <row r="76" spans="1:14" x14ac:dyDescent="0.35">
      <c r="A76" s="1" t="str">
        <f>IF(A74="","","   Available Water [maf]")</f>
        <v xml:space="preserve">   Available Water [maf]</v>
      </c>
      <c r="C76" s="14">
        <f t="shared" ref="C76:L76" si="51">IF(OR(C$26="",$A76=""),"",C32+C50-C42-C73)</f>
        <v>1.6129063098110585</v>
      </c>
      <c r="D76" s="14">
        <f t="shared" ca="1" si="51"/>
        <v>1.5545781945300379</v>
      </c>
      <c r="E76" s="14">
        <f t="shared" ca="1" si="51"/>
        <v>1.3487810525165953</v>
      </c>
      <c r="F76" s="14">
        <f ca="1">IF(OR(F$26="",$A76=""),"",F32+F50-F42-F73)</f>
        <v>1.2535539767122101</v>
      </c>
      <c r="G76" s="14">
        <f t="shared" ca="1" si="51"/>
        <v>1.3767263538601866</v>
      </c>
      <c r="H76" s="14" t="str">
        <f t="shared" si="51"/>
        <v/>
      </c>
      <c r="I76" s="14" t="str">
        <f t="shared" si="51"/>
        <v/>
      </c>
      <c r="J76" s="14" t="str">
        <f t="shared" si="51"/>
        <v/>
      </c>
      <c r="K76" s="14" t="str">
        <f t="shared" si="51"/>
        <v/>
      </c>
      <c r="L76" s="14" t="str">
        <f t="shared" si="51"/>
        <v/>
      </c>
      <c r="N76" t="str">
        <f t="shared" si="49"/>
        <v>Available water = Account Balance + Available Inflow - Evaporation + Sales - Purchases</v>
      </c>
    </row>
    <row r="77" spans="1:14" x14ac:dyDescent="0.35">
      <c r="A77" s="1" t="str">
        <f>IF(A76="","","   Account Withdraw [maf]")</f>
        <v xml:space="preserve">   Account Withdraw [maf]</v>
      </c>
      <c r="C77" s="125">
        <v>1.5</v>
      </c>
      <c r="D77" s="125">
        <v>1.2</v>
      </c>
      <c r="E77" s="125">
        <v>1.2</v>
      </c>
      <c r="F77" s="125">
        <v>1.2</v>
      </c>
      <c r="G77" s="125">
        <v>1.2</v>
      </c>
      <c r="H77" s="125"/>
      <c r="I77" s="125"/>
      <c r="J77" s="125"/>
      <c r="K77" s="125"/>
      <c r="L77" s="125"/>
      <c r="N77" t="str">
        <f t="shared" si="49"/>
        <v>Must be less than Available water</v>
      </c>
    </row>
    <row r="78" spans="1:14" x14ac:dyDescent="0.35">
      <c r="A78" s="30" t="str">
        <f>IF(A77="","","   End of Year Balance [maf]")</f>
        <v xml:space="preserve">   End of Year Balance [maf]</v>
      </c>
      <c r="C78" s="64">
        <f>IF(OR(C$26="",$A78=""),"",C76-C77)</f>
        <v>0.11290630981105854</v>
      </c>
      <c r="D78" s="64">
        <f t="shared" ref="D78:L78" ca="1" si="52">IF(OR(D$26="",$A78=""),"",D76-D77)</f>
        <v>0.35457819453003792</v>
      </c>
      <c r="E78" s="64">
        <f t="shared" ca="1" si="52"/>
        <v>0.14878105251659535</v>
      </c>
      <c r="F78" s="64">
        <f t="shared" ca="1" si="52"/>
        <v>5.3553976712210183E-2</v>
      </c>
      <c r="G78" s="64">
        <f t="shared" ca="1" si="52"/>
        <v>0.17672635386018665</v>
      </c>
      <c r="H78" s="64" t="str">
        <f t="shared" si="52"/>
        <v/>
      </c>
      <c r="I78" s="64" t="str">
        <f t="shared" si="52"/>
        <v/>
      </c>
      <c r="J78" s="64" t="str">
        <f t="shared" si="52"/>
        <v/>
      </c>
      <c r="K78" s="64" t="str">
        <f t="shared" si="52"/>
        <v/>
      </c>
      <c r="L78" s="64" t="str">
        <f t="shared" si="52"/>
        <v/>
      </c>
      <c r="N78" t="str">
        <f t="shared" si="49"/>
        <v>Available water - Account Withdraw</v>
      </c>
    </row>
    <row r="79" spans="1:14" x14ac:dyDescent="0.35">
      <c r="C79"/>
    </row>
    <row r="80" spans="1:14" x14ac:dyDescent="0.35">
      <c r="A80" s="132" t="str">
        <f>IF(A$8="","[Unused]",A8)</f>
        <v>Shared, Reserve</v>
      </c>
      <c r="B80" s="132"/>
      <c r="C80" s="132"/>
      <c r="D80" s="132"/>
      <c r="E80" s="132"/>
      <c r="F80" s="132"/>
      <c r="G80" s="132"/>
      <c r="H80" s="132"/>
      <c r="I80" s="132"/>
      <c r="J80" s="132"/>
      <c r="K80" s="132"/>
      <c r="L80" s="132"/>
      <c r="M80" s="133" t="s">
        <v>105</v>
      </c>
      <c r="N80" s="132" t="s">
        <v>169</v>
      </c>
    </row>
    <row r="81" spans="1:14" x14ac:dyDescent="0.3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53">IF(A82="","",N74)</f>
        <v>Add if multiple transactions, e.g.: $350*0.5 + $450*0.25</v>
      </c>
    </row>
    <row r="83" spans="1:14" x14ac:dyDescent="0.35">
      <c r="A83" s="30" t="str">
        <f>IF(A82="","","   Volume all players (should be zero)")</f>
        <v xml:space="preserve">   Volume all players (should be zero)</v>
      </c>
      <c r="C83" s="65">
        <f t="shared" ref="C83:M83" ca="1" si="54">IF(OR(C$26="",$A83=""),"",C$112)</f>
        <v>0</v>
      </c>
      <c r="D83" s="65">
        <f t="shared" ca="1" si="54"/>
        <v>0</v>
      </c>
      <c r="E83" s="65">
        <f t="shared" ca="1" si="54"/>
        <v>5.5511151231257827E-17</v>
      </c>
      <c r="F83" s="65">
        <f t="shared" ca="1" si="54"/>
        <v>0</v>
      </c>
      <c r="G83" s="65">
        <f t="shared" ca="1" si="54"/>
        <v>0</v>
      </c>
      <c r="H83" s="65" t="str">
        <f t="shared" si="54"/>
        <v/>
      </c>
      <c r="I83" s="65" t="str">
        <f t="shared" si="54"/>
        <v/>
      </c>
      <c r="J83" s="65" t="str">
        <f t="shared" si="54"/>
        <v/>
      </c>
      <c r="K83" s="65" t="str">
        <f t="shared" si="54"/>
        <v/>
      </c>
      <c r="L83" s="65" t="str">
        <f t="shared" si="54"/>
        <v/>
      </c>
      <c r="M83" t="str">
        <f t="shared" si="54"/>
        <v/>
      </c>
      <c r="N83" t="str">
        <f t="shared" si="53"/>
        <v>If non-zero, players need to change amount(s)</v>
      </c>
    </row>
    <row r="84" spans="1:14" x14ac:dyDescent="0.35">
      <c r="A84" s="1" t="str">
        <f>IF(A82="","","   Available Water [maf]")</f>
        <v xml:space="preserve">   Available Water [maf]</v>
      </c>
      <c r="C84" s="14">
        <f t="shared" ref="C84:L84" si="55">IF(OR(C$26="",$A84=""),"",C33+C51-C43-C81)</f>
        <v>11.59116925</v>
      </c>
      <c r="D84" s="14">
        <f t="shared" ca="1" si="55"/>
        <v>11.59116925</v>
      </c>
      <c r="E84" s="14">
        <f t="shared" ca="1" si="55"/>
        <v>11.59116925</v>
      </c>
      <c r="F84" s="14">
        <f t="shared" ca="1" si="55"/>
        <v>11.59116925</v>
      </c>
      <c r="G84" s="14">
        <f t="shared" ca="1" si="55"/>
        <v>11.59116925</v>
      </c>
      <c r="H84" s="14" t="str">
        <f t="shared" si="55"/>
        <v/>
      </c>
      <c r="I84" s="14" t="str">
        <f t="shared" si="55"/>
        <v/>
      </c>
      <c r="J84" s="14" t="str">
        <f t="shared" si="55"/>
        <v/>
      </c>
      <c r="K84" s="14" t="str">
        <f t="shared" si="55"/>
        <v/>
      </c>
      <c r="L84" s="14" t="str">
        <f t="shared" si="55"/>
        <v/>
      </c>
      <c r="N84" t="str">
        <f t="shared" si="53"/>
        <v>Available water = Account Balance + Available Inflow - Evaporation + Sales - Purchases</v>
      </c>
    </row>
    <row r="85" spans="1:14" x14ac:dyDescent="0.35">
      <c r="A85" s="1" t="str">
        <f>IF(A84="","","   Account Withdraw [maf]")</f>
        <v xml:space="preserve">   Account Withdraw [maf]</v>
      </c>
      <c r="C85" s="125"/>
      <c r="D85" s="125"/>
      <c r="E85" s="125"/>
      <c r="F85" s="125"/>
      <c r="G85" s="125"/>
      <c r="H85" s="125"/>
      <c r="I85" s="125"/>
      <c r="J85" s="125"/>
      <c r="K85" s="125"/>
      <c r="L85" s="125"/>
      <c r="N85" t="str">
        <f t="shared" si="53"/>
        <v>Must be less than Available water</v>
      </c>
    </row>
    <row r="86" spans="1:14" x14ac:dyDescent="0.35">
      <c r="A86" s="30" t="str">
        <f>IF(A85="","","   End of Year Balance [maf]")</f>
        <v xml:space="preserve">   End of Year Balance [maf]</v>
      </c>
      <c r="C86" s="64">
        <f>IF(OR(C$26="",$A86=""),"",C84-C85)</f>
        <v>11.59116925</v>
      </c>
      <c r="D86" s="64">
        <f t="shared" ref="D86" ca="1" si="56">IF(OR(D$26="",$A86=""),"",D84-D85)</f>
        <v>11.59116925</v>
      </c>
      <c r="E86" s="64">
        <f t="shared" ref="E86" ca="1" si="57">IF(OR(E$26="",$A86=""),"",E84-E85)</f>
        <v>11.59116925</v>
      </c>
      <c r="F86" s="64">
        <f t="shared" ref="F86" ca="1" si="58">IF(OR(F$26="",$A86=""),"",F84-F85)</f>
        <v>11.59116925</v>
      </c>
      <c r="G86" s="64">
        <f t="shared" ref="G86" ca="1" si="59">IF(OR(G$26="",$A86=""),"",G84-G85)</f>
        <v>11.59116925</v>
      </c>
      <c r="H86" s="64" t="str">
        <f t="shared" ref="H86" si="60">IF(OR(H$26="",$A86=""),"",H84-H85)</f>
        <v/>
      </c>
      <c r="I86" s="64" t="str">
        <f t="shared" ref="I86" si="61">IF(OR(I$26="",$A86=""),"",I84-I85)</f>
        <v/>
      </c>
      <c r="J86" s="64" t="str">
        <f t="shared" ref="J86" si="62">IF(OR(J$26="",$A86=""),"",J84-J85)</f>
        <v/>
      </c>
      <c r="K86" s="64" t="str">
        <f t="shared" ref="K86" si="63">IF(OR(K$26="",$A86=""),"",K84-K85)</f>
        <v/>
      </c>
      <c r="L86" s="64" t="str">
        <f t="shared" ref="L86" si="64">IF(OR(L$26="",$A86=""),"",L84-L85)</f>
        <v/>
      </c>
      <c r="N86" t="str">
        <f t="shared" si="53"/>
        <v>Available water - Account Withdraw</v>
      </c>
    </row>
    <row r="87" spans="1:14" x14ac:dyDescent="0.35">
      <c r="C87"/>
    </row>
    <row r="88" spans="1:14" x14ac:dyDescent="0.35">
      <c r="A88" s="132" t="str">
        <f>IF(A$9="","[Unused]",A9)</f>
        <v>[Unused]</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35">
      <c r="A90" s="30" t="str">
        <f>IF(A89="","","   Cash Intake(+) and Payments(-) [$ Mill]")</f>
        <v/>
      </c>
      <c r="C90" s="124"/>
      <c r="D90" s="124"/>
      <c r="E90" s="124"/>
      <c r="F90" s="124"/>
      <c r="G90" s="124"/>
      <c r="H90" s="124"/>
      <c r="I90" s="124"/>
      <c r="J90" s="124"/>
      <c r="K90" s="124"/>
      <c r="L90" s="124"/>
      <c r="M90" s="63">
        <f>SUM(C90:L90)</f>
        <v>0</v>
      </c>
      <c r="N90" t="str">
        <f t="shared" ref="N90:N94" si="65">IF(A90="","",N82)</f>
        <v/>
      </c>
    </row>
    <row r="91" spans="1:14" x14ac:dyDescent="0.35">
      <c r="A91" s="30" t="str">
        <f>IF(A90="","","   Volume all players (should be zero)")</f>
        <v/>
      </c>
      <c r="C91" s="65" t="str">
        <f t="shared" ref="C91:M91" si="66">IF(OR(C$26="",$A91=""),"",C$112)</f>
        <v/>
      </c>
      <c r="D91" s="65" t="str">
        <f t="shared" si="66"/>
        <v/>
      </c>
      <c r="E91" s="65" t="str">
        <f t="shared" si="66"/>
        <v/>
      </c>
      <c r="F91" s="65" t="str">
        <f t="shared" si="66"/>
        <v/>
      </c>
      <c r="G91" s="65" t="str">
        <f t="shared" si="66"/>
        <v/>
      </c>
      <c r="H91" s="65" t="str">
        <f t="shared" si="66"/>
        <v/>
      </c>
      <c r="I91" s="65" t="str">
        <f t="shared" si="66"/>
        <v/>
      </c>
      <c r="J91" s="65" t="str">
        <f t="shared" si="66"/>
        <v/>
      </c>
      <c r="K91" s="65" t="str">
        <f t="shared" si="66"/>
        <v/>
      </c>
      <c r="L91" s="65" t="str">
        <f t="shared" si="66"/>
        <v/>
      </c>
      <c r="M91" t="str">
        <f t="shared" si="66"/>
        <v/>
      </c>
      <c r="N91" t="str">
        <f t="shared" si="65"/>
        <v/>
      </c>
    </row>
    <row r="92" spans="1:14" x14ac:dyDescent="0.35">
      <c r="A92" s="1" t="str">
        <f>IF(A90="","","   Available Water [maf]")</f>
        <v/>
      </c>
      <c r="C92" s="14" t="str">
        <f t="shared" ref="C92:L92" si="67">IF(OR(C$26="",$A92=""),"",C34+C52-C44-C89)</f>
        <v/>
      </c>
      <c r="D92" s="14" t="str">
        <f t="shared" si="67"/>
        <v/>
      </c>
      <c r="E92" s="14" t="str">
        <f t="shared" si="67"/>
        <v/>
      </c>
      <c r="F92" s="14" t="str">
        <f t="shared" si="67"/>
        <v/>
      </c>
      <c r="G92" s="14" t="str">
        <f t="shared" si="67"/>
        <v/>
      </c>
      <c r="H92" s="14" t="str">
        <f t="shared" si="67"/>
        <v/>
      </c>
      <c r="I92" s="14" t="str">
        <f t="shared" si="67"/>
        <v/>
      </c>
      <c r="J92" s="14" t="str">
        <f t="shared" si="67"/>
        <v/>
      </c>
      <c r="K92" s="14" t="str">
        <f t="shared" si="67"/>
        <v/>
      </c>
      <c r="L92" s="14" t="str">
        <f t="shared" si="67"/>
        <v/>
      </c>
      <c r="N92" t="str">
        <f t="shared" si="65"/>
        <v/>
      </c>
    </row>
    <row r="93" spans="1:14" x14ac:dyDescent="0.35">
      <c r="A93" s="1" t="str">
        <f>IF(A92="","","   Account Withdraw [maf]")</f>
        <v/>
      </c>
      <c r="C93" s="125"/>
      <c r="D93" s="125"/>
      <c r="E93" s="125"/>
      <c r="F93" s="125"/>
      <c r="G93" s="125"/>
      <c r="H93" s="125"/>
      <c r="I93" s="125"/>
      <c r="J93" s="125"/>
      <c r="K93" s="125"/>
      <c r="L93" s="125"/>
      <c r="N93" t="str">
        <f t="shared" si="65"/>
        <v/>
      </c>
    </row>
    <row r="94" spans="1:14" x14ac:dyDescent="0.35">
      <c r="A94" s="30" t="str">
        <f>IF(A93="","","   End of Year Balance [maf]")</f>
        <v/>
      </c>
      <c r="C94" s="64" t="str">
        <f>IF(OR(C$26="",$A94=""),"",C92-C93)</f>
        <v/>
      </c>
      <c r="D94" s="64" t="str">
        <f t="shared" ref="D94" si="68">IF(OR(D$26="",$A94=""),"",D92-D93)</f>
        <v/>
      </c>
      <c r="E94" s="64" t="str">
        <f t="shared" ref="E94" si="69">IF(OR(E$26="",$A94=""),"",E92-E93)</f>
        <v/>
      </c>
      <c r="F94" s="64" t="str">
        <f t="shared" ref="F94" si="70">IF(OR(F$26="",$A94=""),"",F92-F93)</f>
        <v/>
      </c>
      <c r="G94" s="64" t="str">
        <f t="shared" ref="G94" si="71">IF(OR(G$26="",$A94=""),"",G92-G93)</f>
        <v/>
      </c>
      <c r="H94" s="64" t="str">
        <f t="shared" ref="H94" si="72">IF(OR(H$26="",$A94=""),"",H92-H93)</f>
        <v/>
      </c>
      <c r="I94" s="64" t="str">
        <f t="shared" ref="I94" si="73">IF(OR(I$26="",$A94=""),"",I92-I93)</f>
        <v/>
      </c>
      <c r="J94" s="64" t="str">
        <f t="shared" ref="J94" si="74">IF(OR(J$26="",$A94=""),"",J92-J93)</f>
        <v/>
      </c>
      <c r="K94" s="64" t="str">
        <f t="shared" ref="K94" si="75">IF(OR(K$26="",$A94=""),"",K92-K93)</f>
        <v/>
      </c>
      <c r="L94" s="64" t="str">
        <f t="shared" ref="L94" si="76">IF(OR(L$26="",$A94=""),"",L92-L93)</f>
        <v/>
      </c>
      <c r="N94" t="str">
        <f t="shared" si="65"/>
        <v/>
      </c>
    </row>
    <row r="95" spans="1:14" x14ac:dyDescent="0.35">
      <c r="C95"/>
    </row>
    <row r="96" spans="1:14" x14ac:dyDescent="0.35">
      <c r="A96" s="132" t="str">
        <f>IF(A$10="","[Unused]",A10)</f>
        <v>[Unused]</v>
      </c>
      <c r="B96" s="132"/>
      <c r="C96" s="132"/>
      <c r="D96" s="132"/>
      <c r="E96" s="132"/>
      <c r="F96" s="132"/>
      <c r="G96" s="132"/>
      <c r="H96" s="132"/>
      <c r="I96" s="132"/>
      <c r="J96" s="132"/>
      <c r="K96" s="132"/>
      <c r="L96" s="132"/>
      <c r="M96" s="133" t="s">
        <v>105</v>
      </c>
      <c r="N96" s="132" t="s">
        <v>169</v>
      </c>
    </row>
    <row r="97" spans="1:14" x14ac:dyDescent="0.3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35">
      <c r="A98" s="30" t="str">
        <f>IF(A97="","","   Cash Intake(+) and Payments(-) [$ Mill]")</f>
        <v/>
      </c>
      <c r="C98" s="124"/>
      <c r="D98" s="124"/>
      <c r="E98" s="124"/>
      <c r="F98" s="124"/>
      <c r="G98" s="124"/>
      <c r="H98" s="124"/>
      <c r="I98" s="124"/>
      <c r="J98" s="124"/>
      <c r="K98" s="124"/>
      <c r="L98" s="124"/>
      <c r="M98" s="63">
        <f>SUM(C98:L98)</f>
        <v>0</v>
      </c>
      <c r="N98" t="str">
        <f t="shared" ref="N98:N102" si="77">IF(A98="","",N90)</f>
        <v/>
      </c>
    </row>
    <row r="99" spans="1:14" x14ac:dyDescent="0.35">
      <c r="A99" s="30" t="str">
        <f>IF(A98="","","   Volume all players (should be zero)")</f>
        <v/>
      </c>
      <c r="C99" s="65" t="str">
        <f t="shared" ref="C99:M99" si="78">IF(OR(C$26="",$A99=""),"",C$112)</f>
        <v/>
      </c>
      <c r="D99" s="65" t="str">
        <f t="shared" si="78"/>
        <v/>
      </c>
      <c r="E99" s="65" t="str">
        <f t="shared" si="78"/>
        <v/>
      </c>
      <c r="F99" s="65" t="str">
        <f t="shared" si="78"/>
        <v/>
      </c>
      <c r="G99" s="65" t="str">
        <f t="shared" si="78"/>
        <v/>
      </c>
      <c r="H99" s="65" t="str">
        <f t="shared" si="78"/>
        <v/>
      </c>
      <c r="I99" s="65" t="str">
        <f t="shared" si="78"/>
        <v/>
      </c>
      <c r="J99" s="65" t="str">
        <f t="shared" si="78"/>
        <v/>
      </c>
      <c r="K99" s="65" t="str">
        <f t="shared" si="78"/>
        <v/>
      </c>
      <c r="L99" s="65" t="str">
        <f t="shared" si="78"/>
        <v/>
      </c>
      <c r="M99" t="str">
        <f t="shared" si="78"/>
        <v/>
      </c>
      <c r="N99" t="str">
        <f t="shared" si="77"/>
        <v/>
      </c>
    </row>
    <row r="100" spans="1:14" x14ac:dyDescent="0.35">
      <c r="A100" s="1" t="str">
        <f>IF(A98="","","   Available Water [maf]")</f>
        <v/>
      </c>
      <c r="C100" s="14" t="str">
        <f t="shared" ref="C100:L100" si="79">IF(OR(C$26="",$A100=""),"",C35+C53-C45-C97)</f>
        <v/>
      </c>
      <c r="D100" s="14" t="str">
        <f t="shared" si="79"/>
        <v/>
      </c>
      <c r="E100" s="14" t="str">
        <f t="shared" si="79"/>
        <v/>
      </c>
      <c r="F100" s="14" t="str">
        <f t="shared" si="79"/>
        <v/>
      </c>
      <c r="G100" s="14" t="str">
        <f t="shared" si="79"/>
        <v/>
      </c>
      <c r="H100" s="14" t="str">
        <f t="shared" si="79"/>
        <v/>
      </c>
      <c r="I100" s="14" t="str">
        <f t="shared" si="79"/>
        <v/>
      </c>
      <c r="J100" s="14" t="str">
        <f t="shared" si="79"/>
        <v/>
      </c>
      <c r="K100" s="14" t="str">
        <f t="shared" si="79"/>
        <v/>
      </c>
      <c r="L100" s="14" t="str">
        <f t="shared" si="79"/>
        <v/>
      </c>
      <c r="N100" t="str">
        <f t="shared" si="77"/>
        <v/>
      </c>
    </row>
    <row r="101" spans="1:14" x14ac:dyDescent="0.35">
      <c r="A101" s="1" t="str">
        <f>IF(A100="","","   Account Withdraw [maf]")</f>
        <v/>
      </c>
      <c r="C101" s="125"/>
      <c r="D101" s="125"/>
      <c r="E101" s="125"/>
      <c r="F101" s="125"/>
      <c r="G101" s="125"/>
      <c r="H101" s="125"/>
      <c r="I101" s="125"/>
      <c r="J101" s="125"/>
      <c r="K101" s="125"/>
      <c r="L101" s="125"/>
      <c r="N101" t="str">
        <f t="shared" si="77"/>
        <v/>
      </c>
    </row>
    <row r="102" spans="1:14" x14ac:dyDescent="0.35">
      <c r="A102" s="30" t="str">
        <f>IF(A101="","","   End of Year Balance [maf]")</f>
        <v/>
      </c>
      <c r="C102" s="64" t="str">
        <f>IF(OR(C$26="",$A102=""),"",C100-C101)</f>
        <v/>
      </c>
      <c r="D102" s="64" t="str">
        <f t="shared" ref="D102" si="80">IF(OR(D$26="",$A102=""),"",D100-D101)</f>
        <v/>
      </c>
      <c r="E102" s="64" t="str">
        <f t="shared" ref="E102" si="81">IF(OR(E$26="",$A102=""),"",E100-E101)</f>
        <v/>
      </c>
      <c r="F102" s="64" t="str">
        <f t="shared" ref="F102" si="82">IF(OR(F$26="",$A102=""),"",F100-F101)</f>
        <v/>
      </c>
      <c r="G102" s="64" t="str">
        <f t="shared" ref="G102" si="83">IF(OR(G$26="",$A102=""),"",G100-G101)</f>
        <v/>
      </c>
      <c r="H102" s="64" t="str">
        <f t="shared" ref="H102" si="84">IF(OR(H$26="",$A102=""),"",H100-H101)</f>
        <v/>
      </c>
      <c r="I102" s="64" t="str">
        <f t="shared" ref="I102" si="85">IF(OR(I$26="",$A102=""),"",I100-I101)</f>
        <v/>
      </c>
      <c r="J102" s="64" t="str">
        <f t="shared" ref="J102" si="86">IF(OR(J$26="",$A102=""),"",J100-J101)</f>
        <v/>
      </c>
      <c r="K102" s="64" t="str">
        <f t="shared" ref="K102" si="87">IF(OR(K$26="",$A102=""),"",K100-K101)</f>
        <v/>
      </c>
      <c r="L102" s="64" t="str">
        <f t="shared" ref="L102" si="88">IF(OR(L$26="",$A102=""),"",L100-L101)</f>
        <v/>
      </c>
      <c r="N102" t="str">
        <f t="shared" si="77"/>
        <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146</v>
      </c>
      <c r="C105"/>
      <c r="M105" t="s">
        <v>179</v>
      </c>
      <c r="N105" t="s">
        <v>147</v>
      </c>
    </row>
    <row r="106" spans="1:14" x14ac:dyDescent="0.35">
      <c r="A106" t="str">
        <f t="shared" ref="A106:A111" si="89">IF(A5="","","    "&amp;A5)</f>
        <v xml:space="preserve">    Upper Basin</v>
      </c>
      <c r="B106" s="1"/>
      <c r="C106" s="65">
        <f t="shared" ref="C106:L106" ca="1" si="90">IF(OR(C$26="",$A106=""),"",OFFSET(C$57,8*(ROW(B106)-ROW(B$106)),0))</f>
        <v>0.6</v>
      </c>
      <c r="D106" s="65">
        <f t="shared" ca="1" si="90"/>
        <v>-0.6</v>
      </c>
      <c r="E106" s="65">
        <f t="shared" ca="1" si="90"/>
        <v>-1.8</v>
      </c>
      <c r="F106" s="65">
        <f t="shared" ca="1" si="90"/>
        <v>-0.1</v>
      </c>
      <c r="G106" s="65">
        <f t="shared" ca="1" si="90"/>
        <v>0</v>
      </c>
      <c r="H106" s="65" t="str">
        <f t="shared" ca="1" si="90"/>
        <v/>
      </c>
      <c r="I106" s="65" t="str">
        <f t="shared" ca="1" si="90"/>
        <v/>
      </c>
      <c r="J106" s="65" t="str">
        <f t="shared" ca="1" si="90"/>
        <v/>
      </c>
      <c r="K106" s="65" t="str">
        <f t="shared" ca="1" si="90"/>
        <v/>
      </c>
      <c r="L106" s="65" t="str">
        <f t="shared" ca="1" si="90"/>
        <v/>
      </c>
      <c r="M106" s="65">
        <f ca="1">IF(OR($A106=""),"",SUM(C106:L106))</f>
        <v>-1.9000000000000001</v>
      </c>
      <c r="N106" s="63">
        <f>IF(OR($A106=""),"",M58)</f>
        <v>-2050</v>
      </c>
    </row>
    <row r="107" spans="1:14" x14ac:dyDescent="0.35">
      <c r="A107" t="str">
        <f t="shared" si="89"/>
        <v xml:space="preserve">    Lower Basin</v>
      </c>
      <c r="B107" s="1"/>
      <c r="C107" s="65">
        <f t="shared" ref="C107:L107" ca="1" si="91">IF(OR(C$26="",$A107=""),"",OFFSET(C$57,8*(ROW(B107)-ROW(B$106)),0))</f>
        <v>-0.6</v>
      </c>
      <c r="D107" s="65">
        <f t="shared" ca="1" si="91"/>
        <v>0.6</v>
      </c>
      <c r="E107" s="65">
        <f t="shared" ca="1" si="91"/>
        <v>1.6</v>
      </c>
      <c r="F107" s="65">
        <f t="shared" ca="1" si="91"/>
        <v>0</v>
      </c>
      <c r="G107" s="65">
        <f t="shared" ca="1" si="91"/>
        <v>0</v>
      </c>
      <c r="H107" s="65" t="str">
        <f t="shared" ca="1" si="91"/>
        <v/>
      </c>
      <c r="I107" s="65" t="str">
        <f t="shared" ca="1" si="91"/>
        <v/>
      </c>
      <c r="J107" s="65" t="str">
        <f t="shared" ca="1" si="91"/>
        <v/>
      </c>
      <c r="K107" s="65" t="str">
        <f t="shared" ca="1" si="91"/>
        <v/>
      </c>
      <c r="L107" s="65" t="str">
        <f t="shared" ca="1" si="91"/>
        <v/>
      </c>
      <c r="M107" s="65">
        <f t="shared" ref="M107:M111" ca="1" si="92">IF(OR($A107=""),"",SUM(C107:L107))</f>
        <v>1.6</v>
      </c>
      <c r="N107" s="63">
        <f>IF(OR($A107=""),"",M66)</f>
        <v>1600</v>
      </c>
    </row>
    <row r="108" spans="1:14" x14ac:dyDescent="0.35">
      <c r="A108" t="str">
        <f t="shared" si="89"/>
        <v xml:space="preserve">    Mexico</v>
      </c>
      <c r="B108" s="1"/>
      <c r="C108" s="65">
        <f t="shared" ref="C108:L108" ca="1" si="93">IF(OR(C$26="",$A108=""),"",OFFSET(C$57,8*(ROW(B108)-ROW(B$106)),0))</f>
        <v>0</v>
      </c>
      <c r="D108" s="65">
        <f t="shared" ca="1" si="93"/>
        <v>0</v>
      </c>
      <c r="E108" s="65">
        <f t="shared" ca="1" si="93"/>
        <v>0.2</v>
      </c>
      <c r="F108" s="65">
        <f t="shared" ca="1" si="93"/>
        <v>0.1</v>
      </c>
      <c r="G108" s="65">
        <f t="shared" ca="1" si="93"/>
        <v>0</v>
      </c>
      <c r="H108" s="65" t="str">
        <f t="shared" ca="1" si="93"/>
        <v/>
      </c>
      <c r="I108" s="65" t="str">
        <f t="shared" ca="1" si="93"/>
        <v/>
      </c>
      <c r="J108" s="65" t="str">
        <f t="shared" ca="1" si="93"/>
        <v/>
      </c>
      <c r="K108" s="65" t="str">
        <f t="shared" ca="1" si="93"/>
        <v/>
      </c>
      <c r="L108" s="65" t="str">
        <f t="shared" ca="1" si="93"/>
        <v/>
      </c>
      <c r="M108" s="65">
        <f t="shared" ca="1" si="92"/>
        <v>0.30000000000000004</v>
      </c>
      <c r="N108" s="63">
        <f>IF(OR($A108=""),"",M74)</f>
        <v>450</v>
      </c>
    </row>
    <row r="109" spans="1:14" x14ac:dyDescent="0.35">
      <c r="A109" t="str">
        <f t="shared" si="89"/>
        <v xml:space="preserve">    Shared, Reserve</v>
      </c>
      <c r="B109" s="1"/>
      <c r="C109" s="65">
        <f t="shared" ref="C109:L109" ca="1" si="94">IF(OR(C$26="",$A109=""),"",OFFSET(C$57,8*(ROW(B109)-ROW(B$106)),0))</f>
        <v>0</v>
      </c>
      <c r="D109" s="65">
        <f t="shared" ca="1" si="94"/>
        <v>0</v>
      </c>
      <c r="E109" s="65">
        <f t="shared" ca="1" si="94"/>
        <v>0</v>
      </c>
      <c r="F109" s="65">
        <f t="shared" ca="1" si="94"/>
        <v>0</v>
      </c>
      <c r="G109" s="65">
        <f t="shared" ca="1" si="94"/>
        <v>0</v>
      </c>
      <c r="H109" s="65" t="str">
        <f t="shared" ca="1" si="94"/>
        <v/>
      </c>
      <c r="I109" s="65" t="str">
        <f t="shared" ca="1" si="94"/>
        <v/>
      </c>
      <c r="J109" s="65" t="str">
        <f t="shared" ca="1" si="94"/>
        <v/>
      </c>
      <c r="K109" s="65" t="str">
        <f t="shared" ca="1" si="94"/>
        <v/>
      </c>
      <c r="L109" s="65" t="str">
        <f t="shared" ca="1" si="94"/>
        <v/>
      </c>
      <c r="M109" s="65">
        <f t="shared" ca="1" si="92"/>
        <v>0</v>
      </c>
      <c r="N109" s="63">
        <f>IF(OR($A109=""),"",M82)</f>
        <v>0</v>
      </c>
    </row>
    <row r="110" spans="1:14" x14ac:dyDescent="0.35">
      <c r="A110" t="str">
        <f t="shared" si="89"/>
        <v/>
      </c>
      <c r="B110" s="1"/>
      <c r="C110" s="65" t="str">
        <f t="shared" ref="C110:L110" ca="1" si="95">IF(OR(C$26="",$A110=""),"",OFFSET(C$57,8*(ROW(B110)-ROW(B$106)),0))</f>
        <v/>
      </c>
      <c r="D110" s="65" t="str">
        <f t="shared" ca="1" si="95"/>
        <v/>
      </c>
      <c r="E110" s="65" t="str">
        <f t="shared" ca="1" si="95"/>
        <v/>
      </c>
      <c r="F110" s="65" t="str">
        <f t="shared" ca="1" si="95"/>
        <v/>
      </c>
      <c r="G110" s="65" t="str">
        <f t="shared" ca="1" si="95"/>
        <v/>
      </c>
      <c r="H110" s="65" t="str">
        <f t="shared" ca="1" si="95"/>
        <v/>
      </c>
      <c r="I110" s="65" t="str">
        <f t="shared" ca="1" si="95"/>
        <v/>
      </c>
      <c r="J110" s="65" t="str">
        <f t="shared" ca="1" si="95"/>
        <v/>
      </c>
      <c r="K110" s="65" t="str">
        <f t="shared" ca="1" si="95"/>
        <v/>
      </c>
      <c r="L110" s="65" t="str">
        <f t="shared" ca="1" si="95"/>
        <v/>
      </c>
      <c r="M110" s="65" t="str">
        <f t="shared" si="92"/>
        <v/>
      </c>
      <c r="N110" s="63" t="str">
        <f>IF(OR($A110=""),"",M90)</f>
        <v/>
      </c>
    </row>
    <row r="111" spans="1:14" x14ac:dyDescent="0.35">
      <c r="A111" t="str">
        <f t="shared" si="89"/>
        <v/>
      </c>
      <c r="B111" s="1"/>
      <c r="C111" s="65" t="str">
        <f t="shared" ref="C111:L111" ca="1" si="96">IF(OR(C$26="",$A111=""),"",OFFSET(C$57,8*(ROW(B111)-ROW(B$106)),0))</f>
        <v/>
      </c>
      <c r="D111" s="65" t="str">
        <f t="shared" ca="1" si="96"/>
        <v/>
      </c>
      <c r="E111" s="65" t="str">
        <f t="shared" ca="1" si="96"/>
        <v/>
      </c>
      <c r="F111" s="65" t="str">
        <f t="shared" ca="1" si="96"/>
        <v/>
      </c>
      <c r="G111" s="65" t="str">
        <f t="shared" ca="1" si="96"/>
        <v/>
      </c>
      <c r="H111" s="65" t="str">
        <f t="shared" ca="1" si="96"/>
        <v/>
      </c>
      <c r="I111" s="65" t="str">
        <f t="shared" ca="1" si="96"/>
        <v/>
      </c>
      <c r="J111" s="65" t="str">
        <f t="shared" ca="1" si="96"/>
        <v/>
      </c>
      <c r="K111" s="65" t="str">
        <f t="shared" ca="1" si="96"/>
        <v/>
      </c>
      <c r="L111" s="65" t="str">
        <f t="shared" ca="1" si="96"/>
        <v/>
      </c>
      <c r="M111" s="65" t="str">
        <f t="shared" si="92"/>
        <v/>
      </c>
      <c r="N111" s="63" t="str">
        <f>IF(OR($A111=""),"",M98)</f>
        <v/>
      </c>
    </row>
    <row r="112" spans="1:14" x14ac:dyDescent="0.35">
      <c r="A112" t="s">
        <v>143</v>
      </c>
      <c r="B112" s="1"/>
      <c r="C112" s="49">
        <f ca="1">IF(C$26&lt;&gt;"",SUM(C106:C111),"")</f>
        <v>0</v>
      </c>
      <c r="D112" s="49">
        <f t="shared" ref="D112:L112" ca="1" si="97">IF(D$26&lt;&gt;"",SUM(D106:D111),"")</f>
        <v>0</v>
      </c>
      <c r="E112" s="113">
        <f t="shared" ca="1" si="97"/>
        <v>5.5511151231257827E-17</v>
      </c>
      <c r="F112" s="49">
        <f t="shared" ca="1" si="97"/>
        <v>0</v>
      </c>
      <c r="G112" s="49">
        <f t="shared" ca="1" si="97"/>
        <v>0</v>
      </c>
      <c r="H112" s="49" t="str">
        <f t="shared" si="97"/>
        <v/>
      </c>
      <c r="I112" s="49" t="str">
        <f t="shared" si="97"/>
        <v/>
      </c>
      <c r="J112" s="49" t="str">
        <f t="shared" si="97"/>
        <v/>
      </c>
      <c r="K112" s="49" t="str">
        <f t="shared" si="97"/>
        <v/>
      </c>
      <c r="L112" s="49" t="str">
        <f t="shared" si="97"/>
        <v/>
      </c>
      <c r="M112" s="32"/>
    </row>
    <row r="113" spans="1:12" x14ac:dyDescent="0.35">
      <c r="A113" s="1" t="s">
        <v>132</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4" ca="1" si="98">IF(OR(C$26="",$A114=""),"",OFFSET(C$61,8*(ROW(B114)-ROW(B$114)),0))</f>
        <v>3.5</v>
      </c>
      <c r="D114" s="65">
        <f t="shared" ca="1" si="98"/>
        <v>2.9</v>
      </c>
      <c r="E114" s="65">
        <f t="shared" ca="1" si="98"/>
        <v>2</v>
      </c>
      <c r="F114" s="65">
        <f t="shared" ca="1" si="98"/>
        <v>0.7</v>
      </c>
      <c r="G114" s="65">
        <f t="shared" ca="1" si="98"/>
        <v>0.3</v>
      </c>
      <c r="H114" s="65" t="str">
        <f t="shared" ca="1" si="98"/>
        <v/>
      </c>
      <c r="I114" s="65" t="str">
        <f t="shared" ca="1" si="98"/>
        <v/>
      </c>
      <c r="J114" s="65" t="str">
        <f t="shared" ca="1" si="98"/>
        <v/>
      </c>
      <c r="K114" s="65" t="str">
        <f t="shared" ca="1" si="98"/>
        <v/>
      </c>
      <c r="L114" s="65" t="str">
        <f t="shared" ca="1" si="98"/>
        <v/>
      </c>
    </row>
    <row r="115" spans="1:12" x14ac:dyDescent="0.35">
      <c r="A115" t="str">
        <f>IF(A6="","","    "&amp;A6&amp;" - Release from Mead")</f>
        <v xml:space="preserve">    Lower Basin - Release from Mead</v>
      </c>
      <c r="C115" s="65">
        <f t="shared" ref="C115:L115" ca="1" si="99">IF(OR(C$26="",$A115=""),"",OFFSET(C$61,8*(ROW(B115)-ROW(B$114)),0))</f>
        <v>7</v>
      </c>
      <c r="D115" s="65">
        <f t="shared" ca="1" si="99"/>
        <v>6.8</v>
      </c>
      <c r="E115" s="65">
        <f t="shared" ca="1" si="99"/>
        <v>6.7</v>
      </c>
      <c r="F115" s="65">
        <f t="shared" ca="1" si="99"/>
        <v>6.6</v>
      </c>
      <c r="G115" s="65">
        <f t="shared" ca="1" si="99"/>
        <v>6.6</v>
      </c>
      <c r="H115" s="65" t="str">
        <f t="shared" ca="1" si="99"/>
        <v/>
      </c>
      <c r="I115" s="65" t="str">
        <f t="shared" ca="1" si="99"/>
        <v/>
      </c>
      <c r="J115" s="65" t="str">
        <f t="shared" ca="1" si="99"/>
        <v/>
      </c>
      <c r="K115" s="65" t="str">
        <f t="shared" ca="1" si="99"/>
        <v/>
      </c>
      <c r="L115" s="65" t="str">
        <f t="shared" ca="1" si="99"/>
        <v/>
      </c>
    </row>
    <row r="116" spans="1:12" x14ac:dyDescent="0.35">
      <c r="A116" t="str">
        <f>IF(A7="","","    "&amp;A7&amp;" - Release from Mead")</f>
        <v xml:space="preserve">    Mexico - Release from Mead</v>
      </c>
      <c r="C116" s="65">
        <f t="shared" ref="C116:L116" ca="1" si="100">IF(OR(C$26="",$A116=""),"",OFFSET(C$61,8*(ROW(B116)-ROW(B$114)),0))</f>
        <v>1.5</v>
      </c>
      <c r="D116" s="65">
        <f t="shared" ca="1" si="100"/>
        <v>1.2</v>
      </c>
      <c r="E116" s="65">
        <f t="shared" ca="1" si="100"/>
        <v>1.2</v>
      </c>
      <c r="F116" s="65">
        <f t="shared" ca="1" si="100"/>
        <v>1.2</v>
      </c>
      <c r="G116" s="65">
        <f t="shared" ca="1" si="100"/>
        <v>1.2</v>
      </c>
      <c r="H116" s="65" t="str">
        <f t="shared" ca="1" si="100"/>
        <v/>
      </c>
      <c r="I116" s="65" t="str">
        <f t="shared" ca="1" si="100"/>
        <v/>
      </c>
      <c r="J116" s="65" t="str">
        <f t="shared" ca="1" si="100"/>
        <v/>
      </c>
      <c r="K116" s="65" t="str">
        <f t="shared" ca="1" si="100"/>
        <v/>
      </c>
      <c r="L116" s="65" t="str">
        <f t="shared" ca="1" si="100"/>
        <v/>
      </c>
    </row>
    <row r="117" spans="1:12" x14ac:dyDescent="0.35">
      <c r="A117" t="str">
        <f>IF(A8="","","    "&amp;A8&amp;" - Release from Mead")</f>
        <v xml:space="preserve">    Shared, Reserve - Release from Mead</v>
      </c>
      <c r="C117" s="65">
        <f t="shared" ref="C117:L117" ca="1" si="101">IF(OR(C$26="",$A117=""),"",OFFSET(C$61,8*(ROW(B117)-ROW(B$114)),0))</f>
        <v>0</v>
      </c>
      <c r="D117" s="65">
        <f t="shared" ca="1" si="101"/>
        <v>0</v>
      </c>
      <c r="E117" s="65">
        <f t="shared" ca="1" si="101"/>
        <v>0</v>
      </c>
      <c r="F117" s="65">
        <f t="shared" ca="1" si="101"/>
        <v>0</v>
      </c>
      <c r="G117" s="65">
        <f t="shared" ca="1" si="101"/>
        <v>0</v>
      </c>
      <c r="H117" s="65" t="str">
        <f t="shared" ca="1" si="101"/>
        <v/>
      </c>
      <c r="I117" s="65" t="str">
        <f t="shared" ca="1" si="101"/>
        <v/>
      </c>
      <c r="J117" s="65" t="str">
        <f t="shared" ca="1" si="101"/>
        <v/>
      </c>
      <c r="K117" s="65" t="str">
        <f t="shared" ca="1" si="101"/>
        <v/>
      </c>
      <c r="L117" s="65" t="str">
        <f t="shared" ca="1" si="101"/>
        <v/>
      </c>
    </row>
    <row r="118" spans="1:12" x14ac:dyDescent="0.35">
      <c r="A118" t="str">
        <f>IF(A9="","","    "&amp;A9&amp;" - Release from Mead")</f>
        <v/>
      </c>
      <c r="C118" s="65" t="str">
        <f t="shared" ref="C118:L118" ca="1" si="102">IF(OR(C$26="",$A118=""),"",OFFSET(C$61,8*(ROW(B118)-ROW(B$114)),0))</f>
        <v/>
      </c>
      <c r="D118" s="65" t="str">
        <f t="shared" ca="1" si="102"/>
        <v/>
      </c>
      <c r="E118" s="65" t="str">
        <f t="shared" ca="1" si="102"/>
        <v/>
      </c>
      <c r="F118" s="65" t="str">
        <f t="shared" ca="1" si="102"/>
        <v/>
      </c>
      <c r="G118" s="65" t="str">
        <f t="shared" ca="1" si="102"/>
        <v/>
      </c>
      <c r="H118" s="65" t="str">
        <f t="shared" ca="1" si="102"/>
        <v/>
      </c>
      <c r="I118" s="65" t="str">
        <f t="shared" ca="1" si="102"/>
        <v/>
      </c>
      <c r="J118" s="65" t="str">
        <f t="shared" ca="1" si="102"/>
        <v/>
      </c>
      <c r="K118" s="65" t="str">
        <f t="shared" ca="1" si="102"/>
        <v/>
      </c>
      <c r="L118" s="65" t="str">
        <f t="shared" ca="1" si="102"/>
        <v/>
      </c>
    </row>
    <row r="119" spans="1:12" x14ac:dyDescent="0.35">
      <c r="A119" t="str">
        <f>IF(A10="","","    "&amp;A10&amp;" - Release from Mead")</f>
        <v/>
      </c>
      <c r="C119" s="65" t="str">
        <f t="shared" ref="C119:L119" ca="1" si="103">IF(OR(C$26="",$A119=""),"",OFFSET(C$61,8*(ROW(B119)-ROW(B$114)),0))</f>
        <v/>
      </c>
      <c r="D119" s="65" t="str">
        <f t="shared" ca="1" si="103"/>
        <v/>
      </c>
      <c r="E119" s="65" t="str">
        <f t="shared" ca="1" si="103"/>
        <v/>
      </c>
      <c r="F119" s="65" t="str">
        <f t="shared" ca="1" si="103"/>
        <v/>
      </c>
      <c r="G119" s="65" t="str">
        <f t="shared" ca="1" si="103"/>
        <v/>
      </c>
      <c r="H119" s="65" t="str">
        <f t="shared" ca="1" si="103"/>
        <v/>
      </c>
      <c r="I119" s="65" t="str">
        <f t="shared" ca="1" si="103"/>
        <v/>
      </c>
      <c r="J119" s="65" t="str">
        <f t="shared" ca="1" si="103"/>
        <v/>
      </c>
      <c r="K119" s="65" t="str">
        <f t="shared" ca="1" si="103"/>
        <v/>
      </c>
      <c r="L119" s="65" t="str">
        <f t="shared" ca="1" si="103"/>
        <v/>
      </c>
    </row>
    <row r="120" spans="1:12" x14ac:dyDescent="0.35">
      <c r="A120" s="1" t="s">
        <v>137</v>
      </c>
      <c r="B120" s="1"/>
      <c r="D120" s="2"/>
      <c r="E120" s="2"/>
      <c r="F120" s="2"/>
      <c r="G120" s="2"/>
      <c r="H120" s="2"/>
      <c r="I120" s="2"/>
      <c r="J120" s="2"/>
      <c r="K120" s="2"/>
      <c r="L120" s="2"/>
    </row>
    <row r="121" spans="1:12" x14ac:dyDescent="0.35">
      <c r="A121" t="str">
        <f t="shared" ref="A121:A126" si="104">IF(A5="","","    "&amp;A5)</f>
        <v xml:space="preserve">    Upper Basin</v>
      </c>
      <c r="C121" s="65">
        <f t="shared" ref="C121:L121" ca="1" si="105">IF(OR(C$26="",$A121=""),"",OFFSET(C$62,8*(ROW(B121)-ROW(B$121)),0))</f>
        <v>3.5040452368981807</v>
      </c>
      <c r="D121" s="65">
        <f t="shared" ca="1" si="105"/>
        <v>1.8046756171878031</v>
      </c>
      <c r="E121" s="65">
        <f t="shared" ca="1" si="105"/>
        <v>1.5073083708761734</v>
      </c>
      <c r="F121" s="65">
        <f t="shared" ca="1" si="105"/>
        <v>0.82058243277347986</v>
      </c>
      <c r="G121" s="65">
        <f t="shared" ca="1" si="105"/>
        <v>0.47214858573333679</v>
      </c>
      <c r="H121" s="65" t="str">
        <f t="shared" ca="1" si="105"/>
        <v/>
      </c>
      <c r="I121" s="65" t="str">
        <f t="shared" ca="1" si="105"/>
        <v/>
      </c>
      <c r="J121" s="65" t="str">
        <f t="shared" ca="1" si="105"/>
        <v/>
      </c>
      <c r="K121" s="65" t="str">
        <f t="shared" ca="1" si="105"/>
        <v/>
      </c>
      <c r="L121" s="65" t="str">
        <f t="shared" ca="1" si="105"/>
        <v/>
      </c>
    </row>
    <row r="122" spans="1:12" x14ac:dyDescent="0.35">
      <c r="A122" t="str">
        <f t="shared" si="104"/>
        <v xml:space="preserve">    Lower Basin</v>
      </c>
      <c r="C122" s="65">
        <f t="shared" ref="C122:L122" ca="1" si="106">IF(OR(C$26="",$A122=""),"",OFFSET(C$62,8*(ROW(B122)-ROW(B$121)),0))</f>
        <v>4.0699815232907888</v>
      </c>
      <c r="D122" s="65">
        <f t="shared" ca="1" si="106"/>
        <v>2.8610195042827629</v>
      </c>
      <c r="E122" s="65">
        <f t="shared" ca="1" si="106"/>
        <v>0.86795057260783626</v>
      </c>
      <c r="F122" s="65">
        <f t="shared" ca="1" si="106"/>
        <v>0.63775738801431459</v>
      </c>
      <c r="G122" s="65">
        <f t="shared" ca="1" si="106"/>
        <v>0.28962702540648255</v>
      </c>
      <c r="H122" s="65" t="str">
        <f t="shared" ca="1" si="106"/>
        <v/>
      </c>
      <c r="I122" s="65" t="str">
        <f t="shared" ca="1" si="106"/>
        <v/>
      </c>
      <c r="J122" s="65" t="str">
        <f t="shared" ca="1" si="106"/>
        <v/>
      </c>
      <c r="K122" s="65" t="str">
        <f t="shared" ca="1" si="106"/>
        <v/>
      </c>
      <c r="L122" s="65" t="str">
        <f t="shared" ca="1" si="106"/>
        <v/>
      </c>
    </row>
    <row r="123" spans="1:12" x14ac:dyDescent="0.35">
      <c r="A123" t="str">
        <f t="shared" si="104"/>
        <v xml:space="preserve">    Mexico</v>
      </c>
      <c r="C123" s="65">
        <f t="shared" ref="C123:L123" ca="1" si="107">IF(OR(C$26="",$A123=""),"",OFFSET(C$62,8*(ROW(B123)-ROW(B$121)),0))</f>
        <v>0.11290630981105854</v>
      </c>
      <c r="D123" s="65">
        <f t="shared" ca="1" si="107"/>
        <v>0.35457819453003792</v>
      </c>
      <c r="E123" s="65">
        <f t="shared" ca="1" si="107"/>
        <v>0.14878105251659535</v>
      </c>
      <c r="F123" s="65">
        <f t="shared" ca="1" si="107"/>
        <v>5.3553976712210183E-2</v>
      </c>
      <c r="G123" s="65">
        <f t="shared" ca="1" si="107"/>
        <v>0.17672635386018665</v>
      </c>
      <c r="H123" s="65" t="str">
        <f t="shared" ca="1" si="107"/>
        <v/>
      </c>
      <c r="I123" s="65" t="str">
        <f t="shared" ca="1" si="107"/>
        <v/>
      </c>
      <c r="J123" s="65" t="str">
        <f t="shared" ca="1" si="107"/>
        <v/>
      </c>
      <c r="K123" s="65" t="str">
        <f t="shared" ca="1" si="107"/>
        <v/>
      </c>
      <c r="L123" s="65" t="str">
        <f t="shared" ca="1" si="107"/>
        <v/>
      </c>
    </row>
    <row r="124" spans="1:12" x14ac:dyDescent="0.35">
      <c r="A124" t="str">
        <f t="shared" si="104"/>
        <v xml:space="preserve">    Shared, Reserve</v>
      </c>
      <c r="C124" s="65">
        <f t="shared" ref="C124:L124" ca="1" si="108">IF(OR(C$26="",$A124=""),"",OFFSET(C$62,8*(ROW(B124)-ROW(B$121)),0))</f>
        <v>11.59116925</v>
      </c>
      <c r="D124" s="65">
        <f t="shared" ca="1" si="108"/>
        <v>11.59116925</v>
      </c>
      <c r="E124" s="65">
        <f t="shared" ca="1" si="108"/>
        <v>11.59116925</v>
      </c>
      <c r="F124" s="65">
        <f t="shared" ca="1" si="108"/>
        <v>11.59116925</v>
      </c>
      <c r="G124" s="65">
        <f t="shared" ca="1" si="108"/>
        <v>11.59116925</v>
      </c>
      <c r="H124" s="65" t="str">
        <f t="shared" ca="1" si="108"/>
        <v/>
      </c>
      <c r="I124" s="65" t="str">
        <f t="shared" ca="1" si="108"/>
        <v/>
      </c>
      <c r="J124" s="65" t="str">
        <f t="shared" ca="1" si="108"/>
        <v/>
      </c>
      <c r="K124" s="65" t="str">
        <f t="shared" ca="1" si="108"/>
        <v/>
      </c>
      <c r="L124" s="65" t="str">
        <f t="shared" ca="1" si="108"/>
        <v/>
      </c>
    </row>
    <row r="125" spans="1:12" x14ac:dyDescent="0.35">
      <c r="A125" t="str">
        <f t="shared" si="104"/>
        <v/>
      </c>
      <c r="C125" s="65" t="str">
        <f t="shared" ref="C125:L125" ca="1" si="109">IF(OR(C$26="",$A125=""),"",OFFSET(C$62,8*(ROW(B125)-ROW(B$121)),0))</f>
        <v/>
      </c>
      <c r="D125" s="65" t="str">
        <f t="shared" ca="1" si="109"/>
        <v/>
      </c>
      <c r="E125" s="65" t="str">
        <f t="shared" ca="1" si="109"/>
        <v/>
      </c>
      <c r="F125" s="65" t="str">
        <f t="shared" ca="1" si="109"/>
        <v/>
      </c>
      <c r="G125" s="65" t="str">
        <f t="shared" ca="1" si="109"/>
        <v/>
      </c>
      <c r="H125" s="65" t="str">
        <f t="shared" ca="1" si="109"/>
        <v/>
      </c>
      <c r="I125" s="65" t="str">
        <f t="shared" ca="1" si="109"/>
        <v/>
      </c>
      <c r="J125" s="65" t="str">
        <f t="shared" ca="1" si="109"/>
        <v/>
      </c>
      <c r="K125" s="65" t="str">
        <f t="shared" ca="1" si="109"/>
        <v/>
      </c>
      <c r="L125" s="65" t="str">
        <f t="shared" ca="1" si="109"/>
        <v/>
      </c>
    </row>
    <row r="126" spans="1:12" x14ac:dyDescent="0.35">
      <c r="A126" t="str">
        <f t="shared" si="104"/>
        <v/>
      </c>
      <c r="C126" s="65" t="str">
        <f t="shared" ref="C126:L126" ca="1" si="110">IF(OR(C$26="",$A126=""),"",OFFSET(C$62,8*(ROW(B126)-ROW(B$121)),0))</f>
        <v/>
      </c>
      <c r="D126" s="65" t="str">
        <f t="shared" ca="1" si="110"/>
        <v/>
      </c>
      <c r="E126" s="65" t="str">
        <f t="shared" ca="1" si="110"/>
        <v/>
      </c>
      <c r="F126" s="65" t="str">
        <f t="shared" ca="1" si="110"/>
        <v/>
      </c>
      <c r="G126" s="65" t="str">
        <f t="shared" ca="1" si="110"/>
        <v/>
      </c>
      <c r="H126" s="65" t="str">
        <f t="shared" ca="1" si="110"/>
        <v/>
      </c>
      <c r="I126" s="65" t="str">
        <f t="shared" ca="1" si="110"/>
        <v/>
      </c>
      <c r="J126" s="65" t="str">
        <f t="shared" ca="1" si="110"/>
        <v/>
      </c>
      <c r="K126" s="65" t="str">
        <f t="shared" ca="1" si="110"/>
        <v/>
      </c>
      <c r="L126" s="65" t="str">
        <f t="shared" ca="1" si="110"/>
        <v/>
      </c>
    </row>
    <row r="127" spans="1:12" x14ac:dyDescent="0.35">
      <c r="A127" s="1" t="s">
        <v>121</v>
      </c>
      <c r="B127" s="1"/>
      <c r="C127" s="14">
        <f ca="1">IF(C$26&lt;&gt;"",SUM(C121:C126),"")</f>
        <v>19.278102320000027</v>
      </c>
      <c r="D127" s="14">
        <f t="shared" ref="D127:L127" ca="1" si="111">IF(D$26&lt;&gt;"",SUM(D121:D126),"")</f>
        <v>16.611442566000605</v>
      </c>
      <c r="E127" s="14">
        <f t="shared" ca="1" si="111"/>
        <v>14.115209246000605</v>
      </c>
      <c r="F127" s="14">
        <f t="shared" ca="1" si="111"/>
        <v>13.103063047500005</v>
      </c>
      <c r="G127" s="14">
        <f t="shared" ca="1" si="111"/>
        <v>12.529671215000006</v>
      </c>
      <c r="H127" s="14" t="str">
        <f t="shared" si="111"/>
        <v/>
      </c>
      <c r="I127" s="14" t="str">
        <f t="shared" si="111"/>
        <v/>
      </c>
      <c r="J127" s="14" t="str">
        <f t="shared" si="111"/>
        <v/>
      </c>
      <c r="K127" s="14" t="str">
        <f t="shared" si="111"/>
        <v/>
      </c>
      <c r="L127" s="14" t="str">
        <f t="shared" si="111"/>
        <v/>
      </c>
    </row>
    <row r="128" spans="1:12" x14ac:dyDescent="0.35">
      <c r="A128" s="1" t="s">
        <v>194</v>
      </c>
      <c r="B128" s="1"/>
      <c r="C128" s="66">
        <v>0.5</v>
      </c>
      <c r="D128" s="66">
        <v>0.65</v>
      </c>
      <c r="E128" s="66">
        <v>0.9</v>
      </c>
      <c r="F128" s="66">
        <v>0.5</v>
      </c>
      <c r="G128" s="66">
        <v>0.5</v>
      </c>
      <c r="H128" s="66"/>
      <c r="I128" s="66"/>
      <c r="J128" s="66"/>
      <c r="K128" s="66"/>
      <c r="L128" s="66"/>
    </row>
    <row r="129" spans="1:14" x14ac:dyDescent="0.35">
      <c r="A129" s="1" t="s">
        <v>190</v>
      </c>
      <c r="B129" s="1"/>
      <c r="C129" s="14">
        <f ca="1">IF(C26="","",C$128*C$127)</f>
        <v>9.6390511600000135</v>
      </c>
      <c r="D129" s="14">
        <f t="shared" ref="D129:L129" ca="1" si="112">IF(D26="","",D$128*D$127)</f>
        <v>10.797437667900393</v>
      </c>
      <c r="E129" s="14">
        <f t="shared" ca="1" si="112"/>
        <v>12.703688321400545</v>
      </c>
      <c r="F129" s="14">
        <f t="shared" ca="1" si="112"/>
        <v>6.5515315237500023</v>
      </c>
      <c r="G129" s="14">
        <f t="shared" ca="1" si="112"/>
        <v>6.2648356075000029</v>
      </c>
      <c r="H129" s="14" t="str">
        <f t="shared" si="112"/>
        <v/>
      </c>
      <c r="I129" s="14" t="str">
        <f t="shared" si="112"/>
        <v/>
      </c>
      <c r="J129" s="14" t="str">
        <f t="shared" si="112"/>
        <v/>
      </c>
      <c r="K129" s="14" t="str">
        <f t="shared" si="112"/>
        <v/>
      </c>
      <c r="L129" s="14" t="str">
        <f t="shared" si="112"/>
        <v/>
      </c>
    </row>
    <row r="130" spans="1:14" x14ac:dyDescent="0.35">
      <c r="A130" s="1" t="s">
        <v>191</v>
      </c>
      <c r="B130" s="1"/>
      <c r="C130" s="14">
        <f ca="1">IF(C27="","",(1-C$128)*C$127)</f>
        <v>9.6390511600000135</v>
      </c>
      <c r="D130" s="14">
        <f t="shared" ref="D130:L130" ca="1" si="113">IF(D27="","",(1-D$128)*D$127)</f>
        <v>5.8140048981002117</v>
      </c>
      <c r="E130" s="14">
        <f t="shared" ca="1" si="113"/>
        <v>1.4115209246000602</v>
      </c>
      <c r="F130" s="14">
        <f t="shared" ca="1" si="113"/>
        <v>6.5515315237500023</v>
      </c>
      <c r="G130" s="14">
        <f t="shared" ca="1" si="113"/>
        <v>6.2648356075000029</v>
      </c>
      <c r="H130" s="14" t="str">
        <f t="shared" si="113"/>
        <v/>
      </c>
      <c r="I130" s="14" t="str">
        <f t="shared" si="113"/>
        <v/>
      </c>
      <c r="J130" s="14" t="str">
        <f t="shared" si="113"/>
        <v/>
      </c>
      <c r="K130" s="14" t="str">
        <f t="shared" si="113"/>
        <v/>
      </c>
      <c r="L130" s="14" t="str">
        <f t="shared" si="113"/>
        <v/>
      </c>
    </row>
    <row r="131" spans="1:14" x14ac:dyDescent="0.35">
      <c r="A131" s="30" t="s">
        <v>255</v>
      </c>
      <c r="B131" s="1"/>
      <c r="C131" s="81">
        <f ca="1">IF(C$26&lt;&gt;"",VLOOKUP(C129*1000000,'Powell-Elevation-Area'!$B$5:$H$689,7),"")</f>
        <v>3576</v>
      </c>
      <c r="D131" s="81">
        <f ca="1">IF(D$26&lt;&gt;"",VLOOKUP(D129*1000000,'Powell-Elevation-Area'!$B$5:$H$689,7),"")</f>
        <v>3589.5</v>
      </c>
      <c r="E131" s="81">
        <f ca="1">IF(E$26&lt;&gt;"",VLOOKUP(E129*1000000,'Powell-Elevation-Area'!$B$5:$H$689,7),"")</f>
        <v>3609.5</v>
      </c>
      <c r="F131" s="81">
        <f ca="1">IF(F$26&lt;&gt;"",VLOOKUP(F129*1000000,'Powell-Elevation-Area'!$B$5:$H$689,7),"")</f>
        <v>3534.5</v>
      </c>
      <c r="G131" s="81">
        <f ca="1">IF(G$26&lt;&gt;"",VLOOKUP(G129*1000000,'Powell-Elevation-Area'!$B$5:$H$689,7),"")</f>
        <v>3530</v>
      </c>
      <c r="H131" s="81" t="str">
        <f>IF(H$26&lt;&gt;"",VLOOKUP(H129*1000000,'Powell-Elevation-Area'!$B$5:$H$689,7),"")</f>
        <v/>
      </c>
      <c r="I131" s="81" t="str">
        <f>IF(I$26&lt;&gt;"",VLOOKUP(I129*1000000,'Powell-Elevation-Area'!$B$5:$H$689,7),"")</f>
        <v/>
      </c>
      <c r="J131" s="81" t="str">
        <f>IF(J$26&lt;&gt;"",VLOOKUP(J129*1000000,'Powell-Elevation-Area'!$B$5:$H$689,7),"")</f>
        <v/>
      </c>
      <c r="K131" s="81" t="str">
        <f>IF(K$26&lt;&gt;"",VLOOKUP(K129*1000000,'Powell-Elevation-Area'!$B$5:$H$689,7),"")</f>
        <v/>
      </c>
      <c r="L131" s="81" t="str">
        <f>IF(L$26&lt;&gt;"",VLOOKUP(L129*1000000,'Powell-Elevation-Area'!$B$5:$H$689,7),"")</f>
        <v/>
      </c>
    </row>
    <row r="132" spans="1:14" x14ac:dyDescent="0.35">
      <c r="A132" s="30" t="s">
        <v>256</v>
      </c>
      <c r="B132" s="1"/>
      <c r="C132" s="81">
        <f ca="1">IF(C$26&lt;&gt;"",VLOOKUP(C130*1000000,'Mead-Elevation-Area'!$B$5:$H$689,7),"")</f>
        <v>1075</v>
      </c>
      <c r="D132" s="81">
        <f ca="1">IF(D$26&lt;&gt;"",VLOOKUP(D130*1000000,'Mead-Elevation-Area'!$B$5:$H$689,7),"")</f>
        <v>1022</v>
      </c>
      <c r="E132" s="81">
        <f ca="1">IF(E$26&lt;&gt;"",VLOOKUP(E130*1000000,'Mead-Elevation-Area'!$B$5:$H$689,7),"")</f>
        <v>935.5</v>
      </c>
      <c r="F132" s="81">
        <f ca="1">IF(F$26&lt;&gt;"",VLOOKUP(F130*1000000,'Mead-Elevation-Area'!$B$5:$H$689,7),"")</f>
        <v>1033.5</v>
      </c>
      <c r="G132" s="81">
        <f ca="1">IF(G$26&lt;&gt;"",VLOOKUP(G130*1000000,'Mead-Elevation-Area'!$B$5:$H$689,7),"")</f>
        <v>1029</v>
      </c>
      <c r="H132" s="81" t="str">
        <f>IF(H$26&lt;&gt;"",VLOOKUP(H130*1000000,'Mead-Elevation-Area'!$B$5:$H$689,7),"")</f>
        <v/>
      </c>
      <c r="I132" s="81" t="str">
        <f>IF(I$26&lt;&gt;"",VLOOKUP(I130*1000000,'Mead-Elevation-Area'!$B$5:$H$689,7),"")</f>
        <v/>
      </c>
      <c r="J132" s="81" t="str">
        <f>IF(J$26&lt;&gt;"",VLOOKUP(J130*1000000,'Mead-Elevation-Area'!$B$5:$H$689,7),"")</f>
        <v/>
      </c>
      <c r="K132" s="81" t="str">
        <f>IF(K$26&lt;&gt;"",VLOOKUP(K130*1000000,'Mead-Elevation-Area'!$B$5:$H$689,7),"")</f>
        <v/>
      </c>
      <c r="L132" s="81" t="str">
        <f>IF(L$26&lt;&gt;"",VLOOKUP(L130*1000000,'Mead-Elevation-Area'!$B$5:$H$689,7),"")</f>
        <v/>
      </c>
    </row>
    <row r="133" spans="1:14" x14ac:dyDescent="0.35">
      <c r="A133" s="1" t="s">
        <v>268</v>
      </c>
      <c r="B133" s="1"/>
    </row>
    <row r="134" spans="1:14" x14ac:dyDescent="0.35">
      <c r="A134" s="30" t="s">
        <v>269</v>
      </c>
      <c r="B134" s="1"/>
      <c r="C134" s="14">
        <f ca="1">IF(C$26&lt;&gt;"",-C129+C37+C26-C61-VLOOKUP(C37*1000000,'Powell-Elevation-Area'!$B$5:$D$689,3)*$B$20/1000000,"")</f>
        <v>8.3380519599994134</v>
      </c>
      <c r="D134" s="14">
        <f ca="1">IF(D$26&lt;&gt;"",-D129+D37+D26-D61-VLOOKUP(D37*1000000,'Powell-Elevation-Area'!$B$5:$D$689,3)*$B$20/1000000,"")</f>
        <v>4.4618417381001931</v>
      </c>
      <c r="E134" s="14">
        <f ca="1">IF(E$26&lt;&gt;"",-E129+E37+E26-E61-VLOOKUP(E37*1000000,'Powell-Elevation-Area'!$B$5:$D$689,3)*$B$20/1000000,"")</f>
        <v>3.6764220264998477</v>
      </c>
      <c r="F134" s="14">
        <f ca="1">IF(F$26&lt;&gt;"",-F129+F37+F26-F61-VLOOKUP(F37*1000000,'Powell-Elevation-Area'!$B$5:$D$689,3)*$B$20/1000000,"")</f>
        <v>12.976896599150542</v>
      </c>
      <c r="G134" s="14">
        <f ca="1">IF(G$26&lt;&gt;"",-G129+G37+G26-G61-VLOOKUP(G37*1000000,'Powell-Elevation-Area'!$B$5:$D$689,3)*$B$20/1000000,"")</f>
        <v>7.713786083749997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192</v>
      </c>
    </row>
    <row r="135" spans="1:14" x14ac:dyDescent="0.3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15</v>
      </c>
      <c r="F135" s="81" t="str">
        <f ca="1">IF(F$26&lt;&gt;"",VLOOKUP(F131,PowellReleaseTemperature!$A$5:$B$11,2),"")</f>
        <v>&lt; 18</v>
      </c>
      <c r="G135" s="81" t="str">
        <f ca="1">IF(G$26&lt;&gt;"",VLOOKUP(G131,PowellReleaseTemperature!$A$5:$B$11,2),"")</f>
        <v>&lt; 18</v>
      </c>
      <c r="H135" s="81" t="str">
        <f>IF(H$26&lt;&gt;"",VLOOKUP(H131,PowellReleaseTemperature!$A$5:$B$11,2),"")</f>
        <v/>
      </c>
      <c r="I135" s="81" t="str">
        <f>IF(I$26&lt;&gt;"",VLOOKUP(I131,PowellReleaseTemperature!$A$5:$B$11,2),"")</f>
        <v/>
      </c>
      <c r="J135" s="81" t="str">
        <f>IF(J$26&lt;&gt;"",VLOOKUP(J131,PowellReleaseTemperature!$A$5:$B$11,2),"")</f>
        <v/>
      </c>
      <c r="K135" s="81" t="str">
        <f>IF(K$26&lt;&gt;"",VLOOKUP(K131,PowellReleaseTemperature!$A$5:$B$11,2),"")</f>
        <v/>
      </c>
      <c r="L135" s="81" t="str">
        <f>IF(L$26&lt;&gt;"",VLOOKUP(L131,PowellReleaseTemperature!$A$5:$B$11,2),"")</f>
        <v/>
      </c>
      <c r="N135" t="s">
        <v>274</v>
      </c>
    </row>
    <row r="136" spans="1:14" s="83" customFormat="1" ht="62.5" customHeight="1" x14ac:dyDescent="0.3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Increased relative abundance</v>
      </c>
      <c r="F136" s="114" t="str">
        <f ca="1">IF(F$26&lt;&gt;"",VLOOKUP(F$131,PowellReleaseTemperature!$A$5:$E$11,5),"")</f>
        <v>May benefit or face invasion</v>
      </c>
      <c r="G136" s="114" t="str">
        <f ca="1">IF(G$26&lt;&gt;"",VLOOKUP(G$131,PowellReleaseTemperature!$A$5:$E$11,5),"")</f>
        <v>May benefit or face invasion</v>
      </c>
      <c r="H136" s="114" t="str">
        <f>IF(H$26&lt;&gt;"",VLOOKUP(H$131,PowellReleaseTemperature!$A$5:$E$11,5),"")</f>
        <v/>
      </c>
      <c r="I136" s="114" t="str">
        <f>IF(I$26&lt;&gt;"",VLOOKUP(I$131,PowellReleaseTemperature!$A$5:$E$11,5),"")</f>
        <v/>
      </c>
      <c r="J136" s="114" t="str">
        <f>IF(J$26&lt;&gt;"",VLOOKUP(J$131,PowellReleaseTemperature!$A$5:$E$11,5),"")</f>
        <v/>
      </c>
      <c r="K136" s="114" t="str">
        <f>IF(K$26&lt;&gt;"",VLOOKUP(K$131,PowellReleaseTemperature!$A$5:$E$11,5),"")</f>
        <v/>
      </c>
      <c r="L136" s="114" t="str">
        <f>IF(L$26&lt;&gt;"",VLOOKUP(L$131,PowellReleaseTemperature!$A$5:$E$11,5),"")</f>
        <v/>
      </c>
    </row>
    <row r="137" spans="1:14" s="83" customFormat="1" ht="32.15" customHeight="1" x14ac:dyDescent="0.3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IF(H$26&lt;&gt;"",VLOOKUP(H$131,PowellReleaseTemperature!$A$5:$F$11,6),"")</f>
        <v/>
      </c>
      <c r="I137" s="114" t="str">
        <f>IF(I$26&lt;&gt;"",VLOOKUP(I$131,PowellReleaseTemperature!$A$5:$F$11,6),"")</f>
        <v/>
      </c>
      <c r="J137" s="114" t="str">
        <f>IF(J$26&lt;&gt;"",VLOOKUP(J$131,PowellReleaseTemperature!$A$5:$F$11,6),"")</f>
        <v/>
      </c>
      <c r="K137" s="114" t="str">
        <f>IF(K$26&lt;&gt;"",VLOOKUP(K$131,PowellReleaseTemperature!$A$5:$F$11,6),"")</f>
        <v/>
      </c>
      <c r="L137" s="114" t="str">
        <f>IF(L$26&lt;&gt;"",VLOOKUP(L$131,PowellReleaseTemperature!$A$5:$F$11,6),"")</f>
        <v/>
      </c>
    </row>
    <row r="138" spans="1:14" x14ac:dyDescent="0.35">
      <c r="C138" s="27"/>
    </row>
    <row r="139" spans="1:14" x14ac:dyDescent="0.35">
      <c r="A139" s="1" t="s">
        <v>123</v>
      </c>
      <c r="C139" s="129">
        <f>IF(C$26&lt;&gt;"",0.2,"")</f>
        <v>0.2</v>
      </c>
      <c r="D139" s="129">
        <f t="shared" ref="D139:L139" si="114">IF(D$26&lt;&gt;"",0.2,"")</f>
        <v>0.2</v>
      </c>
      <c r="E139" s="129">
        <f t="shared" si="114"/>
        <v>0.2</v>
      </c>
      <c r="F139" s="129">
        <f t="shared" si="114"/>
        <v>0.2</v>
      </c>
      <c r="G139" s="129">
        <f t="shared" si="114"/>
        <v>0.2</v>
      </c>
      <c r="H139" s="129" t="str">
        <f t="shared" si="114"/>
        <v/>
      </c>
      <c r="I139" s="129" t="str">
        <f t="shared" si="114"/>
        <v/>
      </c>
      <c r="J139" s="129" t="str">
        <f t="shared" si="114"/>
        <v/>
      </c>
      <c r="K139" s="129" t="str">
        <f t="shared" si="114"/>
        <v/>
      </c>
      <c r="L139" s="129" t="str">
        <f t="shared" si="114"/>
        <v/>
      </c>
    </row>
    <row r="140" spans="1:14" x14ac:dyDescent="0.35">
      <c r="A140" t="s">
        <v>124</v>
      </c>
      <c r="C140" s="14">
        <f t="shared" ref="C140:L140" ca="1" si="115">IF(C$26&lt;&gt;"",C115+C139,"")</f>
        <v>7.2</v>
      </c>
      <c r="D140" s="14">
        <f t="shared" ca="1" si="115"/>
        <v>7</v>
      </c>
      <c r="E140" s="14">
        <f t="shared" ca="1" si="115"/>
        <v>6.9</v>
      </c>
      <c r="F140" s="14">
        <f t="shared" ca="1" si="115"/>
        <v>6.8</v>
      </c>
      <c r="G140" s="14">
        <f t="shared" ca="1" si="115"/>
        <v>6.8</v>
      </c>
      <c r="H140" s="14" t="str">
        <f t="shared" si="115"/>
        <v/>
      </c>
      <c r="I140" s="14" t="str">
        <f t="shared" si="115"/>
        <v/>
      </c>
      <c r="J140" s="14" t="str">
        <f t="shared" si="115"/>
        <v/>
      </c>
      <c r="K140" s="14" t="str">
        <f t="shared" si="115"/>
        <v/>
      </c>
      <c r="L140" s="14" t="str">
        <f t="shared" si="115"/>
        <v/>
      </c>
    </row>
    <row r="142" spans="1:14" x14ac:dyDescent="0.35">
      <c r="D142" s="17"/>
    </row>
  </sheetData>
  <mergeCells count="13">
    <mergeCell ref="A3:G3"/>
    <mergeCell ref="C4:G4"/>
    <mergeCell ref="C5:G5"/>
    <mergeCell ref="C6:G6"/>
    <mergeCell ref="C8:G8"/>
    <mergeCell ref="C7:G7"/>
    <mergeCell ref="C9:G9"/>
    <mergeCell ref="C10:G10"/>
    <mergeCell ref="D17:G17"/>
    <mergeCell ref="B12:F12"/>
    <mergeCell ref="B13:F13"/>
    <mergeCell ref="B14:F14"/>
    <mergeCell ref="B15:F15"/>
  </mergeCells>
  <conditionalFormatting sqref="D61">
    <cfRule type="cellIs" dxfId="243" priority="95" operator="greaterThan">
      <formula>$D$60</formula>
    </cfRule>
  </conditionalFormatting>
  <conditionalFormatting sqref="C61">
    <cfRule type="cellIs" dxfId="242" priority="84" operator="greaterThan">
      <formula>$C$60</formula>
    </cfRule>
  </conditionalFormatting>
  <conditionalFormatting sqref="E61">
    <cfRule type="cellIs" dxfId="241" priority="82" operator="greaterThan">
      <formula>$E$60</formula>
    </cfRule>
  </conditionalFormatting>
  <conditionalFormatting sqref="F61">
    <cfRule type="cellIs" dxfId="240" priority="81" operator="greaterThan">
      <formula>$F$60</formula>
    </cfRule>
  </conditionalFormatting>
  <conditionalFormatting sqref="G61">
    <cfRule type="cellIs" dxfId="239" priority="80" operator="greaterThan">
      <formula>$G$60</formula>
    </cfRule>
  </conditionalFormatting>
  <conditionalFormatting sqref="H61">
    <cfRule type="cellIs" dxfId="238" priority="79" operator="greaterThan">
      <formula>$H$60</formula>
    </cfRule>
  </conditionalFormatting>
  <conditionalFormatting sqref="I61">
    <cfRule type="cellIs" dxfId="237" priority="78" operator="greaterThan">
      <formula>$I$60</formula>
    </cfRule>
  </conditionalFormatting>
  <conditionalFormatting sqref="J61">
    <cfRule type="cellIs" dxfId="236" priority="77" operator="greaterThan">
      <formula>$J$60</formula>
    </cfRule>
  </conditionalFormatting>
  <conditionalFormatting sqref="K61">
    <cfRule type="cellIs" dxfId="235" priority="76" operator="greaterThan">
      <formula>$K$60</formula>
    </cfRule>
  </conditionalFormatting>
  <conditionalFormatting sqref="L61">
    <cfRule type="cellIs" dxfId="234" priority="75" operator="greaterThan">
      <formula>$L$60</formula>
    </cfRule>
  </conditionalFormatting>
  <conditionalFormatting sqref="C69">
    <cfRule type="cellIs" dxfId="233" priority="67" operator="greaterThan">
      <formula>$C$68</formula>
    </cfRule>
  </conditionalFormatting>
  <conditionalFormatting sqref="D69">
    <cfRule type="cellIs" dxfId="232" priority="66" operator="greaterThan">
      <formula>$D$68</formula>
    </cfRule>
  </conditionalFormatting>
  <conditionalFormatting sqref="E69">
    <cfRule type="cellIs" dxfId="231" priority="65" operator="greaterThan">
      <formula>$E$68</formula>
    </cfRule>
  </conditionalFormatting>
  <conditionalFormatting sqref="F69">
    <cfRule type="cellIs" dxfId="230" priority="64" operator="greaterThan">
      <formula>$F$68</formula>
    </cfRule>
  </conditionalFormatting>
  <conditionalFormatting sqref="G69">
    <cfRule type="cellIs" dxfId="229" priority="63" operator="greaterThan">
      <formula>$G$68</formula>
    </cfRule>
  </conditionalFormatting>
  <conditionalFormatting sqref="H69">
    <cfRule type="cellIs" dxfId="228" priority="62" operator="greaterThan">
      <formula>$H$68</formula>
    </cfRule>
  </conditionalFormatting>
  <conditionalFormatting sqref="I69">
    <cfRule type="cellIs" dxfId="227" priority="61" operator="greaterThan">
      <formula>$I$68</formula>
    </cfRule>
  </conditionalFormatting>
  <conditionalFormatting sqref="J69">
    <cfRule type="cellIs" dxfId="226" priority="60" operator="greaterThan">
      <formula>$J$68</formula>
    </cfRule>
  </conditionalFormatting>
  <conditionalFormatting sqref="K69">
    <cfRule type="cellIs" dxfId="225" priority="59" operator="greaterThan">
      <formula>$K$68</formula>
    </cfRule>
  </conditionalFormatting>
  <conditionalFormatting sqref="L69">
    <cfRule type="cellIs" dxfId="224" priority="58" operator="greaterThan">
      <formula>$L$68</formula>
    </cfRule>
  </conditionalFormatting>
  <conditionalFormatting sqref="C77">
    <cfRule type="cellIs" dxfId="223" priority="57" operator="greaterThan">
      <formula>$C$76</formula>
    </cfRule>
  </conditionalFormatting>
  <conditionalFormatting sqref="D77">
    <cfRule type="cellIs" dxfId="222" priority="56" operator="greaterThan">
      <formula>$D$76</formula>
    </cfRule>
  </conditionalFormatting>
  <conditionalFormatting sqref="E77">
    <cfRule type="cellIs" dxfId="221" priority="55" operator="greaterThan">
      <formula>$E$76</formula>
    </cfRule>
  </conditionalFormatting>
  <conditionalFormatting sqref="F77">
    <cfRule type="cellIs" dxfId="220" priority="54" operator="greaterThan">
      <formula>$F$76</formula>
    </cfRule>
  </conditionalFormatting>
  <conditionalFormatting sqref="G77">
    <cfRule type="cellIs" dxfId="219" priority="53" operator="greaterThan">
      <formula>$G$76</formula>
    </cfRule>
  </conditionalFormatting>
  <conditionalFormatting sqref="H77">
    <cfRule type="cellIs" dxfId="218" priority="52" operator="greaterThan">
      <formula>$H$76</formula>
    </cfRule>
  </conditionalFormatting>
  <conditionalFormatting sqref="I77">
    <cfRule type="cellIs" dxfId="217" priority="51" operator="greaterThan">
      <formula>$I$76</formula>
    </cfRule>
  </conditionalFormatting>
  <conditionalFormatting sqref="J77">
    <cfRule type="cellIs" dxfId="216" priority="50" operator="greaterThan">
      <formula>$J$76</formula>
    </cfRule>
  </conditionalFormatting>
  <conditionalFormatting sqref="K77">
    <cfRule type="cellIs" dxfId="215" priority="49" operator="greaterThan">
      <formula>$K$76</formula>
    </cfRule>
  </conditionalFormatting>
  <conditionalFormatting sqref="L77">
    <cfRule type="cellIs" dxfId="214" priority="48" operator="greaterThan">
      <formula>$L$76</formula>
    </cfRule>
  </conditionalFormatting>
  <conditionalFormatting sqref="C85:L85">
    <cfRule type="cellIs" dxfId="213" priority="47" operator="greaterThan">
      <formula>$C$84</formula>
    </cfRule>
  </conditionalFormatting>
  <conditionalFormatting sqref="C93">
    <cfRule type="cellIs" dxfId="212" priority="37" operator="greaterThan">
      <formula>$C$92</formula>
    </cfRule>
  </conditionalFormatting>
  <conditionalFormatting sqref="D93">
    <cfRule type="cellIs" dxfId="211" priority="36" operator="greaterThan">
      <formula>$D$92</formula>
    </cfRule>
  </conditionalFormatting>
  <conditionalFormatting sqref="E93">
    <cfRule type="cellIs" dxfId="210" priority="35" operator="greaterThan">
      <formula>$E$92</formula>
    </cfRule>
  </conditionalFormatting>
  <conditionalFormatting sqref="F93">
    <cfRule type="cellIs" dxfId="209" priority="34" operator="greaterThan">
      <formula>$F$92</formula>
    </cfRule>
  </conditionalFormatting>
  <conditionalFormatting sqref="G93">
    <cfRule type="cellIs" dxfId="208" priority="33" operator="greaterThan">
      <formula>$G$92</formula>
    </cfRule>
  </conditionalFormatting>
  <conditionalFormatting sqref="H93">
    <cfRule type="cellIs" dxfId="207" priority="32" operator="greaterThan">
      <formula>$H$92</formula>
    </cfRule>
  </conditionalFormatting>
  <conditionalFormatting sqref="I93">
    <cfRule type="cellIs" dxfId="206" priority="31" operator="greaterThan">
      <formula>$I$92</formula>
    </cfRule>
  </conditionalFormatting>
  <conditionalFormatting sqref="J93">
    <cfRule type="cellIs" dxfId="205" priority="30" operator="greaterThan">
      <formula>$J$92</formula>
    </cfRule>
  </conditionalFormatting>
  <conditionalFormatting sqref="K93">
    <cfRule type="cellIs" dxfId="204" priority="29" operator="greaterThan">
      <formula>$K$92</formula>
    </cfRule>
  </conditionalFormatting>
  <conditionalFormatting sqref="L93">
    <cfRule type="cellIs" dxfId="203" priority="28" operator="greaterThan">
      <formula>$L$92</formula>
    </cfRule>
  </conditionalFormatting>
  <conditionalFormatting sqref="C101">
    <cfRule type="cellIs" dxfId="202" priority="27" operator="greaterThan">
      <formula>$C$100</formula>
    </cfRule>
  </conditionalFormatting>
  <conditionalFormatting sqref="D101">
    <cfRule type="cellIs" dxfId="201" priority="26" operator="greaterThan">
      <formula>$D$100</formula>
    </cfRule>
  </conditionalFormatting>
  <conditionalFormatting sqref="E101">
    <cfRule type="cellIs" dxfId="200" priority="25" operator="greaterThan">
      <formula>$E$100</formula>
    </cfRule>
  </conditionalFormatting>
  <conditionalFormatting sqref="F101">
    <cfRule type="cellIs" dxfId="199" priority="24" operator="greaterThan">
      <formula>$F$100</formula>
    </cfRule>
  </conditionalFormatting>
  <conditionalFormatting sqref="G101">
    <cfRule type="cellIs" dxfId="198" priority="23" operator="greaterThan">
      <formula>$G$100</formula>
    </cfRule>
  </conditionalFormatting>
  <conditionalFormatting sqref="H101">
    <cfRule type="cellIs" dxfId="197" priority="22" operator="greaterThan">
      <formula>$H$100</formula>
    </cfRule>
  </conditionalFormatting>
  <conditionalFormatting sqref="I101">
    <cfRule type="cellIs" dxfId="196" priority="21" operator="greaterThan">
      <formula>$I$100</formula>
    </cfRule>
  </conditionalFormatting>
  <conditionalFormatting sqref="J101">
    <cfRule type="cellIs" dxfId="195" priority="20" operator="greaterThan">
      <formula>$J$100</formula>
    </cfRule>
  </conditionalFormatting>
  <conditionalFormatting sqref="K101">
    <cfRule type="cellIs" dxfId="194" priority="19" operator="greaterThan">
      <formula>$K$100</formula>
    </cfRule>
  </conditionalFormatting>
  <conditionalFormatting sqref="L101">
    <cfRule type="cellIs" dxfId="193" priority="18"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85"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83"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74"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73"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72"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71"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70"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69"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68"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7"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9" operator="equal" id="{C6942F8D-D898-4050-9806-B8CF6C321814}">
            <xm:f>PowellReleaseTemperature!$B$10</xm:f>
            <x14:dxf>
              <font>
                <color auto="1"/>
              </font>
              <fill>
                <patternFill>
                  <bgColor theme="4"/>
                </patternFill>
              </fill>
            </x14:dxf>
          </x14:cfRule>
          <x14:cfRule type="cellIs" priority="10" operator="equal" id="{70259884-2ABE-4726-BD5F-C2505C092790}">
            <xm:f>PowellReleaseTemperature!$B$9</xm:f>
            <x14:dxf>
              <font>
                <color theme="4" tint="-0.24994659260841701"/>
              </font>
              <fill>
                <patternFill>
                  <bgColor theme="8" tint="0.59996337778862885"/>
                </patternFill>
              </fill>
            </x14:dxf>
          </x14:cfRule>
          <x14:cfRule type="cellIs" priority="11" operator="equal" id="{38913C9D-9EF2-4E0F-A58A-D242DDD1AC6B}">
            <xm:f>PowellReleaseTemperature!$B$8</xm:f>
            <x14:dxf>
              <font>
                <color rgb="FF9C0006"/>
              </font>
              <fill>
                <patternFill>
                  <bgColor rgb="FFFFC7CE"/>
                </patternFill>
              </fill>
            </x14:dxf>
          </x14:cfRule>
          <x14:cfRule type="cellIs" priority="12" operator="equal" id="{8736C84F-0711-43A4-ADD7-0B6B22CD2A88}">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5" operator="equal" id="{518DDEF3-69FC-447A-AE63-3B0AD5680D7C}">
            <xm:f>PowellReleaseTemperature!$E$5</xm:f>
            <x14:dxf>
              <font>
                <color auto="1"/>
              </font>
              <fill>
                <patternFill>
                  <bgColor rgb="FFFF0000"/>
                </patternFill>
              </fill>
            </x14:dxf>
          </x14:cfRule>
          <x14:cfRule type="cellIs" priority="6" operator="equal" id="{2A51E4AF-D34C-41CC-8C07-DB72B5C292DB}">
            <xm:f>PowellReleaseTemperature!$E$8</xm:f>
            <x14:dxf>
              <font>
                <color rgb="FF9C0006"/>
              </font>
              <fill>
                <patternFill>
                  <bgColor rgb="FFFFC7CE"/>
                </patternFill>
              </fill>
            </x14:dxf>
          </x14:cfRule>
          <x14:cfRule type="cellIs" priority="7" operator="equal" id="{7C6EC025-4CAE-4CC2-8D15-52F7A73560EF}">
            <xm:f>PowellReleaseTemperature!$E$9</xm:f>
            <x14:dxf>
              <font>
                <color theme="4" tint="-0.24994659260841701"/>
              </font>
              <fill>
                <patternFill>
                  <bgColor theme="8" tint="0.59996337778862885"/>
                </patternFill>
              </fill>
            </x14:dxf>
          </x14:cfRule>
          <x14:cfRule type="cellIs" priority="8" operator="equal" id="{167863A9-0899-43F1-8775-B485484765A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1" operator="equal" id="{41D3A9BE-B580-414B-8519-458736BAE6A1}">
            <xm:f>PowellReleaseTemperature!$F$10</xm:f>
            <x14:dxf>
              <font>
                <color auto="1"/>
              </font>
              <fill>
                <patternFill>
                  <bgColor theme="4"/>
                </patternFill>
              </fill>
            </x14:dxf>
          </x14:cfRule>
          <x14:cfRule type="cellIs" priority="2" operator="equal" id="{59EB29AB-5EA7-459C-BB0F-365D90B4D294}">
            <xm:f>PowellReleaseTemperature!$F$9</xm:f>
            <x14:dxf>
              <font>
                <color theme="4" tint="-0.24994659260841701"/>
              </font>
              <fill>
                <patternFill>
                  <bgColor theme="8" tint="0.59996337778862885"/>
                </patternFill>
              </fill>
            </x14:dxf>
          </x14:cfRule>
          <x14:cfRule type="cellIs" priority="4" operator="equal" id="{EE4B22B5-FF7A-4C56-9BB9-C90A23BC1057}">
            <xm:f>PowellReleaseTemperature!$F$5</xm:f>
            <x14:dxf>
              <font>
                <color auto="1"/>
              </font>
              <fill>
                <patternFill>
                  <bgColor rgb="FFFF0000"/>
                </patternFill>
              </fill>
            </x14:dxf>
          </x14:cfRule>
          <xm:sqref>C137:L137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71522-32CD-4EEF-9C2C-E445BC7FD5C6}">
  <dimension ref="A1:N142"/>
  <sheetViews>
    <sheetView topLeftCell="A72" zoomScale="150" zoomScaleNormal="150" workbookViewId="0">
      <selection activeCell="F77" sqref="F77"/>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56" t="s">
        <v>148</v>
      </c>
      <c r="B3" s="256"/>
      <c r="C3" s="256"/>
      <c r="D3" s="256"/>
      <c r="E3" s="256"/>
      <c r="F3" s="256"/>
      <c r="G3" s="256"/>
      <c r="H3" s="112"/>
      <c r="I3" s="112"/>
      <c r="J3" s="112"/>
      <c r="K3" s="112"/>
    </row>
    <row r="4" spans="1:13" x14ac:dyDescent="0.35">
      <c r="A4" s="51" t="s">
        <v>38</v>
      </c>
      <c r="B4" s="51" t="s">
        <v>42</v>
      </c>
      <c r="C4" s="257" t="s">
        <v>43</v>
      </c>
      <c r="D4" s="258"/>
      <c r="E4" s="258"/>
      <c r="F4" s="258"/>
      <c r="G4" s="259"/>
      <c r="M4" s="1" t="s">
        <v>294</v>
      </c>
    </row>
    <row r="5" spans="1:13" x14ac:dyDescent="0.35">
      <c r="A5" s="122" t="s">
        <v>39</v>
      </c>
      <c r="B5" s="122" t="s">
        <v>150</v>
      </c>
      <c r="C5" s="247" t="s">
        <v>304</v>
      </c>
      <c r="D5" s="242"/>
      <c r="E5" s="242"/>
      <c r="F5" s="242"/>
      <c r="G5" s="242"/>
      <c r="M5" t="s">
        <v>295</v>
      </c>
    </row>
    <row r="6" spans="1:13" x14ac:dyDescent="0.35">
      <c r="A6" s="122" t="s">
        <v>40</v>
      </c>
      <c r="B6" s="122" t="s">
        <v>150</v>
      </c>
      <c r="C6" s="247" t="s">
        <v>304</v>
      </c>
      <c r="D6" s="242"/>
      <c r="E6" s="242"/>
      <c r="F6" s="242"/>
      <c r="G6" s="242"/>
      <c r="M6" t="s">
        <v>300</v>
      </c>
    </row>
    <row r="7" spans="1:13" x14ac:dyDescent="0.35">
      <c r="A7" s="122" t="s">
        <v>41</v>
      </c>
      <c r="B7" s="122" t="s">
        <v>150</v>
      </c>
      <c r="C7" s="247" t="s">
        <v>304</v>
      </c>
      <c r="D7" s="242"/>
      <c r="E7" s="242"/>
      <c r="F7" s="242"/>
      <c r="G7" s="242"/>
      <c r="M7" t="s">
        <v>301</v>
      </c>
    </row>
    <row r="8" spans="1:13" x14ac:dyDescent="0.35">
      <c r="A8" s="111" t="s">
        <v>154</v>
      </c>
      <c r="B8" s="111" t="s">
        <v>150</v>
      </c>
      <c r="C8" s="249" t="s">
        <v>296</v>
      </c>
      <c r="D8" s="249"/>
      <c r="E8" s="249"/>
      <c r="F8" s="249"/>
      <c r="G8" s="249"/>
    </row>
    <row r="9" spans="1:13" x14ac:dyDescent="0.35">
      <c r="A9" s="122"/>
      <c r="B9" s="122"/>
      <c r="C9" s="248"/>
      <c r="D9" s="248"/>
      <c r="E9" s="248"/>
      <c r="F9" s="248"/>
      <c r="G9" s="248"/>
    </row>
    <row r="10" spans="1:13" x14ac:dyDescent="0.35">
      <c r="A10" s="122"/>
      <c r="B10" s="122"/>
      <c r="C10" s="248"/>
      <c r="D10" s="248"/>
      <c r="E10" s="248"/>
      <c r="F10" s="248"/>
      <c r="G10" s="248"/>
    </row>
    <row r="11" spans="1:13" x14ac:dyDescent="0.35">
      <c r="A11" s="15"/>
      <c r="B11" s="2"/>
      <c r="C11"/>
    </row>
    <row r="12" spans="1:13" x14ac:dyDescent="0.35">
      <c r="A12" s="18" t="s">
        <v>45</v>
      </c>
      <c r="B12" s="260" t="s">
        <v>195</v>
      </c>
      <c r="C12" s="260"/>
      <c r="D12" s="260"/>
      <c r="E12" s="260"/>
      <c r="F12" s="260"/>
    </row>
    <row r="13" spans="1:13" x14ac:dyDescent="0.35">
      <c r="B13" s="261" t="s">
        <v>314</v>
      </c>
      <c r="C13" s="262"/>
      <c r="D13" s="262"/>
      <c r="E13" s="262"/>
      <c r="F13" s="262"/>
    </row>
    <row r="14" spans="1:13" x14ac:dyDescent="0.35">
      <c r="B14" s="263" t="s">
        <v>303</v>
      </c>
      <c r="C14" s="264"/>
      <c r="D14" s="264"/>
      <c r="E14" s="264"/>
      <c r="F14" s="264"/>
    </row>
    <row r="15" spans="1:13" x14ac:dyDescent="0.35">
      <c r="B15" s="265" t="s">
        <v>46</v>
      </c>
      <c r="C15" s="265"/>
      <c r="D15" s="265"/>
      <c r="E15" s="265"/>
      <c r="F15" s="265"/>
    </row>
    <row r="17" spans="1:14" x14ac:dyDescent="0.35">
      <c r="A17" s="1" t="s">
        <v>53</v>
      </c>
      <c r="D17" s="260" t="s">
        <v>151</v>
      </c>
      <c r="E17" s="260"/>
      <c r="F17" s="260"/>
      <c r="G17" s="260"/>
    </row>
    <row r="19" spans="1:14" x14ac:dyDescent="0.35">
      <c r="A19" s="1" t="s">
        <v>32</v>
      </c>
      <c r="B19" s="1" t="s">
        <v>108</v>
      </c>
      <c r="C19" s="13" t="s">
        <v>109</v>
      </c>
    </row>
    <row r="20" spans="1:14" x14ac:dyDescent="0.35">
      <c r="A20" t="s">
        <v>107</v>
      </c>
      <c r="B20" s="129">
        <v>5.73</v>
      </c>
      <c r="C20" s="129">
        <v>6</v>
      </c>
      <c r="D20" s="22" t="s">
        <v>110</v>
      </c>
    </row>
    <row r="21" spans="1:14" x14ac:dyDescent="0.35">
      <c r="A21" t="s">
        <v>139</v>
      </c>
      <c r="B21" s="129">
        <v>11</v>
      </c>
      <c r="C21" s="129">
        <v>10.1</v>
      </c>
      <c r="D21" s="11" t="s">
        <v>34</v>
      </c>
    </row>
    <row r="22" spans="1:14" x14ac:dyDescent="0.35">
      <c r="A22" t="s">
        <v>186</v>
      </c>
      <c r="B22" s="60">
        <v>3525</v>
      </c>
      <c r="C22" s="60">
        <v>1020</v>
      </c>
      <c r="D22" s="11"/>
    </row>
    <row r="23" spans="1:14" x14ac:dyDescent="0.35">
      <c r="A23" t="s">
        <v>172</v>
      </c>
      <c r="B23" s="129">
        <f>VLOOKUP(B22,'Powell-Elevation-Area'!$A$5:$B$689,2)/1000000</f>
        <v>5.9265762500000001</v>
      </c>
      <c r="C23" s="129">
        <f>VLOOKUP(C22,'Mead-Elevation-Area'!$A$5:$B$689,2)/1000000</f>
        <v>5.664593</v>
      </c>
      <c r="D23" s="11"/>
      <c r="E23" s="43"/>
    </row>
    <row r="25" spans="1:14" s="1" customFormat="1" x14ac:dyDescent="0.3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35">
      <c r="A26" s="1" t="s">
        <v>44</v>
      </c>
      <c r="B26" s="1"/>
      <c r="C26" s="130">
        <f>IF('8.1-Trade'!C26="","",'8.1-Trade'!C26)</f>
        <v>11</v>
      </c>
      <c r="D26" s="130">
        <f>IF('8.1-Trade'!D26="","",'8.1-Trade'!D26)</f>
        <v>9</v>
      </c>
      <c r="E26" s="130">
        <f>IF('8.1-Trade'!E26="","",'8.1-Trade'!E26)</f>
        <v>8.1</v>
      </c>
      <c r="F26" s="130">
        <f>IF('8.1-Trade'!F26="","",'8.1-Trade'!F26)</f>
        <v>8.1</v>
      </c>
      <c r="G26" s="130">
        <f>IF('8.1-Trade'!G26="","",'8.1-Trade'!G26)</f>
        <v>8.1</v>
      </c>
      <c r="H26" s="130"/>
      <c r="I26" s="130"/>
      <c r="J26" s="130"/>
      <c r="K26" s="130"/>
      <c r="L26" s="130"/>
    </row>
    <row r="27" spans="1:14" x14ac:dyDescent="0.35">
      <c r="A27" s="1" t="s">
        <v>119</v>
      </c>
      <c r="B27" s="1"/>
      <c r="C27" s="129">
        <f>IF(C$26&lt;&gt;"",0.8,"")</f>
        <v>0.8</v>
      </c>
      <c r="D27" s="129">
        <f t="shared" ref="D27:L27" si="0">IF(D$26&lt;&gt;"",0.8,"")</f>
        <v>0.8</v>
      </c>
      <c r="E27" s="129">
        <f t="shared" si="0"/>
        <v>0.8</v>
      </c>
      <c r="F27" s="129">
        <f t="shared" si="0"/>
        <v>0.8</v>
      </c>
      <c r="G27" s="129">
        <f t="shared" si="0"/>
        <v>0.8</v>
      </c>
      <c r="H27" s="129" t="str">
        <f t="shared" si="0"/>
        <v/>
      </c>
      <c r="I27" s="129" t="str">
        <f t="shared" si="0"/>
        <v/>
      </c>
      <c r="J27" s="129" t="str">
        <f t="shared" si="0"/>
        <v/>
      </c>
      <c r="K27" s="129" t="str">
        <f t="shared" si="0"/>
        <v/>
      </c>
      <c r="L27" s="129" t="str">
        <f t="shared" si="0"/>
        <v/>
      </c>
    </row>
    <row r="28" spans="1:14" x14ac:dyDescent="0.35">
      <c r="A28" s="1" t="s">
        <v>278</v>
      </c>
      <c r="B28" s="1"/>
      <c r="C28" s="129">
        <f>IF(C$26&lt;&gt;"",0.6,"")</f>
        <v>0.6</v>
      </c>
      <c r="D28" s="129">
        <f t="shared" ref="D28:L28" si="1">IF(D$26&lt;&gt;"",0.6,"")</f>
        <v>0.6</v>
      </c>
      <c r="E28" s="129">
        <f t="shared" si="1"/>
        <v>0.6</v>
      </c>
      <c r="F28" s="129">
        <f t="shared" si="1"/>
        <v>0.6</v>
      </c>
      <c r="G28" s="129">
        <f t="shared" si="1"/>
        <v>0.6</v>
      </c>
      <c r="H28" s="129" t="str">
        <f t="shared" si="1"/>
        <v/>
      </c>
      <c r="I28" s="129" t="str">
        <f t="shared" si="1"/>
        <v/>
      </c>
      <c r="J28" s="129" t="str">
        <f t="shared" si="1"/>
        <v/>
      </c>
      <c r="K28" s="129" t="str">
        <f t="shared" si="1"/>
        <v/>
      </c>
      <c r="L28" s="129" t="str">
        <f t="shared" si="1"/>
        <v/>
      </c>
    </row>
    <row r="29" spans="1:14" x14ac:dyDescent="0.35">
      <c r="A29" s="1" t="s">
        <v>122</v>
      </c>
      <c r="B29" s="108">
        <f>SUM(B30:B35)-SUM(B21:C21)</f>
        <v>0</v>
      </c>
      <c r="C29" s="14">
        <f>IF(C$26&lt;&gt;"",SUM(B21:C21),"")</f>
        <v>21.1</v>
      </c>
      <c r="D29" s="14">
        <f ca="1">IF(D$26&lt;&gt;"",C127,"")</f>
        <v>18.371768986666694</v>
      </c>
      <c r="E29" s="14">
        <f t="shared" ref="E29:L29" ca="1" si="2">IF(E$26&lt;&gt;"",D127,"")</f>
        <v>14.310621491237981</v>
      </c>
      <c r="F29" s="14">
        <f t="shared" ca="1" si="2"/>
        <v>13.769336675304046</v>
      </c>
      <c r="G29" s="14">
        <f t="shared" ca="1" si="2"/>
        <v>13.411908284470714</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09">
        <f>B21-B23</f>
        <v>5.0734237499999999</v>
      </c>
      <c r="C30" s="106">
        <f>IF(OR(C$26="",$A30=""),"",B30)</f>
        <v>5.0734237499999999</v>
      </c>
      <c r="D30" s="14">
        <f ca="1">IF(OR(D$26="",$A30=""),"",C121)</f>
        <v>3.4040452368981802</v>
      </c>
      <c r="E30" s="14">
        <f t="shared" ref="E30:L30" ca="1" si="4">IF(OR(E$26="",$A30=""),"",D121)</f>
        <v>0</v>
      </c>
      <c r="F30" s="14">
        <f t="shared" ca="1" si="4"/>
        <v>0</v>
      </c>
      <c r="G30" s="14">
        <f t="shared" ca="1" si="4"/>
        <v>0</v>
      </c>
      <c r="H30" s="14" t="str">
        <f t="shared" si="4"/>
        <v/>
      </c>
      <c r="I30" s="14" t="str">
        <f t="shared" si="4"/>
        <v/>
      </c>
      <c r="J30" s="14" t="str">
        <f t="shared" si="4"/>
        <v/>
      </c>
      <c r="K30" s="14" t="str">
        <f t="shared" si="4"/>
        <v/>
      </c>
      <c r="L30" s="14" t="str">
        <f t="shared" si="4"/>
        <v/>
      </c>
      <c r="N30" t="s">
        <v>174</v>
      </c>
    </row>
    <row r="31" spans="1:14" x14ac:dyDescent="0.3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2.5623520451145225</v>
      </c>
      <c r="F31" s="14">
        <f t="shared" ca="1" si="6"/>
        <v>2.2299807300538657</v>
      </c>
      <c r="G31" s="14">
        <f t="shared" ca="1" si="6"/>
        <v>1.9695642004172758</v>
      </c>
      <c r="H31" s="14" t="str">
        <f t="shared" si="6"/>
        <v/>
      </c>
      <c r="I31" s="14" t="str">
        <f t="shared" si="6"/>
        <v/>
      </c>
      <c r="J31" s="14" t="str">
        <f t="shared" si="6"/>
        <v/>
      </c>
      <c r="K31" s="14" t="str">
        <f t="shared" si="6"/>
        <v/>
      </c>
      <c r="L31" s="14" t="str">
        <f t="shared" si="6"/>
        <v/>
      </c>
      <c r="N31" t="s">
        <v>171</v>
      </c>
    </row>
    <row r="32" spans="1:14" x14ac:dyDescent="0.35">
      <c r="A32" t="str">
        <f t="shared" si="3"/>
        <v xml:space="preserve">    Mexico Balance</v>
      </c>
      <c r="B32" s="110">
        <v>0.17399999999999999</v>
      </c>
      <c r="C32" s="107">
        <f t="shared" si="5"/>
        <v>0.17399999999999999</v>
      </c>
      <c r="D32" s="50">
        <f t="shared" ca="1" si="6"/>
        <v>0.16557297647772518</v>
      </c>
      <c r="E32" s="50">
        <f t="shared" ca="1" si="6"/>
        <v>0.1571001961234586</v>
      </c>
      <c r="F32" s="50">
        <f t="shared" ca="1" si="6"/>
        <v>-5.1813304749818379E-2</v>
      </c>
      <c r="G32" s="50">
        <f t="shared" ca="1" si="6"/>
        <v>-0.14882516594656248</v>
      </c>
      <c r="H32" s="14" t="str">
        <f t="shared" si="6"/>
        <v/>
      </c>
      <c r="I32" s="14" t="str">
        <f t="shared" si="6"/>
        <v/>
      </c>
      <c r="J32" s="14" t="str">
        <f t="shared" si="6"/>
        <v/>
      </c>
      <c r="K32" s="14" t="str">
        <f t="shared" si="6"/>
        <v/>
      </c>
      <c r="L32" s="14" t="str">
        <f t="shared" si="6"/>
        <v/>
      </c>
      <c r="N32" t="s">
        <v>170</v>
      </c>
    </row>
    <row r="33" spans="1:14" x14ac:dyDescent="0.3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t="str">
        <f t="shared" si="6"/>
        <v/>
      </c>
      <c r="I33" s="14" t="str">
        <f t="shared" si="6"/>
        <v/>
      </c>
      <c r="J33" s="14" t="str">
        <f t="shared" si="6"/>
        <v/>
      </c>
      <c r="K33" s="14" t="str">
        <f t="shared" si="6"/>
        <v/>
      </c>
      <c r="L33" s="14" t="str">
        <f t="shared" si="6"/>
        <v/>
      </c>
    </row>
    <row r="34" spans="1:14" x14ac:dyDescent="0.3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3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193</v>
      </c>
      <c r="C36"/>
    </row>
    <row r="37" spans="1:14" x14ac:dyDescent="0.35">
      <c r="A37" t="s">
        <v>111</v>
      </c>
      <c r="C37" s="14">
        <f>IF(C$26&lt;&gt;"",B21,"")</f>
        <v>11</v>
      </c>
      <c r="D37" s="14">
        <f ca="1">IF(D$26&lt;&gt;"",C129,"")</f>
        <v>9.1858844933333472</v>
      </c>
      <c r="E37" s="14">
        <f t="shared" ref="E37:G38" ca="1" si="7">IF(E$26&lt;&gt;"",D129,"")</f>
        <v>7.1553107456189906</v>
      </c>
      <c r="F37" s="14">
        <f t="shared" ca="1" si="7"/>
        <v>6.8846683376520232</v>
      </c>
      <c r="G37" s="14">
        <f t="shared" ca="1" si="7"/>
        <v>6.705954142235357</v>
      </c>
      <c r="H37" s="14" t="str">
        <f t="shared" ref="H37:H38" si="8">IF(H$26&lt;&gt;"",G129,"")</f>
        <v/>
      </c>
      <c r="I37" s="14" t="str">
        <f t="shared" ref="I37:I38" si="9">IF(I$26&lt;&gt;"",H129,"")</f>
        <v/>
      </c>
      <c r="J37" s="14" t="str">
        <f t="shared" ref="J37:J38" si="10">IF(J$26&lt;&gt;"",I129,"")</f>
        <v/>
      </c>
      <c r="K37" s="14" t="str">
        <f t="shared" ref="K37:K38" si="11">IF(K$26&lt;&gt;"",J129,"")</f>
        <v/>
      </c>
      <c r="L37" s="14" t="str">
        <f t="shared" ref="L37:L38" si="12">IF(L$26&lt;&gt;"",K129,"")</f>
        <v/>
      </c>
    </row>
    <row r="38" spans="1:14" x14ac:dyDescent="0.35">
      <c r="A38" t="s">
        <v>112</v>
      </c>
      <c r="C38" s="14">
        <f>IF(C$26&lt;&gt;"",C21,"")</f>
        <v>10.1</v>
      </c>
      <c r="D38" s="14">
        <f ca="1">IF(D$26&lt;&gt;"",C130,"")</f>
        <v>9.1858844933333472</v>
      </c>
      <c r="E38" s="14">
        <f t="shared" ca="1" si="7"/>
        <v>7.1553107456189906</v>
      </c>
      <c r="F38" s="14">
        <f t="shared" ca="1" si="7"/>
        <v>6.8846683376520232</v>
      </c>
      <c r="G38" s="14">
        <f t="shared" ca="1" si="7"/>
        <v>6.705954142235357</v>
      </c>
      <c r="H38" s="14" t="str">
        <f t="shared" si="8"/>
        <v/>
      </c>
      <c r="I38" s="14" t="str">
        <f t="shared" si="9"/>
        <v/>
      </c>
      <c r="J38" s="14" t="str">
        <f t="shared" si="10"/>
        <v/>
      </c>
      <c r="K38" s="14" t="str">
        <f t="shared" si="11"/>
        <v/>
      </c>
      <c r="L38" s="14" t="str">
        <f t="shared" si="12"/>
        <v/>
      </c>
    </row>
    <row r="39" spans="1:14" x14ac:dyDescent="0.3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0.94012903950117299</v>
      </c>
      <c r="E39" s="14">
        <f ca="1">IF(E$26&lt;&gt;"",VLOOKUP(E37*1000000,'Powell-Elevation-Area'!$B$5:$D$689,3)*$B$20/1000000 + VLOOKUP(E38*1000000,'Mead-Elevation-Area'!$B$5:$D$676,3)*$C$20/1000000,"")</f>
        <v>0.81195148260060002</v>
      </c>
      <c r="F39" s="14">
        <f ca="1">IF(F$26&lt;&gt;"",VLOOKUP(F37*1000000,'Powell-Elevation-Area'!$B$5:$D$689,3)*$B$20/1000000 + VLOOKUP(F38*1000000,'Mead-Elevation-Area'!$B$5:$D$676,3)*$C$20/1000000,"")</f>
        <v>0.79409505750000009</v>
      </c>
      <c r="G39" s="14">
        <f ca="1">IF(G$26&lt;&gt;"",VLOOKUP(G37*1000000,'Powell-Elevation-Area'!$B$5:$D$689,3)*$B$20/1000000 + VLOOKUP(G38*1000000,'Mead-Elevation-Area'!$B$5:$D$676,3)*$C$20/1000000,"")</f>
        <v>0.78374644500000001</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3">IF(A5="","","    "&amp;A5&amp;" Share")</f>
        <v xml:space="preserve">    Upper Basin Share</v>
      </c>
      <c r="B40" s="1"/>
      <c r="C40" s="14">
        <f t="shared" ref="C40:L45" si="14">IF(OR(C$26="",$A40=""),"",C$39*C30/C$29)</f>
        <v>0.24571184643515467</v>
      </c>
      <c r="D40" s="14">
        <f t="shared" ca="1" si="14"/>
        <v>0.17419344763730718</v>
      </c>
      <c r="E40" s="14">
        <f t="shared" ca="1" si="14"/>
        <v>0</v>
      </c>
      <c r="F40" s="14">
        <f t="shared" ca="1" si="14"/>
        <v>0</v>
      </c>
      <c r="G40" s="14">
        <f t="shared" ca="1" si="14"/>
        <v>0</v>
      </c>
      <c r="H40" s="14" t="str">
        <f t="shared" si="14"/>
        <v/>
      </c>
      <c r="I40" s="14" t="str">
        <f t="shared" si="14"/>
        <v/>
      </c>
      <c r="J40" s="14" t="str">
        <f t="shared" si="14"/>
        <v/>
      </c>
      <c r="K40" s="14" t="str">
        <f t="shared" si="14"/>
        <v/>
      </c>
      <c r="L40" s="14" t="str">
        <f t="shared" si="14"/>
        <v/>
      </c>
    </row>
    <row r="41" spans="1:14" x14ac:dyDescent="0.35">
      <c r="A41" t="str">
        <f t="shared" si="13"/>
        <v xml:space="preserve">    Lower Basin Share</v>
      </c>
      <c r="B41" s="1"/>
      <c r="C41" s="14">
        <f t="shared" si="14"/>
        <v>0.20638492544244763</v>
      </c>
      <c r="D41" s="14">
        <f t="shared" ca="1" si="14"/>
        <v>0.16431389799960092</v>
      </c>
      <c r="E41" s="14">
        <f t="shared" ca="1" si="14"/>
        <v>0.14538191393359506</v>
      </c>
      <c r="F41" s="14">
        <f t="shared" ca="1" si="14"/>
        <v>0.12860580853049078</v>
      </c>
      <c r="G41" s="14">
        <f t="shared" ca="1" si="14"/>
        <v>0.11509465376106434</v>
      </c>
      <c r="H41" s="14" t="str">
        <f t="shared" si="14"/>
        <v/>
      </c>
      <c r="I41" s="14" t="str">
        <f t="shared" si="14"/>
        <v/>
      </c>
      <c r="J41" s="14" t="str">
        <f t="shared" si="14"/>
        <v/>
      </c>
      <c r="K41" s="14" t="str">
        <f t="shared" si="14"/>
        <v/>
      </c>
      <c r="L41" s="14" t="str">
        <f t="shared" si="14"/>
        <v/>
      </c>
    </row>
    <row r="42" spans="1:14" x14ac:dyDescent="0.35">
      <c r="A42" t="str">
        <f t="shared" si="13"/>
        <v xml:space="preserve">    Mexico Share</v>
      </c>
      <c r="B42" s="1"/>
      <c r="C42" s="14">
        <f t="shared" si="14"/>
        <v>8.4270235222746598E-3</v>
      </c>
      <c r="D42" s="14">
        <f t="shared" ca="1" si="14"/>
        <v>8.4727803542666066E-3</v>
      </c>
      <c r="E42" s="14">
        <f t="shared" ca="1" si="14"/>
        <v>8.9135008732770631E-3</v>
      </c>
      <c r="F42" s="14">
        <f t="shared" ca="1" si="14"/>
        <v>-2.9881388032560051E-3</v>
      </c>
      <c r="G42" s="14">
        <f t="shared" ca="1" si="14"/>
        <v>-8.6968380832285509E-3</v>
      </c>
      <c r="H42" s="14" t="str">
        <f t="shared" si="14"/>
        <v/>
      </c>
      <c r="I42" s="14" t="str">
        <f t="shared" si="14"/>
        <v/>
      </c>
      <c r="J42" s="14" t="str">
        <f t="shared" si="14"/>
        <v/>
      </c>
      <c r="K42" s="14" t="str">
        <f t="shared" si="14"/>
        <v/>
      </c>
      <c r="L42" s="14" t="str">
        <f t="shared" si="14"/>
        <v/>
      </c>
    </row>
    <row r="43" spans="1:14" x14ac:dyDescent="0.35">
      <c r="A43" t="str">
        <f t="shared" si="13"/>
        <v xml:space="preserve">    Shared, Reserve Share</v>
      </c>
      <c r="B43" s="1"/>
      <c r="C43" s="14">
        <f t="shared" si="14"/>
        <v>0.56137388460009618</v>
      </c>
      <c r="D43" s="14">
        <f t="shared" ca="1" si="14"/>
        <v>0.59314891350999832</v>
      </c>
      <c r="E43" s="14">
        <f t="shared" ca="1" si="14"/>
        <v>0.65765606779372787</v>
      </c>
      <c r="F43" s="14">
        <f t="shared" ca="1" si="14"/>
        <v>0.66847738777276533</v>
      </c>
      <c r="G43" s="14">
        <f t="shared" ca="1" si="14"/>
        <v>0.67734862932216422</v>
      </c>
      <c r="H43" s="14" t="str">
        <f t="shared" si="14"/>
        <v/>
      </c>
      <c r="I43" s="14" t="str">
        <f t="shared" si="14"/>
        <v/>
      </c>
      <c r="J43" s="14" t="str">
        <f t="shared" si="14"/>
        <v/>
      </c>
      <c r="K43" s="14" t="str">
        <f t="shared" si="14"/>
        <v/>
      </c>
      <c r="L43" s="14" t="str">
        <f t="shared" si="14"/>
        <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244</v>
      </c>
      <c r="B46" s="72"/>
      <c r="C46" s="47">
        <f>IF(C$26&lt;&gt;"",1.5-0.21/9/2-VLOOKUP(C38,MandatoryConservation!$C$5:$P$13,13),"")</f>
        <v>1.4473333333333334</v>
      </c>
      <c r="D46" s="47">
        <f ca="1">IF(D$26&lt;&gt;"",1.5-0.21/9/2-VLOOKUP(D38,MandatoryConservation!$C$5:$P$13,13),"")</f>
        <v>1.4083333333333332</v>
      </c>
      <c r="E46" s="47">
        <f ca="1">IF(E$26&lt;&gt;"",1.5-0.21/9/2-VLOOKUP(E38,MandatoryConservation!$C$5:$P$13,13),"")</f>
        <v>1.3423333333333334</v>
      </c>
      <c r="F46" s="47">
        <f ca="1">IF(F$26&lt;&gt;"",1.5-0.21/9/2-VLOOKUP(F38,MandatoryConservation!$C$5:$P$13,13),"")</f>
        <v>1.3343333333333334</v>
      </c>
      <c r="G46" s="47">
        <f ca="1">IF(G$26&lt;&gt;"",1.5-0.21/9/2-VLOOKUP(G38,MandatoryConservation!$C$5:$P$13,13),"")</f>
        <v>1.3343333333333334</v>
      </c>
      <c r="H46" s="47" t="str">
        <f>IF(H$26&lt;&gt;"",1.5-0.21/9/2-VLOOKUP(H38,MandatoryConservation!$C$5:$P$13,13),"")</f>
        <v/>
      </c>
      <c r="I46" s="47" t="str">
        <f>IF(I$26&lt;&gt;"",1.5-0.21/9/2-VLOOKUP(I38,MandatoryConservation!$C$5:$P$13,13),"")</f>
        <v/>
      </c>
      <c r="J46" s="47" t="str">
        <f>IF(J$26&lt;&gt;"",1.5-0.21/9/2-VLOOKUP(J38,MandatoryConservation!$C$5:$P$13,13),"")</f>
        <v/>
      </c>
      <c r="K46" s="47" t="str">
        <f>IF(K$26&lt;&gt;"",1.5-0.21/9/2-VLOOKUP(K38,MandatoryConservation!$C$5:$P$13,13),"")</f>
        <v/>
      </c>
      <c r="L46" s="47" t="str">
        <f>IF(L$26&lt;&gt;"",1.5-0.21/9/2-VLOOKUP(L38,MandatoryConservation!$C$5:$P$13,13),"")</f>
        <v/>
      </c>
    </row>
    <row r="47" spans="1:14" x14ac:dyDescent="0.35">
      <c r="A47" s="1" t="s">
        <v>279</v>
      </c>
      <c r="B47" s="1"/>
      <c r="C47" s="49">
        <f>IF(C26="","",SUM(C26:C27)-C28)</f>
        <v>11.200000000000001</v>
      </c>
      <c r="D47" s="49">
        <f t="shared" ref="D47:L47" si="15">IF(D26="","",SUM(D26:D27)-D28)</f>
        <v>9.2000000000000011</v>
      </c>
      <c r="E47" s="14">
        <f t="shared" si="15"/>
        <v>8.3000000000000007</v>
      </c>
      <c r="F47" s="49">
        <f t="shared" si="15"/>
        <v>8.3000000000000007</v>
      </c>
      <c r="G47" s="49">
        <f t="shared" si="15"/>
        <v>8.3000000000000007</v>
      </c>
      <c r="H47" s="49" t="str">
        <f t="shared" si="15"/>
        <v/>
      </c>
      <c r="I47" s="49" t="str">
        <f t="shared" si="15"/>
        <v/>
      </c>
      <c r="J47" s="49" t="str">
        <f t="shared" si="15"/>
        <v/>
      </c>
      <c r="K47" s="49" t="str">
        <f t="shared" si="15"/>
        <v/>
      </c>
      <c r="L47" s="49" t="str">
        <f t="shared" si="15"/>
        <v/>
      </c>
      <c r="M47" s="43"/>
      <c r="N47" s="43"/>
    </row>
    <row r="48" spans="1:14" x14ac:dyDescent="0.35">
      <c r="A48" t="str">
        <f t="shared" ref="A48:A53" si="16">IF(A5="","","    To "&amp;A5)</f>
        <v xml:space="preserve">    To Upper Basin</v>
      </c>
      <c r="B48" s="127" t="s">
        <v>144</v>
      </c>
      <c r="C48" s="106">
        <f>IF(OR(C$26="",$A48=""),"",MAX(0,C47-SUM(C49:C53)))</f>
        <v>2.7763333333333353</v>
      </c>
      <c r="D48" s="106">
        <f t="shared" ref="D48:G48" ca="1" si="17">IF(OR(D$26="",$A48=""),"",MAX(0,D47-SUM(D49:D53)))</f>
        <v>0.79583333333333428</v>
      </c>
      <c r="E48" s="106">
        <f t="shared" ca="1" si="17"/>
        <v>0</v>
      </c>
      <c r="F48" s="106">
        <f t="shared" ca="1" si="17"/>
        <v>0</v>
      </c>
      <c r="G48" s="106">
        <f t="shared" ca="1" si="17"/>
        <v>1.7763568394002505E-15</v>
      </c>
      <c r="H48" s="106" t="str">
        <f t="shared" ref="H48" si="18">IF(OR(H$26="",$A48=""),"",MAX(0,H47-SUM(H49:H53)))</f>
        <v/>
      </c>
      <c r="I48" s="106" t="str">
        <f t="shared" ref="I48" si="19">IF(OR(I$26="",$A48=""),"",MAX(0,I47-SUM(I49:I53)))</f>
        <v/>
      </c>
      <c r="J48" s="106" t="str">
        <f t="shared" ref="J48" si="20">IF(OR(J$26="",$A48=""),"",MAX(0,J47-SUM(J49:J53)))</f>
        <v/>
      </c>
      <c r="K48" s="106" t="str">
        <f t="shared" ref="K48" si="21">IF(OR(K$26="",$A48=""),"",MAX(0,K47-SUM(K49:K53)))</f>
        <v/>
      </c>
      <c r="L48" s="106" t="str">
        <f t="shared" ref="L48" si="22">IF(OR(L$26="",$A48=""),"",MAX(0,L47-SUM(L49:L53)))</f>
        <v/>
      </c>
      <c r="M48" s="27"/>
      <c r="N48" s="27"/>
    </row>
    <row r="49" spans="1:14" x14ac:dyDescent="0.35">
      <c r="A49" t="str">
        <f t="shared" si="16"/>
        <v xml:space="preserve">    To Lower Basin</v>
      </c>
      <c r="B49" s="128">
        <f>7.5</f>
        <v>7.5</v>
      </c>
      <c r="C49" s="106">
        <f>IF(OR(C$26="",$A49=""),"",C27-C28-C51-C50/2+MIN($B49,C26-C50/2))</f>
        <v>6.4149594487332369</v>
      </c>
      <c r="D49" s="106">
        <f t="shared" ref="D49:L49" ca="1" si="23">IF(OR(D$26="",$A49=""),"",D27-D28-D51-D50/2+MIN($B49,D26-D50/2))</f>
        <v>6.402684419823335</v>
      </c>
      <c r="E49" s="106">
        <f t="shared" ca="1" si="23"/>
        <v>6.3000105988729391</v>
      </c>
      <c r="F49" s="106">
        <f t="shared" ca="1" si="23"/>
        <v>6.2971892788939012</v>
      </c>
      <c r="G49" s="106">
        <f t="shared" ca="1" si="23"/>
        <v>6.288318037344502</v>
      </c>
      <c r="H49" s="106" t="str">
        <f t="shared" si="23"/>
        <v/>
      </c>
      <c r="I49" s="106" t="str">
        <f t="shared" si="23"/>
        <v/>
      </c>
      <c r="J49" s="106" t="str">
        <f t="shared" si="23"/>
        <v/>
      </c>
      <c r="K49" s="106" t="str">
        <f t="shared" si="23"/>
        <v/>
      </c>
      <c r="L49" s="106" t="str">
        <f t="shared" si="23"/>
        <v/>
      </c>
      <c r="M49" s="27"/>
      <c r="N49" s="27"/>
    </row>
    <row r="50" spans="1:14" x14ac:dyDescent="0.35">
      <c r="A50" t="str">
        <f t="shared" si="16"/>
        <v xml:space="preserve">    To Mexico</v>
      </c>
      <c r="B50" s="128" t="s">
        <v>182</v>
      </c>
      <c r="C50" s="106">
        <f>IF(OR(C$26="",$A50=""),"",IF(C$47&gt;SUM(C51:C52,C46),C46,C$47-SUM(C51:C52)))</f>
        <v>1.4473333333333334</v>
      </c>
      <c r="D50" s="106">
        <f t="shared" ref="D50:L50" ca="1" si="24">IF(OR(D$26="",$A50=""),"",IF(D$47&gt;SUM(D51:D52,D46),D46,D$47-SUM(D51:D52)))</f>
        <v>1.4083333333333332</v>
      </c>
      <c r="E50" s="106">
        <f t="shared" ca="1" si="24"/>
        <v>1.3423333333333334</v>
      </c>
      <c r="F50" s="106">
        <f t="shared" ca="1" si="24"/>
        <v>1.3343333333333334</v>
      </c>
      <c r="G50" s="106">
        <f t="shared" ca="1" si="24"/>
        <v>1.3343333333333334</v>
      </c>
      <c r="H50" s="106" t="str">
        <f t="shared" si="24"/>
        <v/>
      </c>
      <c r="I50" s="106" t="str">
        <f t="shared" si="24"/>
        <v/>
      </c>
      <c r="J50" s="106" t="str">
        <f t="shared" si="24"/>
        <v/>
      </c>
      <c r="K50" s="106" t="str">
        <f t="shared" si="24"/>
        <v/>
      </c>
      <c r="L50" s="106" t="str">
        <f t="shared" si="24"/>
        <v/>
      </c>
      <c r="M50" s="27"/>
      <c r="N50" s="27"/>
    </row>
    <row r="51" spans="1:14" x14ac:dyDescent="0.35">
      <c r="A51" t="str">
        <f t="shared" si="16"/>
        <v xml:space="preserve">    To Shared, Reserve</v>
      </c>
      <c r="B51" s="128" t="s">
        <v>181</v>
      </c>
      <c r="C51" s="106">
        <f>IF(OR(C$26="",$A51=""),"",IF(C$47&gt;C43,C43,C47))</f>
        <v>0.56137388460009618</v>
      </c>
      <c r="D51" s="106">
        <f t="shared" ref="D51:L51" ca="1" si="25">IF(OR(D$26="",$A51=""),"",IF(D$47&gt;D43,D43,D47))</f>
        <v>0.59314891350999832</v>
      </c>
      <c r="E51" s="106">
        <f t="shared" ca="1" si="25"/>
        <v>0.65765606779372787</v>
      </c>
      <c r="F51" s="106">
        <f t="shared" ca="1" si="25"/>
        <v>0.66847738777276533</v>
      </c>
      <c r="G51" s="106">
        <f t="shared" ca="1" si="25"/>
        <v>0.67734862932216422</v>
      </c>
      <c r="H51" s="106" t="str">
        <f t="shared" si="25"/>
        <v/>
      </c>
      <c r="I51" s="106" t="str">
        <f t="shared" si="25"/>
        <v/>
      </c>
      <c r="J51" s="106" t="str">
        <f t="shared" si="25"/>
        <v/>
      </c>
      <c r="K51" s="106" t="str">
        <f t="shared" si="25"/>
        <v/>
      </c>
      <c r="L51" s="106" t="str">
        <f t="shared" si="25"/>
        <v/>
      </c>
      <c r="M51" s="27"/>
      <c r="N51" s="27"/>
    </row>
    <row r="52" spans="1:14" x14ac:dyDescent="0.35">
      <c r="A52" t="str">
        <f t="shared" si="16"/>
        <v/>
      </c>
      <c r="B52" s="128"/>
      <c r="C52" s="106"/>
      <c r="D52" s="106"/>
      <c r="E52" s="106"/>
      <c r="F52" s="106"/>
      <c r="G52" s="106"/>
      <c r="H52" s="106"/>
      <c r="I52" s="106"/>
      <c r="J52" s="106"/>
      <c r="K52" s="106"/>
      <c r="L52" s="106"/>
      <c r="M52" s="27"/>
      <c r="N52" s="27"/>
    </row>
    <row r="53" spans="1:14" x14ac:dyDescent="0.35">
      <c r="A53" t="str">
        <f t="shared" si="16"/>
        <v/>
      </c>
      <c r="B53" s="128"/>
      <c r="C53" s="107"/>
      <c r="D53" s="107"/>
      <c r="E53" s="107"/>
      <c r="F53" s="107"/>
      <c r="G53" s="107"/>
      <c r="H53" s="107"/>
      <c r="I53" s="107"/>
      <c r="J53" s="107"/>
      <c r="K53" s="107"/>
      <c r="L53" s="107"/>
      <c r="M53" s="27"/>
      <c r="N53" s="27"/>
    </row>
    <row r="54" spans="1:14" x14ac:dyDescent="0.35">
      <c r="C54" s="43"/>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3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26">IF(OR(C$26="",$A59=""),"",C$112)</f>
        <v>0</v>
      </c>
      <c r="D59" s="65">
        <f t="shared" ca="1" si="26"/>
        <v>0</v>
      </c>
      <c r="E59" s="65">
        <f t="shared" ca="1" si="26"/>
        <v>0.2</v>
      </c>
      <c r="F59" s="65">
        <f t="shared" ca="1" si="26"/>
        <v>0.1</v>
      </c>
      <c r="G59" s="65">
        <f t="shared" ca="1" si="26"/>
        <v>0</v>
      </c>
      <c r="H59" s="65" t="str">
        <f t="shared" si="26"/>
        <v/>
      </c>
      <c r="I59" s="65" t="str">
        <f t="shared" si="26"/>
        <v/>
      </c>
      <c r="J59" s="65" t="str">
        <f t="shared" si="26"/>
        <v/>
      </c>
      <c r="K59" s="65" t="str">
        <f t="shared" si="26"/>
        <v/>
      </c>
      <c r="L59" s="65" t="str">
        <f t="shared" si="26"/>
        <v/>
      </c>
      <c r="M59" t="str">
        <f t="shared" si="26"/>
        <v/>
      </c>
      <c r="N59" t="str">
        <f>IF(A59="","","If non-zero, players need to change amount(s)")</f>
        <v>If non-zero, players need to change amount(s)</v>
      </c>
    </row>
    <row r="60" spans="1:14" x14ac:dyDescent="0.35">
      <c r="A60" s="1" t="str">
        <f>IF(A58="","","   Available Water [maf]")</f>
        <v xml:space="preserve">   Available Water [maf]</v>
      </c>
      <c r="C60" s="14">
        <f>IF(OR(C$26="",$A60=""),"",C30+C48-C40-C57)</f>
        <v>7.6040452368981803</v>
      </c>
      <c r="D60" s="14">
        <f t="shared" ref="D60:L60" ca="1" si="27">IF(OR(D$26="",$A60=""),"",D30+D48-D40-D57)</f>
        <v>4.025685122594207</v>
      </c>
      <c r="E60" s="14">
        <f t="shared" ca="1" si="27"/>
        <v>0</v>
      </c>
      <c r="F60" s="14">
        <f t="shared" ca="1" si="27"/>
        <v>0</v>
      </c>
      <c r="G60" s="14">
        <f t="shared" ca="1" si="27"/>
        <v>1.7763568394002505E-15</v>
      </c>
      <c r="H60" s="14" t="str">
        <f t="shared" si="27"/>
        <v/>
      </c>
      <c r="I60" s="14" t="str">
        <f t="shared" si="27"/>
        <v/>
      </c>
      <c r="J60" s="14" t="str">
        <f t="shared" si="27"/>
        <v/>
      </c>
      <c r="K60" s="14" t="str">
        <f t="shared" si="27"/>
        <v/>
      </c>
      <c r="L60" s="14" t="str">
        <f t="shared" si="27"/>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f>IF(C27&lt;&gt;"",IF(C60&gt;4.2,4.2,MAX(C60,0)),"")</f>
        <v>4.2</v>
      </c>
      <c r="D61" s="125">
        <f t="shared" ref="D61:G61" ca="1" si="28">IF(D27&lt;&gt;"",IF(D60&gt;4.2,4.2,MAX(D60,0)),"")</f>
        <v>4.025685122594207</v>
      </c>
      <c r="E61" s="125">
        <f t="shared" ca="1" si="28"/>
        <v>0</v>
      </c>
      <c r="F61" s="125">
        <f t="shared" ca="1" si="28"/>
        <v>0</v>
      </c>
      <c r="G61" s="125">
        <f t="shared" ca="1" si="28"/>
        <v>1.7763568394002505E-15</v>
      </c>
      <c r="H61" s="125"/>
      <c r="I61" s="125"/>
      <c r="J61" s="125"/>
      <c r="K61" s="125"/>
      <c r="L61" s="125"/>
      <c r="N61" t="str">
        <f>IF(A61="","","Must be less than Available water")</f>
        <v>Must be less than Available water</v>
      </c>
    </row>
    <row r="62" spans="1:14" x14ac:dyDescent="0.35">
      <c r="A62" s="30" t="str">
        <f>IF(A61="","","   End of Year Balance [maf]")</f>
        <v xml:space="preserve">   End of Year Balance [maf]</v>
      </c>
      <c r="C62" s="64">
        <f>IF(OR(C$26="",$A62=""),"",C60-C61)</f>
        <v>3.4040452368981802</v>
      </c>
      <c r="D62" s="64">
        <f t="shared" ref="D62:L62" ca="1" si="29">IF(OR(D$26="",$A62=""),"",D60-D61)</f>
        <v>0</v>
      </c>
      <c r="E62" s="64">
        <f t="shared" ca="1" si="29"/>
        <v>0</v>
      </c>
      <c r="F62" s="64">
        <f t="shared" ca="1" si="29"/>
        <v>0</v>
      </c>
      <c r="G62" s="64">
        <f t="shared" ca="1" si="29"/>
        <v>0</v>
      </c>
      <c r="H62" s="64" t="str">
        <f t="shared" si="29"/>
        <v/>
      </c>
      <c r="I62" s="64" t="str">
        <f t="shared" si="29"/>
        <v/>
      </c>
      <c r="J62" s="64" t="str">
        <f t="shared" si="29"/>
        <v/>
      </c>
      <c r="K62" s="64" t="str">
        <f t="shared" si="29"/>
        <v/>
      </c>
      <c r="L62" s="64" t="str">
        <f t="shared" si="29"/>
        <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   Volume of Sales(+) and Purchases(-) [maf]")</f>
        <v xml:space="preserve">   Volume of Sales(+) and Purchases(-) [maf]</v>
      </c>
      <c r="C65" s="123"/>
      <c r="D65" s="123"/>
      <c r="E65" s="123"/>
      <c r="F65" s="123"/>
      <c r="G65" s="123"/>
      <c r="H65" s="123"/>
      <c r="I65" s="123"/>
      <c r="J65" s="123"/>
      <c r="K65" s="123"/>
      <c r="L65" s="123"/>
      <c r="M65" s="65">
        <f>SUM(C65:L65)</f>
        <v>0</v>
      </c>
      <c r="N65" t="str">
        <f>IF(A65="","",N57)</f>
        <v>Add if multiple transactions, e.g.: 0.5 + 0.25</v>
      </c>
    </row>
    <row r="66" spans="1:14" x14ac:dyDescent="0.35">
      <c r="A66" s="30" t="str">
        <f>IF(A65="","","   Cash Intake(+) and Payments(-) [$ Mill]")</f>
        <v xml:space="preserve">   Cash Intake(+) and Payments(-) [$ Mill]</v>
      </c>
      <c r="C66" s="124"/>
      <c r="D66" s="124"/>
      <c r="E66" s="124"/>
      <c r="F66" s="124"/>
      <c r="G66" s="124"/>
      <c r="H66" s="124"/>
      <c r="I66" s="124"/>
      <c r="J66" s="124"/>
      <c r="K66" s="124"/>
      <c r="L66" s="124"/>
      <c r="M66" s="63">
        <f>SUM(C66:L66)</f>
        <v>0</v>
      </c>
      <c r="N66" t="str">
        <f t="shared" ref="N66:N70" si="30">IF(A66="","",N58)</f>
        <v>Add if multiple transactions, e.g.: $350*0.5 + $450*0.25</v>
      </c>
    </row>
    <row r="67" spans="1:14" x14ac:dyDescent="0.35">
      <c r="A67" s="30" t="str">
        <f>IF(A66="","","   Volume all players (should be zero)")</f>
        <v xml:space="preserve">   Volume all players (should be zero)</v>
      </c>
      <c r="C67" s="65">
        <f t="shared" ref="C67:M67" ca="1" si="31">IF(OR(C$26="",$A67=""),"",C$112)</f>
        <v>0</v>
      </c>
      <c r="D67" s="65">
        <f t="shared" ca="1" si="31"/>
        <v>0</v>
      </c>
      <c r="E67" s="65">
        <f t="shared" ca="1" si="31"/>
        <v>0.2</v>
      </c>
      <c r="F67" s="65">
        <f t="shared" ca="1" si="31"/>
        <v>0.1</v>
      </c>
      <c r="G67" s="65">
        <f t="shared" ca="1" si="31"/>
        <v>0</v>
      </c>
      <c r="H67" s="65" t="str">
        <f t="shared" si="31"/>
        <v/>
      </c>
      <c r="I67" s="65" t="str">
        <f t="shared" si="31"/>
        <v/>
      </c>
      <c r="J67" s="65" t="str">
        <f t="shared" si="31"/>
        <v/>
      </c>
      <c r="K67" s="65" t="str">
        <f t="shared" si="31"/>
        <v/>
      </c>
      <c r="L67" s="65" t="str">
        <f t="shared" si="31"/>
        <v/>
      </c>
      <c r="M67" t="str">
        <f t="shared" si="31"/>
        <v/>
      </c>
      <c r="N67" t="str">
        <f t="shared" si="30"/>
        <v>If non-zero, players need to change amount(s)</v>
      </c>
    </row>
    <row r="68" spans="1:14" x14ac:dyDescent="0.35">
      <c r="A68" s="1" t="str">
        <f>IF(A66="","","   Available Water [maf]")</f>
        <v xml:space="preserve">   Available Water [maf]</v>
      </c>
      <c r="C68" s="14">
        <f t="shared" ref="C68:L68" si="32">IF(OR(C$26="",$A68=""),"",C31+C49-C41-C65)</f>
        <v>10.469981523290789</v>
      </c>
      <c r="D68" s="14">
        <f t="shared" ca="1" si="32"/>
        <v>9.449352045114523</v>
      </c>
      <c r="E68" s="14">
        <f t="shared" ca="1" si="32"/>
        <v>8.7169807300538658</v>
      </c>
      <c r="F68" s="14">
        <f t="shared" ca="1" si="32"/>
        <v>8.398564200417276</v>
      </c>
      <c r="G68" s="14">
        <f t="shared" ca="1" si="32"/>
        <v>8.1427875840007129</v>
      </c>
      <c r="H68" s="14" t="str">
        <f t="shared" si="32"/>
        <v/>
      </c>
      <c r="I68" s="14" t="str">
        <f t="shared" si="32"/>
        <v/>
      </c>
      <c r="J68" s="14" t="str">
        <f t="shared" si="32"/>
        <v/>
      </c>
      <c r="K68" s="14" t="str">
        <f t="shared" si="32"/>
        <v/>
      </c>
      <c r="L68" s="14" t="str">
        <f t="shared" si="32"/>
        <v/>
      </c>
      <c r="N68" t="str">
        <f t="shared" si="30"/>
        <v>Available water = Account Balance + Available Inflow - Evaporation + Sales - Purchases</v>
      </c>
    </row>
    <row r="69" spans="1:14" x14ac:dyDescent="0.35">
      <c r="A69" s="1" t="str">
        <f>IF(A68="","","   Account Withdraw [maf]")</f>
        <v xml:space="preserve">   Account Withdraw [maf]</v>
      </c>
      <c r="C69" s="125">
        <f>IF(C27&lt;&gt;"",7.5-VLOOKUP(C38,MandatoryConservation!$C$5:$P$13,14),"")</f>
        <v>7.2590000000000003</v>
      </c>
      <c r="D69" s="125">
        <f ca="1">IF(D27&lt;&gt;"",7.5-VLOOKUP(D38,MandatoryConservation!$C$5:$P$13,14),"")</f>
        <v>6.8870000000000005</v>
      </c>
      <c r="E69" s="125">
        <f ca="1">IF(E27&lt;&gt;"",7.5-VLOOKUP(E38,MandatoryConservation!$C$5:$P$13,14),"")</f>
        <v>6.4870000000000001</v>
      </c>
      <c r="F69" s="125">
        <f ca="1">IF(F27&lt;&gt;"",7.5-VLOOKUP(F38,MandatoryConservation!$C$5:$P$13,14),"")</f>
        <v>6.4290000000000003</v>
      </c>
      <c r="G69" s="125">
        <f ca="1">IF(G27&lt;&gt;"",7.5-VLOOKUP(G38,MandatoryConservation!$C$5:$P$13,14),"")</f>
        <v>6.4290000000000003</v>
      </c>
      <c r="H69" s="125"/>
      <c r="I69" s="125"/>
      <c r="J69" s="125"/>
      <c r="K69" s="125"/>
      <c r="L69" s="125"/>
      <c r="N69" t="str">
        <f t="shared" si="30"/>
        <v>Must be less than Available water</v>
      </c>
    </row>
    <row r="70" spans="1:14" x14ac:dyDescent="0.35">
      <c r="A70" s="30" t="str">
        <f>IF(A69="","","   End of Year Balance [maf]")</f>
        <v xml:space="preserve">   End of Year Balance [maf]</v>
      </c>
      <c r="C70" s="64">
        <f>IF(OR(C$26="",$A70=""),"",C68-C69)</f>
        <v>3.2109815232907888</v>
      </c>
      <c r="D70" s="64">
        <f t="shared" ref="D70:L70" ca="1" si="33">IF(OR(D$26="",$A70=""),"",D68-D69)</f>
        <v>2.5623520451145225</v>
      </c>
      <c r="E70" s="64">
        <f t="shared" ca="1" si="33"/>
        <v>2.2299807300538657</v>
      </c>
      <c r="F70" s="64">
        <f t="shared" ca="1" si="33"/>
        <v>1.9695642004172758</v>
      </c>
      <c r="G70" s="64">
        <f t="shared" ca="1" si="33"/>
        <v>1.7137875840007126</v>
      </c>
      <c r="H70" s="64" t="str">
        <f t="shared" si="33"/>
        <v/>
      </c>
      <c r="I70" s="64" t="str">
        <f t="shared" si="33"/>
        <v/>
      </c>
      <c r="J70" s="64" t="str">
        <f t="shared" si="33"/>
        <v/>
      </c>
      <c r="K70" s="64" t="str">
        <f t="shared" si="33"/>
        <v/>
      </c>
      <c r="L70" s="64" t="str">
        <f t="shared" si="33"/>
        <v/>
      </c>
      <c r="N70" t="str">
        <f t="shared" si="30"/>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   Volume of Sales(+) and Purchases(-) [maf]")</f>
        <v xml:space="preserve">   Volume of Sales(+) and Purchases(-) [maf]</v>
      </c>
      <c r="C73" s="123"/>
      <c r="D73" s="123"/>
      <c r="E73" s="123">
        <v>0.2</v>
      </c>
      <c r="F73" s="123">
        <v>0.1</v>
      </c>
      <c r="G73" s="123"/>
      <c r="H73" s="123"/>
      <c r="I73" s="123"/>
      <c r="J73" s="123"/>
      <c r="K73" s="123"/>
      <c r="L73" s="123"/>
      <c r="M73" s="65">
        <f>SUM(C73:L73)</f>
        <v>0.30000000000000004</v>
      </c>
      <c r="N73" t="str">
        <f>IF(A73="","",N65)</f>
        <v>Add if multiple transactions, e.g.: 0.5 + 0.25</v>
      </c>
    </row>
    <row r="74" spans="1:14" x14ac:dyDescent="0.35">
      <c r="A74" s="30" t="str">
        <f>IF(A73="","","   Cash Intake(+) and Payments(-) [$ Mill]")</f>
        <v xml:space="preserve">   Cash Intake(+) and Payments(-) [$ Mill]</v>
      </c>
      <c r="C74" s="124"/>
      <c r="D74" s="124"/>
      <c r="E74" s="124">
        <f>1500*E73</f>
        <v>300</v>
      </c>
      <c r="F74" s="124">
        <f>1500*F73</f>
        <v>150</v>
      </c>
      <c r="G74" s="124"/>
      <c r="H74" s="124"/>
      <c r="I74" s="124"/>
      <c r="J74" s="124"/>
      <c r="K74" s="124"/>
      <c r="L74" s="124"/>
      <c r="M74" s="63">
        <f>SUM(C74:L74)</f>
        <v>450</v>
      </c>
      <c r="N74" t="str">
        <f t="shared" ref="N74:N78" si="34">IF(A74="","",N66)</f>
        <v>Add if multiple transactions, e.g.: $350*0.5 + $450*0.25</v>
      </c>
    </row>
    <row r="75" spans="1:14" x14ac:dyDescent="0.35">
      <c r="A75" s="30" t="str">
        <f>IF(A74="","","   Volume all players (should be zero)")</f>
        <v xml:space="preserve">   Volume all players (should be zero)</v>
      </c>
      <c r="C75" s="65">
        <f t="shared" ref="C75:M75" ca="1" si="35">IF(OR(C$26="",$A75=""),"",C$112)</f>
        <v>0</v>
      </c>
      <c r="D75" s="65">
        <f t="shared" ca="1" si="35"/>
        <v>0</v>
      </c>
      <c r="E75" s="65">
        <f t="shared" ca="1" si="35"/>
        <v>0.2</v>
      </c>
      <c r="F75" s="65">
        <f t="shared" ca="1" si="35"/>
        <v>0.1</v>
      </c>
      <c r="G75" s="65">
        <f t="shared" ca="1" si="35"/>
        <v>0</v>
      </c>
      <c r="H75" s="65" t="str">
        <f t="shared" si="35"/>
        <v/>
      </c>
      <c r="I75" s="65" t="str">
        <f t="shared" si="35"/>
        <v/>
      </c>
      <c r="J75" s="65" t="str">
        <f t="shared" si="35"/>
        <v/>
      </c>
      <c r="K75" s="65" t="str">
        <f t="shared" si="35"/>
        <v/>
      </c>
      <c r="L75" s="65" t="str">
        <f t="shared" si="35"/>
        <v/>
      </c>
      <c r="M75" t="str">
        <f t="shared" si="35"/>
        <v/>
      </c>
      <c r="N75" t="str">
        <f t="shared" si="34"/>
        <v>If non-zero, players need to change amount(s)</v>
      </c>
    </row>
    <row r="76" spans="1:14" x14ac:dyDescent="0.35">
      <c r="A76" s="1" t="str">
        <f>IF(A74="","","   Available Water [maf]")</f>
        <v xml:space="preserve">   Available Water [maf]</v>
      </c>
      <c r="C76" s="14">
        <f t="shared" ref="C76:L76" si="36">IF(OR(C$26="",$A76=""),"",C32+C50-C42-C73)</f>
        <v>1.6129063098110585</v>
      </c>
      <c r="D76" s="14">
        <f t="shared" ca="1" si="36"/>
        <v>1.5654335294567918</v>
      </c>
      <c r="E76" s="14">
        <f t="shared" ca="1" si="36"/>
        <v>1.290520028583515</v>
      </c>
      <c r="F76" s="14">
        <f ca="1">IF(OR(F$26="",$A76=""),"",F32+F50-F42-F73)</f>
        <v>1.1855081673867709</v>
      </c>
      <c r="G76" s="14">
        <f t="shared" ca="1" si="36"/>
        <v>1.1942050054699995</v>
      </c>
      <c r="H76" s="14" t="str">
        <f t="shared" si="36"/>
        <v/>
      </c>
      <c r="I76" s="14" t="str">
        <f t="shared" si="36"/>
        <v/>
      </c>
      <c r="J76" s="14" t="str">
        <f t="shared" si="36"/>
        <v/>
      </c>
      <c r="K76" s="14" t="str">
        <f t="shared" si="36"/>
        <v/>
      </c>
      <c r="L76" s="14" t="str">
        <f t="shared" si="36"/>
        <v/>
      </c>
      <c r="N76" t="str">
        <f t="shared" si="34"/>
        <v>Available water = Account Balance + Available Inflow - Evaporation + Sales - Purchases</v>
      </c>
    </row>
    <row r="77" spans="1:14" x14ac:dyDescent="0.35">
      <c r="A77" s="1" t="str">
        <f>IF(A76="","","   Account Withdraw [maf]")</f>
        <v xml:space="preserve">   Account Withdraw [maf]</v>
      </c>
      <c r="C77" s="125">
        <f>C46</f>
        <v>1.4473333333333334</v>
      </c>
      <c r="D77" s="125">
        <f t="shared" ref="D77:G77" ca="1" si="37">D46</f>
        <v>1.4083333333333332</v>
      </c>
      <c r="E77" s="125">
        <f t="shared" ca="1" si="37"/>
        <v>1.3423333333333334</v>
      </c>
      <c r="F77" s="125">
        <f t="shared" ca="1" si="37"/>
        <v>1.3343333333333334</v>
      </c>
      <c r="G77" s="125">
        <f t="shared" ca="1" si="37"/>
        <v>1.3343333333333334</v>
      </c>
      <c r="H77" s="125"/>
      <c r="I77" s="125"/>
      <c r="J77" s="125"/>
      <c r="K77" s="125"/>
      <c r="L77" s="125"/>
      <c r="N77" t="str">
        <f t="shared" si="34"/>
        <v>Must be less than Available water</v>
      </c>
    </row>
    <row r="78" spans="1:14" x14ac:dyDescent="0.35">
      <c r="A78" s="30" t="str">
        <f>IF(A77="","","   End of Year Balance [maf]")</f>
        <v xml:space="preserve">   End of Year Balance [maf]</v>
      </c>
      <c r="C78" s="64">
        <f>IF(OR(C$26="",$A78=""),"",C76-C77)</f>
        <v>0.16557297647772518</v>
      </c>
      <c r="D78" s="64">
        <f t="shared" ref="D78:L78" ca="1" si="38">IF(OR(D$26="",$A78=""),"",D76-D77)</f>
        <v>0.1571001961234586</v>
      </c>
      <c r="E78" s="64">
        <f t="shared" ca="1" si="38"/>
        <v>-5.1813304749818379E-2</v>
      </c>
      <c r="F78" s="64">
        <f t="shared" ca="1" si="38"/>
        <v>-0.14882516594656248</v>
      </c>
      <c r="G78" s="64">
        <f t="shared" ca="1" si="38"/>
        <v>-0.14012832786333385</v>
      </c>
      <c r="H78" s="64" t="str">
        <f t="shared" si="38"/>
        <v/>
      </c>
      <c r="I78" s="64" t="str">
        <f t="shared" si="38"/>
        <v/>
      </c>
      <c r="J78" s="64" t="str">
        <f t="shared" si="38"/>
        <v/>
      </c>
      <c r="K78" s="64" t="str">
        <f t="shared" si="38"/>
        <v/>
      </c>
      <c r="L78" s="64" t="str">
        <f t="shared" si="38"/>
        <v/>
      </c>
      <c r="N78" t="str">
        <f t="shared" si="34"/>
        <v>Available water - Account Withdraw</v>
      </c>
    </row>
    <row r="79" spans="1:14" x14ac:dyDescent="0.35">
      <c r="C79"/>
    </row>
    <row r="80" spans="1:14" x14ac:dyDescent="0.35">
      <c r="A80" s="132" t="str">
        <f>IF(A$8="","[Unused]",A8)</f>
        <v>Shared, Reserve</v>
      </c>
      <c r="B80" s="132"/>
      <c r="C80" s="132"/>
      <c r="D80" s="132"/>
      <c r="E80" s="132"/>
      <c r="F80" s="132"/>
      <c r="G80" s="132"/>
      <c r="H80" s="132"/>
      <c r="I80" s="132"/>
      <c r="J80" s="132"/>
      <c r="K80" s="132"/>
      <c r="L80" s="132"/>
      <c r="M80" s="133" t="s">
        <v>105</v>
      </c>
      <c r="N80" s="132" t="s">
        <v>169</v>
      </c>
    </row>
    <row r="81" spans="1:14" x14ac:dyDescent="0.3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9">IF(A82="","",N74)</f>
        <v>Add if multiple transactions, e.g.: $350*0.5 + $450*0.25</v>
      </c>
    </row>
    <row r="83" spans="1:14" x14ac:dyDescent="0.35">
      <c r="A83" s="30" t="str">
        <f>IF(A82="","","   Volume all players (should be zero)")</f>
        <v xml:space="preserve">   Volume all players (should be zero)</v>
      </c>
      <c r="C83" s="65">
        <f t="shared" ref="C83:M83" ca="1" si="40">IF(OR(C$26="",$A83=""),"",C$112)</f>
        <v>0</v>
      </c>
      <c r="D83" s="65">
        <f t="shared" ca="1" si="40"/>
        <v>0</v>
      </c>
      <c r="E83" s="65">
        <f t="shared" ca="1" si="40"/>
        <v>0.2</v>
      </c>
      <c r="F83" s="65">
        <f t="shared" ca="1" si="40"/>
        <v>0.1</v>
      </c>
      <c r="G83" s="65">
        <f t="shared" ca="1" si="40"/>
        <v>0</v>
      </c>
      <c r="H83" s="65" t="str">
        <f t="shared" si="40"/>
        <v/>
      </c>
      <c r="I83" s="65" t="str">
        <f t="shared" si="40"/>
        <v/>
      </c>
      <c r="J83" s="65" t="str">
        <f t="shared" si="40"/>
        <v/>
      </c>
      <c r="K83" s="65" t="str">
        <f t="shared" si="40"/>
        <v/>
      </c>
      <c r="L83" s="65" t="str">
        <f t="shared" si="40"/>
        <v/>
      </c>
      <c r="M83" t="str">
        <f t="shared" si="40"/>
        <v/>
      </c>
      <c r="N83" t="str">
        <f t="shared" si="39"/>
        <v>If non-zero, players need to change amount(s)</v>
      </c>
    </row>
    <row r="84" spans="1:14" x14ac:dyDescent="0.35">
      <c r="A84" s="1" t="str">
        <f>IF(A82="","","   Available Water [maf]")</f>
        <v xml:space="preserve">   Available Water [maf]</v>
      </c>
      <c r="C84" s="14">
        <f t="shared" ref="C84:L84" si="41">IF(OR(C$26="",$A84=""),"",C33+C51-C43-C81)</f>
        <v>11.59116925</v>
      </c>
      <c r="D84" s="14">
        <f t="shared" ca="1" si="41"/>
        <v>11.59116925</v>
      </c>
      <c r="E84" s="14">
        <f t="shared" ca="1" si="41"/>
        <v>11.59116925</v>
      </c>
      <c r="F84" s="14">
        <f t="shared" ca="1" si="41"/>
        <v>11.59116925</v>
      </c>
      <c r="G84" s="14">
        <f t="shared" ca="1" si="41"/>
        <v>11.59116925</v>
      </c>
      <c r="H84" s="14" t="str">
        <f t="shared" si="41"/>
        <v/>
      </c>
      <c r="I84" s="14" t="str">
        <f t="shared" si="41"/>
        <v/>
      </c>
      <c r="J84" s="14" t="str">
        <f t="shared" si="41"/>
        <v/>
      </c>
      <c r="K84" s="14" t="str">
        <f t="shared" si="41"/>
        <v/>
      </c>
      <c r="L84" s="14" t="str">
        <f t="shared" si="41"/>
        <v/>
      </c>
      <c r="N84" t="str">
        <f t="shared" si="39"/>
        <v>Available water = Account Balance + Available Inflow - Evaporation + Sales - Purchases</v>
      </c>
    </row>
    <row r="85" spans="1:14" x14ac:dyDescent="0.35">
      <c r="A85" s="1" t="str">
        <f>IF(A84="","","   Account Withdraw [maf]")</f>
        <v xml:space="preserve">   Account Withdraw [maf]</v>
      </c>
      <c r="C85" s="125"/>
      <c r="D85" s="125"/>
      <c r="E85" s="125"/>
      <c r="F85" s="125"/>
      <c r="G85" s="125"/>
      <c r="H85" s="125"/>
      <c r="I85" s="125"/>
      <c r="J85" s="125"/>
      <c r="K85" s="125"/>
      <c r="L85" s="125"/>
      <c r="N85" t="str">
        <f t="shared" si="39"/>
        <v>Must be less than Available water</v>
      </c>
    </row>
    <row r="86" spans="1:14" x14ac:dyDescent="0.35">
      <c r="A86" s="30" t="str">
        <f>IF(A85="","","   End of Year Balance [maf]")</f>
        <v xml:space="preserve">   End of Year Balance [maf]</v>
      </c>
      <c r="C86" s="64">
        <f>IF(OR(C$26="",$A86=""),"",C84-C85)</f>
        <v>11.59116925</v>
      </c>
      <c r="D86" s="64">
        <f t="shared" ref="D86:L86" ca="1" si="42">IF(OR(D$26="",$A86=""),"",D84-D85)</f>
        <v>11.59116925</v>
      </c>
      <c r="E86" s="64">
        <f t="shared" ca="1" si="42"/>
        <v>11.59116925</v>
      </c>
      <c r="F86" s="64">
        <f t="shared" ca="1" si="42"/>
        <v>11.59116925</v>
      </c>
      <c r="G86" s="64">
        <f t="shared" ca="1" si="42"/>
        <v>11.59116925</v>
      </c>
      <c r="H86" s="64" t="str">
        <f t="shared" si="42"/>
        <v/>
      </c>
      <c r="I86" s="64" t="str">
        <f t="shared" si="42"/>
        <v/>
      </c>
      <c r="J86" s="64" t="str">
        <f t="shared" si="42"/>
        <v/>
      </c>
      <c r="K86" s="64" t="str">
        <f t="shared" si="42"/>
        <v/>
      </c>
      <c r="L86" s="64" t="str">
        <f t="shared" si="42"/>
        <v/>
      </c>
      <c r="N86" t="str">
        <f t="shared" si="39"/>
        <v>Available water - Account Withdraw</v>
      </c>
    </row>
    <row r="87" spans="1:14" x14ac:dyDescent="0.35">
      <c r="C87"/>
    </row>
    <row r="88" spans="1:14" x14ac:dyDescent="0.35">
      <c r="A88" s="132" t="str">
        <f>IF(A$9="","[Unused]",A9)</f>
        <v>[Unused]</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35">
      <c r="A90" s="30" t="str">
        <f>IF(A89="","","   Cash Intake(+) and Payments(-) [$ Mill]")</f>
        <v/>
      </c>
      <c r="C90" s="124"/>
      <c r="D90" s="124"/>
      <c r="E90" s="124"/>
      <c r="F90" s="124"/>
      <c r="G90" s="124"/>
      <c r="H90" s="124"/>
      <c r="I90" s="124"/>
      <c r="J90" s="124"/>
      <c r="K90" s="124"/>
      <c r="L90" s="124"/>
      <c r="M90" s="63">
        <f>SUM(C90:L90)</f>
        <v>0</v>
      </c>
      <c r="N90" t="str">
        <f t="shared" ref="N90:N94" si="43">IF(A90="","",N82)</f>
        <v/>
      </c>
    </row>
    <row r="91" spans="1:14" x14ac:dyDescent="0.35">
      <c r="A91" s="30" t="str">
        <f>IF(A90="","","   Volume all players (should be zero)")</f>
        <v/>
      </c>
      <c r="C91" s="65" t="str">
        <f t="shared" ref="C91:M91" si="44">IF(OR(C$26="",$A91=""),"",C$112)</f>
        <v/>
      </c>
      <c r="D91" s="65" t="str">
        <f t="shared" si="44"/>
        <v/>
      </c>
      <c r="E91" s="65" t="str">
        <f t="shared" si="44"/>
        <v/>
      </c>
      <c r="F91" s="65" t="str">
        <f t="shared" si="44"/>
        <v/>
      </c>
      <c r="G91" s="65" t="str">
        <f t="shared" si="44"/>
        <v/>
      </c>
      <c r="H91" s="65" t="str">
        <f t="shared" si="44"/>
        <v/>
      </c>
      <c r="I91" s="65" t="str">
        <f t="shared" si="44"/>
        <v/>
      </c>
      <c r="J91" s="65" t="str">
        <f t="shared" si="44"/>
        <v/>
      </c>
      <c r="K91" s="65" t="str">
        <f t="shared" si="44"/>
        <v/>
      </c>
      <c r="L91" s="65" t="str">
        <f t="shared" si="44"/>
        <v/>
      </c>
      <c r="M91" t="str">
        <f t="shared" si="44"/>
        <v/>
      </c>
      <c r="N91" t="str">
        <f t="shared" si="43"/>
        <v/>
      </c>
    </row>
    <row r="92" spans="1:14" x14ac:dyDescent="0.35">
      <c r="A92" s="1" t="str">
        <f>IF(A90="","","   Available Water [maf]")</f>
        <v/>
      </c>
      <c r="C92" s="14" t="str">
        <f t="shared" ref="C92:L92" si="45">IF(OR(C$26="",$A92=""),"",C34+C52-C44-C89)</f>
        <v/>
      </c>
      <c r="D92" s="14" t="str">
        <f t="shared" si="45"/>
        <v/>
      </c>
      <c r="E92" s="14" t="str">
        <f t="shared" si="45"/>
        <v/>
      </c>
      <c r="F92" s="14" t="str">
        <f t="shared" si="45"/>
        <v/>
      </c>
      <c r="G92" s="14" t="str">
        <f t="shared" si="45"/>
        <v/>
      </c>
      <c r="H92" s="14" t="str">
        <f t="shared" si="45"/>
        <v/>
      </c>
      <c r="I92" s="14" t="str">
        <f t="shared" si="45"/>
        <v/>
      </c>
      <c r="J92" s="14" t="str">
        <f t="shared" si="45"/>
        <v/>
      </c>
      <c r="K92" s="14" t="str">
        <f t="shared" si="45"/>
        <v/>
      </c>
      <c r="L92" s="14" t="str">
        <f t="shared" si="45"/>
        <v/>
      </c>
      <c r="N92" t="str">
        <f t="shared" si="43"/>
        <v/>
      </c>
    </row>
    <row r="93" spans="1:14" x14ac:dyDescent="0.35">
      <c r="A93" s="1" t="str">
        <f>IF(A92="","","   Account Withdraw [maf]")</f>
        <v/>
      </c>
      <c r="C93" s="125"/>
      <c r="D93" s="125"/>
      <c r="E93" s="125"/>
      <c r="F93" s="125"/>
      <c r="G93" s="125"/>
      <c r="H93" s="125"/>
      <c r="I93" s="125"/>
      <c r="J93" s="125"/>
      <c r="K93" s="125"/>
      <c r="L93" s="125"/>
      <c r="N93" t="str">
        <f t="shared" si="43"/>
        <v/>
      </c>
    </row>
    <row r="94" spans="1:14" x14ac:dyDescent="0.35">
      <c r="A94" s="30" t="str">
        <f>IF(A93="","","   End of Year Balance [maf]")</f>
        <v/>
      </c>
      <c r="C94" s="64" t="str">
        <f>IF(OR(C$26="",$A94=""),"",C92-C93)</f>
        <v/>
      </c>
      <c r="D94" s="64" t="str">
        <f t="shared" ref="D94:L94" si="46">IF(OR(D$26="",$A94=""),"",D92-D93)</f>
        <v/>
      </c>
      <c r="E94" s="64" t="str">
        <f t="shared" si="46"/>
        <v/>
      </c>
      <c r="F94" s="64" t="str">
        <f t="shared" si="46"/>
        <v/>
      </c>
      <c r="G94" s="64" t="str">
        <f t="shared" si="46"/>
        <v/>
      </c>
      <c r="H94" s="64" t="str">
        <f t="shared" si="46"/>
        <v/>
      </c>
      <c r="I94" s="64" t="str">
        <f t="shared" si="46"/>
        <v/>
      </c>
      <c r="J94" s="64" t="str">
        <f t="shared" si="46"/>
        <v/>
      </c>
      <c r="K94" s="64" t="str">
        <f t="shared" si="46"/>
        <v/>
      </c>
      <c r="L94" s="64" t="str">
        <f t="shared" si="46"/>
        <v/>
      </c>
      <c r="N94" t="str">
        <f t="shared" si="43"/>
        <v/>
      </c>
    </row>
    <row r="95" spans="1:14" x14ac:dyDescent="0.35">
      <c r="C95"/>
    </row>
    <row r="96" spans="1:14" x14ac:dyDescent="0.35">
      <c r="A96" s="132" t="str">
        <f>IF(A$10="","[Unused]",A10)</f>
        <v>[Unused]</v>
      </c>
      <c r="B96" s="132"/>
      <c r="C96" s="132"/>
      <c r="D96" s="132"/>
      <c r="E96" s="132"/>
      <c r="F96" s="132"/>
      <c r="G96" s="132"/>
      <c r="H96" s="132"/>
      <c r="I96" s="132"/>
      <c r="J96" s="132"/>
      <c r="K96" s="132"/>
      <c r="L96" s="132"/>
      <c r="M96" s="133" t="s">
        <v>105</v>
      </c>
      <c r="N96" s="132" t="s">
        <v>169</v>
      </c>
    </row>
    <row r="97" spans="1:14" x14ac:dyDescent="0.3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35">
      <c r="A98" s="30" t="str">
        <f>IF(A97="","","   Cash Intake(+) and Payments(-) [$ Mill]")</f>
        <v/>
      </c>
      <c r="C98" s="124"/>
      <c r="D98" s="124"/>
      <c r="E98" s="124"/>
      <c r="F98" s="124"/>
      <c r="G98" s="124"/>
      <c r="H98" s="124"/>
      <c r="I98" s="124"/>
      <c r="J98" s="124"/>
      <c r="K98" s="124"/>
      <c r="L98" s="124"/>
      <c r="M98" s="63">
        <f>SUM(C98:L98)</f>
        <v>0</v>
      </c>
      <c r="N98" t="str">
        <f t="shared" ref="N98:N102" si="47">IF(A98="","",N90)</f>
        <v/>
      </c>
    </row>
    <row r="99" spans="1:14" x14ac:dyDescent="0.35">
      <c r="A99" s="30" t="str">
        <f>IF(A98="","","   Volume all players (should be zero)")</f>
        <v/>
      </c>
      <c r="C99" s="65" t="str">
        <f t="shared" ref="C99:M99" si="48">IF(OR(C$26="",$A99=""),"",C$112)</f>
        <v/>
      </c>
      <c r="D99" s="65" t="str">
        <f t="shared" si="48"/>
        <v/>
      </c>
      <c r="E99" s="65" t="str">
        <f t="shared" si="48"/>
        <v/>
      </c>
      <c r="F99" s="65" t="str">
        <f t="shared" si="48"/>
        <v/>
      </c>
      <c r="G99" s="65" t="str">
        <f t="shared" si="48"/>
        <v/>
      </c>
      <c r="H99" s="65" t="str">
        <f t="shared" si="48"/>
        <v/>
      </c>
      <c r="I99" s="65" t="str">
        <f t="shared" si="48"/>
        <v/>
      </c>
      <c r="J99" s="65" t="str">
        <f t="shared" si="48"/>
        <v/>
      </c>
      <c r="K99" s="65" t="str">
        <f t="shared" si="48"/>
        <v/>
      </c>
      <c r="L99" s="65" t="str">
        <f t="shared" si="48"/>
        <v/>
      </c>
      <c r="M99" t="str">
        <f t="shared" si="48"/>
        <v/>
      </c>
      <c r="N99" t="str">
        <f t="shared" si="47"/>
        <v/>
      </c>
    </row>
    <row r="100" spans="1:14" x14ac:dyDescent="0.35">
      <c r="A100" s="1" t="str">
        <f>IF(A98="","","   Available Water [maf]")</f>
        <v/>
      </c>
      <c r="C100" s="14" t="str">
        <f t="shared" ref="C100:L100" si="49">IF(OR(C$26="",$A100=""),"",C35+C53-C45-C97)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35">
      <c r="A101" s="1" t="str">
        <f>IF(A100="","","   Account Withdraw [maf]")</f>
        <v/>
      </c>
      <c r="C101" s="125"/>
      <c r="D101" s="125"/>
      <c r="E101" s="125"/>
      <c r="F101" s="125"/>
      <c r="G101" s="125"/>
      <c r="H101" s="125"/>
      <c r="I101" s="125"/>
      <c r="J101" s="125"/>
      <c r="K101" s="125"/>
      <c r="L101" s="125"/>
      <c r="N101" t="str">
        <f t="shared" si="47"/>
        <v/>
      </c>
    </row>
    <row r="102" spans="1:14" x14ac:dyDescent="0.35">
      <c r="A102" s="30" t="str">
        <f>IF(A101="","","   End of Year Balance [maf]")</f>
        <v/>
      </c>
      <c r="C102" s="64" t="str">
        <f>IF(OR(C$26="",$A102=""),"",C100-C101)</f>
        <v/>
      </c>
      <c r="D102" s="64" t="str">
        <f t="shared" ref="D102:L102" si="50">IF(OR(D$26="",$A102=""),"",D100-D101)</f>
        <v/>
      </c>
      <c r="E102" s="64" t="str">
        <f t="shared" si="50"/>
        <v/>
      </c>
      <c r="F102" s="64" t="str">
        <f t="shared" si="50"/>
        <v/>
      </c>
      <c r="G102" s="64" t="str">
        <f t="shared" si="50"/>
        <v/>
      </c>
      <c r="H102" s="64" t="str">
        <f t="shared" si="50"/>
        <v/>
      </c>
      <c r="I102" s="64" t="str">
        <f t="shared" si="50"/>
        <v/>
      </c>
      <c r="J102" s="64" t="str">
        <f t="shared" si="50"/>
        <v/>
      </c>
      <c r="K102" s="64" t="str">
        <f t="shared" si="50"/>
        <v/>
      </c>
      <c r="L102" s="64" t="str">
        <f t="shared" si="50"/>
        <v/>
      </c>
      <c r="N102" t="str">
        <f t="shared" si="47"/>
        <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146</v>
      </c>
      <c r="C105"/>
      <c r="M105" t="s">
        <v>179</v>
      </c>
      <c r="N105" t="s">
        <v>147</v>
      </c>
    </row>
    <row r="106" spans="1:14" x14ac:dyDescent="0.35">
      <c r="A106" t="str">
        <f t="shared" ref="A106:A111" si="51">IF(A5="","","    "&amp;A5)</f>
        <v xml:space="preserve">    Upper Basin</v>
      </c>
      <c r="B106" s="1"/>
      <c r="C106" s="65">
        <f t="shared" ref="C106:L111" ca="1" si="52">IF(OR(C$26="",$A106=""),"",OFFSET(C$57,8*(ROW(B106)-ROW(B$106)),0))</f>
        <v>0</v>
      </c>
      <c r="D106" s="65">
        <f t="shared" ca="1" si="52"/>
        <v>0</v>
      </c>
      <c r="E106" s="65">
        <f t="shared" ca="1" si="52"/>
        <v>0</v>
      </c>
      <c r="F106" s="65">
        <f t="shared" ca="1" si="52"/>
        <v>0</v>
      </c>
      <c r="G106" s="65">
        <f t="shared" ca="1" si="52"/>
        <v>0</v>
      </c>
      <c r="H106" s="65" t="str">
        <f t="shared" ca="1" si="52"/>
        <v/>
      </c>
      <c r="I106" s="65" t="str">
        <f t="shared" ca="1" si="52"/>
        <v/>
      </c>
      <c r="J106" s="65" t="str">
        <f t="shared" ca="1" si="52"/>
        <v/>
      </c>
      <c r="K106" s="65" t="str">
        <f t="shared" ca="1" si="52"/>
        <v/>
      </c>
      <c r="L106" s="65" t="str">
        <f t="shared" ca="1" si="52"/>
        <v/>
      </c>
      <c r="M106" s="65">
        <f ca="1">IF(OR($A106=""),"",SUM(C106:L106))</f>
        <v>0</v>
      </c>
      <c r="N106" s="63">
        <f>IF(OR($A106=""),"",M58)</f>
        <v>0</v>
      </c>
    </row>
    <row r="107" spans="1:14" x14ac:dyDescent="0.35">
      <c r="A107" t="str">
        <f t="shared" si="51"/>
        <v xml:space="preserve">    Lower Basin</v>
      </c>
      <c r="B107" s="1"/>
      <c r="C107" s="65">
        <f t="shared" ca="1" si="52"/>
        <v>0</v>
      </c>
      <c r="D107" s="65">
        <f t="shared" ca="1" si="52"/>
        <v>0</v>
      </c>
      <c r="E107" s="65">
        <f t="shared" ca="1" si="52"/>
        <v>0</v>
      </c>
      <c r="F107" s="65">
        <f t="shared" ca="1" si="52"/>
        <v>0</v>
      </c>
      <c r="G107" s="65">
        <f t="shared" ca="1" si="52"/>
        <v>0</v>
      </c>
      <c r="H107" s="65" t="str">
        <f t="shared" ca="1" si="52"/>
        <v/>
      </c>
      <c r="I107" s="65" t="str">
        <f t="shared" ca="1" si="52"/>
        <v/>
      </c>
      <c r="J107" s="65" t="str">
        <f t="shared" ca="1" si="52"/>
        <v/>
      </c>
      <c r="K107" s="65" t="str">
        <f t="shared" ca="1" si="52"/>
        <v/>
      </c>
      <c r="L107" s="65" t="str">
        <f t="shared" ca="1" si="52"/>
        <v/>
      </c>
      <c r="M107" s="65">
        <f t="shared" ref="M107:M111" ca="1" si="53">IF(OR($A107=""),"",SUM(C107:L107))</f>
        <v>0</v>
      </c>
      <c r="N107" s="63">
        <f>IF(OR($A107=""),"",M66)</f>
        <v>0</v>
      </c>
    </row>
    <row r="108" spans="1:14" x14ac:dyDescent="0.35">
      <c r="A108" t="str">
        <f t="shared" si="51"/>
        <v xml:space="preserve">    Mexico</v>
      </c>
      <c r="B108" s="1"/>
      <c r="C108" s="65">
        <f t="shared" ca="1" si="52"/>
        <v>0</v>
      </c>
      <c r="D108" s="65">
        <f t="shared" ca="1" si="52"/>
        <v>0</v>
      </c>
      <c r="E108" s="65">
        <f t="shared" ca="1" si="52"/>
        <v>0.2</v>
      </c>
      <c r="F108" s="65">
        <f t="shared" ca="1" si="52"/>
        <v>0.1</v>
      </c>
      <c r="G108" s="65">
        <f t="shared" ca="1" si="52"/>
        <v>0</v>
      </c>
      <c r="H108" s="65" t="str">
        <f t="shared" ca="1" si="52"/>
        <v/>
      </c>
      <c r="I108" s="65" t="str">
        <f t="shared" ca="1" si="52"/>
        <v/>
      </c>
      <c r="J108" s="65" t="str">
        <f t="shared" ca="1" si="52"/>
        <v/>
      </c>
      <c r="K108" s="65" t="str">
        <f t="shared" ca="1" si="52"/>
        <v/>
      </c>
      <c r="L108" s="65" t="str">
        <f t="shared" ca="1" si="52"/>
        <v/>
      </c>
      <c r="M108" s="65">
        <f t="shared" ca="1" si="53"/>
        <v>0.30000000000000004</v>
      </c>
      <c r="N108" s="63">
        <f>IF(OR($A108=""),"",M74)</f>
        <v>450</v>
      </c>
    </row>
    <row r="109" spans="1:14" x14ac:dyDescent="0.35">
      <c r="A109" t="str">
        <f t="shared" si="51"/>
        <v xml:space="preserve">    Shared, Reserve</v>
      </c>
      <c r="B109" s="1"/>
      <c r="C109" s="65">
        <f t="shared" ca="1" si="52"/>
        <v>0</v>
      </c>
      <c r="D109" s="65">
        <f t="shared" ca="1" si="52"/>
        <v>0</v>
      </c>
      <c r="E109" s="65">
        <f t="shared" ca="1" si="52"/>
        <v>0</v>
      </c>
      <c r="F109" s="65">
        <f t="shared" ca="1" si="52"/>
        <v>0</v>
      </c>
      <c r="G109" s="65">
        <f t="shared" ca="1" si="52"/>
        <v>0</v>
      </c>
      <c r="H109" s="65" t="str">
        <f t="shared" ca="1" si="52"/>
        <v/>
      </c>
      <c r="I109" s="65" t="str">
        <f t="shared" ca="1" si="52"/>
        <v/>
      </c>
      <c r="J109" s="65" t="str">
        <f t="shared" ca="1" si="52"/>
        <v/>
      </c>
      <c r="K109" s="65" t="str">
        <f t="shared" ca="1" si="52"/>
        <v/>
      </c>
      <c r="L109" s="65" t="str">
        <f t="shared" ca="1" si="52"/>
        <v/>
      </c>
      <c r="M109" s="65">
        <f t="shared" ca="1" si="53"/>
        <v>0</v>
      </c>
      <c r="N109" s="63">
        <f>IF(OR($A109=""),"",M82)</f>
        <v>0</v>
      </c>
    </row>
    <row r="110" spans="1:14" x14ac:dyDescent="0.35">
      <c r="A110" t="str">
        <f t="shared" si="51"/>
        <v/>
      </c>
      <c r="B110" s="1"/>
      <c r="C110" s="65" t="str">
        <f t="shared" ca="1" si="52"/>
        <v/>
      </c>
      <c r="D110" s="65" t="str">
        <f t="shared" ca="1" si="52"/>
        <v/>
      </c>
      <c r="E110" s="65" t="str">
        <f t="shared" ca="1" si="52"/>
        <v/>
      </c>
      <c r="F110" s="65" t="str">
        <f t="shared" ca="1" si="52"/>
        <v/>
      </c>
      <c r="G110" s="65" t="str">
        <f t="shared" ca="1" si="52"/>
        <v/>
      </c>
      <c r="H110" s="65" t="str">
        <f t="shared" ca="1" si="52"/>
        <v/>
      </c>
      <c r="I110" s="65" t="str">
        <f t="shared" ca="1" si="52"/>
        <v/>
      </c>
      <c r="J110" s="65" t="str">
        <f t="shared" ca="1" si="52"/>
        <v/>
      </c>
      <c r="K110" s="65" t="str">
        <f t="shared" ca="1" si="52"/>
        <v/>
      </c>
      <c r="L110" s="65" t="str">
        <f t="shared" ca="1" si="52"/>
        <v/>
      </c>
      <c r="M110" s="65" t="str">
        <f t="shared" si="53"/>
        <v/>
      </c>
      <c r="N110" s="63" t="str">
        <f>IF(OR($A110=""),"",M90)</f>
        <v/>
      </c>
    </row>
    <row r="111" spans="1:14" x14ac:dyDescent="0.35">
      <c r="A111" t="str">
        <f t="shared" si="51"/>
        <v/>
      </c>
      <c r="B111" s="1"/>
      <c r="C111" s="65" t="str">
        <f t="shared" ca="1" si="52"/>
        <v/>
      </c>
      <c r="D111" s="65" t="str">
        <f t="shared" ca="1" si="52"/>
        <v/>
      </c>
      <c r="E111" s="65" t="str">
        <f t="shared" ca="1" si="52"/>
        <v/>
      </c>
      <c r="F111" s="65" t="str">
        <f t="shared" ca="1" si="52"/>
        <v/>
      </c>
      <c r="G111" s="65" t="str">
        <f t="shared" ca="1" si="52"/>
        <v/>
      </c>
      <c r="H111" s="65" t="str">
        <f t="shared" ca="1" si="52"/>
        <v/>
      </c>
      <c r="I111" s="65" t="str">
        <f t="shared" ca="1" si="52"/>
        <v/>
      </c>
      <c r="J111" s="65" t="str">
        <f t="shared" ca="1" si="52"/>
        <v/>
      </c>
      <c r="K111" s="65" t="str">
        <f t="shared" ca="1" si="52"/>
        <v/>
      </c>
      <c r="L111" s="65" t="str">
        <f t="shared" ca="1" si="52"/>
        <v/>
      </c>
      <c r="M111" s="65" t="str">
        <f t="shared" si="53"/>
        <v/>
      </c>
      <c r="N111" s="63" t="str">
        <f>IF(OR($A111=""),"",M98)</f>
        <v/>
      </c>
    </row>
    <row r="112" spans="1:14" x14ac:dyDescent="0.35">
      <c r="A112" t="s">
        <v>143</v>
      </c>
      <c r="B112" s="1"/>
      <c r="C112" s="49">
        <f ca="1">IF(C$26&lt;&gt;"",SUM(C106:C111),"")</f>
        <v>0</v>
      </c>
      <c r="D112" s="49">
        <f t="shared" ref="D112:L112" ca="1" si="54">IF(D$26&lt;&gt;"",SUM(D106:D111),"")</f>
        <v>0</v>
      </c>
      <c r="E112" s="113">
        <f t="shared" ca="1" si="54"/>
        <v>0.2</v>
      </c>
      <c r="F112" s="49">
        <f t="shared" ca="1" si="54"/>
        <v>0.1</v>
      </c>
      <c r="G112" s="49">
        <f t="shared" ca="1" si="54"/>
        <v>0</v>
      </c>
      <c r="H112" s="49" t="str">
        <f t="shared" si="54"/>
        <v/>
      </c>
      <c r="I112" s="49" t="str">
        <f t="shared" si="54"/>
        <v/>
      </c>
      <c r="J112" s="49" t="str">
        <f t="shared" si="54"/>
        <v/>
      </c>
      <c r="K112" s="49" t="str">
        <f t="shared" si="54"/>
        <v/>
      </c>
      <c r="L112" s="49" t="str">
        <f t="shared" si="54"/>
        <v/>
      </c>
      <c r="M112" s="32"/>
    </row>
    <row r="113" spans="1:12" x14ac:dyDescent="0.35">
      <c r="A113" s="1" t="s">
        <v>132</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9" ca="1" si="55">IF(OR(C$26="",$A114=""),"",OFFSET(C$61,8*(ROW(B114)-ROW(B$114)),0))</f>
        <v>4.2</v>
      </c>
      <c r="D114" s="65">
        <f t="shared" ca="1" si="55"/>
        <v>4.025685122594207</v>
      </c>
      <c r="E114" s="65">
        <f t="shared" ca="1" si="55"/>
        <v>0</v>
      </c>
      <c r="F114" s="65">
        <f t="shared" ca="1" si="55"/>
        <v>0</v>
      </c>
      <c r="G114" s="65">
        <f t="shared" ca="1" si="55"/>
        <v>1.7763568394002505E-15</v>
      </c>
      <c r="H114" s="65" t="str">
        <f t="shared" ca="1" si="55"/>
        <v/>
      </c>
      <c r="I114" s="65" t="str">
        <f t="shared" ca="1" si="55"/>
        <v/>
      </c>
      <c r="J114" s="65" t="str">
        <f t="shared" ca="1" si="55"/>
        <v/>
      </c>
      <c r="K114" s="65" t="str">
        <f t="shared" ca="1" si="55"/>
        <v/>
      </c>
      <c r="L114" s="65" t="str">
        <f t="shared" ca="1" si="55"/>
        <v/>
      </c>
    </row>
    <row r="115" spans="1:12" x14ac:dyDescent="0.35">
      <c r="A115" t="str">
        <f>IF(A6="","","    "&amp;A6&amp;" - Release from Mead")</f>
        <v xml:space="preserve">    Lower Basin - Release from Mead</v>
      </c>
      <c r="C115" s="65">
        <f t="shared" ca="1" si="55"/>
        <v>7.2590000000000003</v>
      </c>
      <c r="D115" s="65">
        <f t="shared" ca="1" si="55"/>
        <v>6.8870000000000005</v>
      </c>
      <c r="E115" s="65">
        <f t="shared" ca="1" si="55"/>
        <v>6.4870000000000001</v>
      </c>
      <c r="F115" s="65">
        <f t="shared" ca="1" si="55"/>
        <v>6.4290000000000003</v>
      </c>
      <c r="G115" s="65">
        <f t="shared" ca="1" si="55"/>
        <v>6.4290000000000003</v>
      </c>
      <c r="H115" s="65" t="str">
        <f t="shared" ca="1" si="55"/>
        <v/>
      </c>
      <c r="I115" s="65" t="str">
        <f t="shared" ca="1" si="55"/>
        <v/>
      </c>
      <c r="J115" s="65" t="str">
        <f t="shared" ca="1" si="55"/>
        <v/>
      </c>
      <c r="K115" s="65" t="str">
        <f t="shared" ca="1" si="55"/>
        <v/>
      </c>
      <c r="L115" s="65" t="str">
        <f t="shared" ca="1" si="55"/>
        <v/>
      </c>
    </row>
    <row r="116" spans="1:12" x14ac:dyDescent="0.35">
      <c r="A116" t="str">
        <f>IF(A7="","","    "&amp;A7&amp;" - Release from Mead")</f>
        <v xml:space="preserve">    Mexico - Release from Mead</v>
      </c>
      <c r="C116" s="65">
        <f t="shared" ca="1" si="55"/>
        <v>1.4473333333333334</v>
      </c>
      <c r="D116" s="65">
        <f t="shared" ca="1" si="55"/>
        <v>1.4083333333333332</v>
      </c>
      <c r="E116" s="65">
        <f t="shared" ca="1" si="55"/>
        <v>1.3423333333333334</v>
      </c>
      <c r="F116" s="65">
        <f t="shared" ca="1" si="55"/>
        <v>1.3343333333333334</v>
      </c>
      <c r="G116" s="65">
        <f t="shared" ca="1" si="55"/>
        <v>1.3343333333333334</v>
      </c>
      <c r="H116" s="65" t="str">
        <f t="shared" ca="1" si="55"/>
        <v/>
      </c>
      <c r="I116" s="65" t="str">
        <f t="shared" ca="1" si="55"/>
        <v/>
      </c>
      <c r="J116" s="65" t="str">
        <f t="shared" ca="1" si="55"/>
        <v/>
      </c>
      <c r="K116" s="65" t="str">
        <f t="shared" ca="1" si="55"/>
        <v/>
      </c>
      <c r="L116" s="65" t="str">
        <f t="shared" ca="1" si="55"/>
        <v/>
      </c>
    </row>
    <row r="117" spans="1:12" x14ac:dyDescent="0.35">
      <c r="A117" t="str">
        <f>IF(A8="","","    "&amp;A8&amp;" - Release from Mead")</f>
        <v xml:space="preserve">    Shared, Reserve - Release from Mead</v>
      </c>
      <c r="C117" s="65">
        <f t="shared" ca="1" si="55"/>
        <v>0</v>
      </c>
      <c r="D117" s="65">
        <f t="shared" ca="1" si="55"/>
        <v>0</v>
      </c>
      <c r="E117" s="65">
        <f t="shared" ca="1" si="55"/>
        <v>0</v>
      </c>
      <c r="F117" s="65">
        <f t="shared" ca="1" si="55"/>
        <v>0</v>
      </c>
      <c r="G117" s="65">
        <f t="shared" ca="1" si="55"/>
        <v>0</v>
      </c>
      <c r="H117" s="65" t="str">
        <f t="shared" ca="1" si="55"/>
        <v/>
      </c>
      <c r="I117" s="65" t="str">
        <f t="shared" ca="1" si="55"/>
        <v/>
      </c>
      <c r="J117" s="65" t="str">
        <f t="shared" ca="1" si="55"/>
        <v/>
      </c>
      <c r="K117" s="65" t="str">
        <f t="shared" ca="1" si="55"/>
        <v/>
      </c>
      <c r="L117" s="65" t="str">
        <f t="shared" ca="1" si="55"/>
        <v/>
      </c>
    </row>
    <row r="118" spans="1:12" x14ac:dyDescent="0.35">
      <c r="A118" t="str">
        <f>IF(A9="","","    "&amp;A9&amp;" - Release from Mead")</f>
        <v/>
      </c>
      <c r="C118" s="65" t="str">
        <f t="shared" ca="1" si="55"/>
        <v/>
      </c>
      <c r="D118" s="65" t="str">
        <f t="shared" ca="1" si="55"/>
        <v/>
      </c>
      <c r="E118" s="65" t="str">
        <f t="shared" ca="1" si="55"/>
        <v/>
      </c>
      <c r="F118" s="65" t="str">
        <f t="shared" ca="1" si="55"/>
        <v/>
      </c>
      <c r="G118" s="65" t="str">
        <f t="shared" ca="1" si="55"/>
        <v/>
      </c>
      <c r="H118" s="65" t="str">
        <f t="shared" ca="1" si="55"/>
        <v/>
      </c>
      <c r="I118" s="65" t="str">
        <f t="shared" ca="1" si="55"/>
        <v/>
      </c>
      <c r="J118" s="65" t="str">
        <f t="shared" ca="1" si="55"/>
        <v/>
      </c>
      <c r="K118" s="65" t="str">
        <f t="shared" ca="1" si="55"/>
        <v/>
      </c>
      <c r="L118" s="65" t="str">
        <f t="shared" ca="1" si="55"/>
        <v/>
      </c>
    </row>
    <row r="119" spans="1:12" x14ac:dyDescent="0.35">
      <c r="A119" t="str">
        <f>IF(A10="","","    "&amp;A10&amp;" - Release from Mead")</f>
        <v/>
      </c>
      <c r="C119" s="65" t="str">
        <f t="shared" ca="1" si="55"/>
        <v/>
      </c>
      <c r="D119" s="65" t="str">
        <f t="shared" ca="1" si="55"/>
        <v/>
      </c>
      <c r="E119" s="65" t="str">
        <f t="shared" ca="1" si="55"/>
        <v/>
      </c>
      <c r="F119" s="65" t="str">
        <f t="shared" ca="1" si="55"/>
        <v/>
      </c>
      <c r="G119" s="65" t="str">
        <f t="shared" ca="1" si="55"/>
        <v/>
      </c>
      <c r="H119" s="65" t="str">
        <f t="shared" ca="1" si="55"/>
        <v/>
      </c>
      <c r="I119" s="65" t="str">
        <f t="shared" ca="1" si="55"/>
        <v/>
      </c>
      <c r="J119" s="65" t="str">
        <f t="shared" ca="1" si="55"/>
        <v/>
      </c>
      <c r="K119" s="65" t="str">
        <f t="shared" ca="1" si="55"/>
        <v/>
      </c>
      <c r="L119" s="65" t="str">
        <f t="shared" ca="1" si="55"/>
        <v/>
      </c>
    </row>
    <row r="120" spans="1:12" x14ac:dyDescent="0.35">
      <c r="A120" s="1" t="s">
        <v>137</v>
      </c>
      <c r="B120" s="1"/>
      <c r="D120" s="2"/>
      <c r="E120" s="2"/>
      <c r="F120" s="2"/>
      <c r="G120" s="2"/>
      <c r="H120" s="2"/>
      <c r="I120" s="2"/>
      <c r="J120" s="2"/>
      <c r="K120" s="2"/>
      <c r="L120" s="2"/>
    </row>
    <row r="121" spans="1:12" x14ac:dyDescent="0.35">
      <c r="A121" t="str">
        <f t="shared" ref="A121:A126" si="56">IF(A5="","","    "&amp;A5)</f>
        <v xml:space="preserve">    Upper Basin</v>
      </c>
      <c r="C121" s="65">
        <f t="shared" ref="C121:L126" ca="1" si="57">IF(OR(C$26="",$A121=""),"",OFFSET(C$62,8*(ROW(B121)-ROW(B$121)),0))</f>
        <v>3.4040452368981802</v>
      </c>
      <c r="D121" s="65">
        <f t="shared" ca="1" si="57"/>
        <v>0</v>
      </c>
      <c r="E121" s="65">
        <f t="shared" ca="1" si="57"/>
        <v>0</v>
      </c>
      <c r="F121" s="65">
        <f t="shared" ca="1" si="57"/>
        <v>0</v>
      </c>
      <c r="G121" s="65">
        <f t="shared" ca="1" si="57"/>
        <v>0</v>
      </c>
      <c r="H121" s="65" t="str">
        <f t="shared" ca="1" si="57"/>
        <v/>
      </c>
      <c r="I121" s="65" t="str">
        <f t="shared" ca="1" si="57"/>
        <v/>
      </c>
      <c r="J121" s="65" t="str">
        <f t="shared" ca="1" si="57"/>
        <v/>
      </c>
      <c r="K121" s="65" t="str">
        <f t="shared" ca="1" si="57"/>
        <v/>
      </c>
      <c r="L121" s="65" t="str">
        <f t="shared" ca="1" si="57"/>
        <v/>
      </c>
    </row>
    <row r="122" spans="1:12" x14ac:dyDescent="0.35">
      <c r="A122" t="str">
        <f t="shared" si="56"/>
        <v xml:space="preserve">    Lower Basin</v>
      </c>
      <c r="C122" s="65">
        <f t="shared" ca="1" si="57"/>
        <v>3.2109815232907888</v>
      </c>
      <c r="D122" s="65">
        <f t="shared" ca="1" si="57"/>
        <v>2.5623520451145225</v>
      </c>
      <c r="E122" s="65">
        <f t="shared" ca="1" si="57"/>
        <v>2.2299807300538657</v>
      </c>
      <c r="F122" s="65">
        <f t="shared" ca="1" si="57"/>
        <v>1.9695642004172758</v>
      </c>
      <c r="G122" s="65">
        <f t="shared" ca="1" si="57"/>
        <v>1.7137875840007126</v>
      </c>
      <c r="H122" s="65" t="str">
        <f t="shared" ca="1" si="57"/>
        <v/>
      </c>
      <c r="I122" s="65" t="str">
        <f t="shared" ca="1" si="57"/>
        <v/>
      </c>
      <c r="J122" s="65" t="str">
        <f t="shared" ca="1" si="57"/>
        <v/>
      </c>
      <c r="K122" s="65" t="str">
        <f t="shared" ca="1" si="57"/>
        <v/>
      </c>
      <c r="L122" s="65" t="str">
        <f t="shared" ca="1" si="57"/>
        <v/>
      </c>
    </row>
    <row r="123" spans="1:12" x14ac:dyDescent="0.35">
      <c r="A123" t="str">
        <f t="shared" si="56"/>
        <v xml:space="preserve">    Mexico</v>
      </c>
      <c r="C123" s="65">
        <f t="shared" ca="1" si="57"/>
        <v>0.16557297647772518</v>
      </c>
      <c r="D123" s="65">
        <f t="shared" ca="1" si="57"/>
        <v>0.1571001961234586</v>
      </c>
      <c r="E123" s="65">
        <f t="shared" ca="1" si="57"/>
        <v>-5.1813304749818379E-2</v>
      </c>
      <c r="F123" s="65">
        <f t="shared" ca="1" si="57"/>
        <v>-0.14882516594656248</v>
      </c>
      <c r="G123" s="65">
        <f t="shared" ca="1" si="57"/>
        <v>-0.14012832786333385</v>
      </c>
      <c r="H123" s="65" t="str">
        <f t="shared" ca="1" si="57"/>
        <v/>
      </c>
      <c r="I123" s="65" t="str">
        <f t="shared" ca="1" si="57"/>
        <v/>
      </c>
      <c r="J123" s="65" t="str">
        <f t="shared" ca="1" si="57"/>
        <v/>
      </c>
      <c r="K123" s="65" t="str">
        <f t="shared" ca="1" si="57"/>
        <v/>
      </c>
      <c r="L123" s="65" t="str">
        <f t="shared" ca="1" si="57"/>
        <v/>
      </c>
    </row>
    <row r="124" spans="1:12" x14ac:dyDescent="0.35">
      <c r="A124" t="str">
        <f t="shared" si="56"/>
        <v xml:space="preserve">    Shared, Reserve</v>
      </c>
      <c r="C124" s="65">
        <f t="shared" ca="1" si="57"/>
        <v>11.59116925</v>
      </c>
      <c r="D124" s="65">
        <f t="shared" ca="1" si="57"/>
        <v>11.59116925</v>
      </c>
      <c r="E124" s="65">
        <f t="shared" ca="1" si="57"/>
        <v>11.59116925</v>
      </c>
      <c r="F124" s="65">
        <f t="shared" ca="1" si="57"/>
        <v>11.59116925</v>
      </c>
      <c r="G124" s="65">
        <f t="shared" ca="1" si="57"/>
        <v>11.59116925</v>
      </c>
      <c r="H124" s="65" t="str">
        <f t="shared" ca="1" si="57"/>
        <v/>
      </c>
      <c r="I124" s="65" t="str">
        <f t="shared" ca="1" si="57"/>
        <v/>
      </c>
      <c r="J124" s="65" t="str">
        <f t="shared" ca="1" si="57"/>
        <v/>
      </c>
      <c r="K124" s="65" t="str">
        <f t="shared" ca="1" si="57"/>
        <v/>
      </c>
      <c r="L124" s="65" t="str">
        <f t="shared" ca="1" si="57"/>
        <v/>
      </c>
    </row>
    <row r="125" spans="1:12" x14ac:dyDescent="0.35">
      <c r="A125" t="str">
        <f t="shared" si="56"/>
        <v/>
      </c>
      <c r="C125" s="65" t="str">
        <f t="shared" ca="1" si="57"/>
        <v/>
      </c>
      <c r="D125" s="65" t="str">
        <f t="shared" ca="1" si="57"/>
        <v/>
      </c>
      <c r="E125" s="65" t="str">
        <f t="shared" ca="1" si="57"/>
        <v/>
      </c>
      <c r="F125" s="65" t="str">
        <f t="shared" ca="1" si="57"/>
        <v/>
      </c>
      <c r="G125" s="65" t="str">
        <f t="shared" ca="1" si="57"/>
        <v/>
      </c>
      <c r="H125" s="65" t="str">
        <f t="shared" ca="1" si="57"/>
        <v/>
      </c>
      <c r="I125" s="65" t="str">
        <f t="shared" ca="1" si="57"/>
        <v/>
      </c>
      <c r="J125" s="65" t="str">
        <f t="shared" ca="1" si="57"/>
        <v/>
      </c>
      <c r="K125" s="65" t="str">
        <f t="shared" ca="1" si="57"/>
        <v/>
      </c>
      <c r="L125" s="65" t="str">
        <f t="shared" ca="1" si="57"/>
        <v/>
      </c>
    </row>
    <row r="126" spans="1:12" x14ac:dyDescent="0.35">
      <c r="A126" t="str">
        <f t="shared" si="56"/>
        <v/>
      </c>
      <c r="C126" s="65" t="str">
        <f t="shared" ca="1" si="57"/>
        <v/>
      </c>
      <c r="D126" s="65" t="str">
        <f t="shared" ca="1" si="57"/>
        <v/>
      </c>
      <c r="E126" s="65" t="str">
        <f t="shared" ca="1" si="57"/>
        <v/>
      </c>
      <c r="F126" s="65" t="str">
        <f t="shared" ca="1" si="57"/>
        <v/>
      </c>
      <c r="G126" s="65" t="str">
        <f t="shared" ca="1" si="57"/>
        <v/>
      </c>
      <c r="H126" s="65" t="str">
        <f t="shared" ca="1" si="57"/>
        <v/>
      </c>
      <c r="I126" s="65" t="str">
        <f t="shared" ca="1" si="57"/>
        <v/>
      </c>
      <c r="J126" s="65" t="str">
        <f t="shared" ca="1" si="57"/>
        <v/>
      </c>
      <c r="K126" s="65" t="str">
        <f t="shared" ca="1" si="57"/>
        <v/>
      </c>
      <c r="L126" s="65" t="str">
        <f t="shared" ca="1" si="57"/>
        <v/>
      </c>
    </row>
    <row r="127" spans="1:12" x14ac:dyDescent="0.35">
      <c r="A127" s="1" t="s">
        <v>121</v>
      </c>
      <c r="B127" s="1"/>
      <c r="C127" s="14">
        <f ca="1">IF(C$26&lt;&gt;"",SUM(C121:C126),"")</f>
        <v>18.371768986666694</v>
      </c>
      <c r="D127" s="14">
        <f t="shared" ref="D127:L127" ca="1" si="58">IF(D$26&lt;&gt;"",SUM(D121:D126),"")</f>
        <v>14.310621491237981</v>
      </c>
      <c r="E127" s="14">
        <f t="shared" ca="1" si="58"/>
        <v>13.769336675304046</v>
      </c>
      <c r="F127" s="14">
        <f t="shared" ca="1" si="58"/>
        <v>13.411908284470714</v>
      </c>
      <c r="G127" s="14">
        <f t="shared" ca="1" si="58"/>
        <v>13.164828506137379</v>
      </c>
      <c r="H127" s="14" t="str">
        <f t="shared" si="58"/>
        <v/>
      </c>
      <c r="I127" s="14" t="str">
        <f t="shared" si="58"/>
        <v/>
      </c>
      <c r="J127" s="14" t="str">
        <f t="shared" si="58"/>
        <v/>
      </c>
      <c r="K127" s="14" t="str">
        <f t="shared" si="58"/>
        <v/>
      </c>
      <c r="L127" s="14" t="str">
        <f t="shared" si="58"/>
        <v/>
      </c>
    </row>
    <row r="128" spans="1:12" x14ac:dyDescent="0.35">
      <c r="A128" s="1" t="s">
        <v>194</v>
      </c>
      <c r="B128" s="1"/>
      <c r="C128" s="66">
        <v>0.5</v>
      </c>
      <c r="D128" s="66">
        <v>0.5</v>
      </c>
      <c r="E128" s="66">
        <v>0.5</v>
      </c>
      <c r="F128" s="66">
        <v>0.5</v>
      </c>
      <c r="G128" s="66">
        <v>0.5</v>
      </c>
      <c r="H128" s="66"/>
      <c r="I128" s="66"/>
      <c r="J128" s="66"/>
      <c r="K128" s="66"/>
      <c r="L128" s="66"/>
    </row>
    <row r="129" spans="1:14" x14ac:dyDescent="0.35">
      <c r="A129" s="1" t="s">
        <v>190</v>
      </c>
      <c r="B129" s="1"/>
      <c r="C129" s="14">
        <f ca="1">IF(C26="","",C$128*C$127)</f>
        <v>9.1858844933333472</v>
      </c>
      <c r="D129" s="14">
        <f t="shared" ref="D129:L129" ca="1" si="59">IF(D26="","",D$128*D$127)</f>
        <v>7.1553107456189906</v>
      </c>
      <c r="E129" s="14">
        <f t="shared" ca="1" si="59"/>
        <v>6.8846683376520232</v>
      </c>
      <c r="F129" s="14">
        <f t="shared" ca="1" si="59"/>
        <v>6.705954142235357</v>
      </c>
      <c r="G129" s="14">
        <f t="shared" ca="1" si="59"/>
        <v>6.5824142530686895</v>
      </c>
      <c r="H129" s="14" t="str">
        <f t="shared" si="59"/>
        <v/>
      </c>
      <c r="I129" s="14" t="str">
        <f t="shared" si="59"/>
        <v/>
      </c>
      <c r="J129" s="14" t="str">
        <f t="shared" si="59"/>
        <v/>
      </c>
      <c r="K129" s="14" t="str">
        <f t="shared" si="59"/>
        <v/>
      </c>
      <c r="L129" s="14" t="str">
        <f t="shared" si="59"/>
        <v/>
      </c>
    </row>
    <row r="130" spans="1:14" x14ac:dyDescent="0.35">
      <c r="A130" s="1" t="s">
        <v>191</v>
      </c>
      <c r="B130" s="1"/>
      <c r="C130" s="14">
        <f ca="1">IF(C27="","",(1-C$128)*C$127)</f>
        <v>9.1858844933333472</v>
      </c>
      <c r="D130" s="14">
        <f t="shared" ref="D130:L130" ca="1" si="60">IF(D27="","",(1-D$128)*D$127)</f>
        <v>7.1553107456189906</v>
      </c>
      <c r="E130" s="14">
        <f t="shared" ca="1" si="60"/>
        <v>6.8846683376520232</v>
      </c>
      <c r="F130" s="14">
        <f t="shared" ca="1" si="60"/>
        <v>6.705954142235357</v>
      </c>
      <c r="G130" s="14">
        <f t="shared" ca="1" si="60"/>
        <v>6.5824142530686895</v>
      </c>
      <c r="H130" s="14" t="str">
        <f t="shared" si="60"/>
        <v/>
      </c>
      <c r="I130" s="14" t="str">
        <f t="shared" si="60"/>
        <v/>
      </c>
      <c r="J130" s="14" t="str">
        <f t="shared" si="60"/>
        <v/>
      </c>
      <c r="K130" s="14" t="str">
        <f t="shared" si="60"/>
        <v/>
      </c>
      <c r="L130" s="14" t="str">
        <f t="shared" si="60"/>
        <v/>
      </c>
    </row>
    <row r="131" spans="1:14" x14ac:dyDescent="0.35">
      <c r="A131" s="30" t="s">
        <v>255</v>
      </c>
      <c r="B131" s="1"/>
      <c r="C131" s="81">
        <f ca="1">IF(C$26&lt;&gt;"",VLOOKUP(C129*1000000,'Powell-Elevation-Area'!$B$5:$H$689,7),"")</f>
        <v>3570.5</v>
      </c>
      <c r="D131" s="81">
        <f ca="1">IF(D$26&lt;&gt;"",VLOOKUP(D129*1000000,'Powell-Elevation-Area'!$B$5:$H$689,7),"")</f>
        <v>3543.5</v>
      </c>
      <c r="E131" s="81">
        <f ca="1">IF(E$26&lt;&gt;"",VLOOKUP(E129*1000000,'Powell-Elevation-Area'!$B$5:$H$689,7),"")</f>
        <v>3539.5</v>
      </c>
      <c r="F131" s="81">
        <f ca="1">IF(F$26&lt;&gt;"",VLOOKUP(F129*1000000,'Powell-Elevation-Area'!$B$5:$H$689,7),"")</f>
        <v>3537</v>
      </c>
      <c r="G131" s="81">
        <f ca="1">IF(G$26&lt;&gt;"",VLOOKUP(G129*1000000,'Powell-Elevation-Area'!$B$5:$H$689,7),"")</f>
        <v>3535</v>
      </c>
      <c r="H131" s="81" t="str">
        <f>IF(H$26&lt;&gt;"",VLOOKUP(H129*1000000,'Powell-Elevation-Area'!$B$5:$H$689,7),"")</f>
        <v/>
      </c>
      <c r="I131" s="81" t="str">
        <f>IF(I$26&lt;&gt;"",VLOOKUP(I129*1000000,'Powell-Elevation-Area'!$B$5:$H$689,7),"")</f>
        <v/>
      </c>
      <c r="J131" s="81" t="str">
        <f>IF(J$26&lt;&gt;"",VLOOKUP(J129*1000000,'Powell-Elevation-Area'!$B$5:$H$689,7),"")</f>
        <v/>
      </c>
      <c r="K131" s="81" t="str">
        <f>IF(K$26&lt;&gt;"",VLOOKUP(K129*1000000,'Powell-Elevation-Area'!$B$5:$H$689,7),"")</f>
        <v/>
      </c>
      <c r="L131" s="81" t="str">
        <f>IF(L$26&lt;&gt;"",VLOOKUP(L129*1000000,'Powell-Elevation-Area'!$B$5:$H$689,7),"")</f>
        <v/>
      </c>
    </row>
    <row r="132" spans="1:14" x14ac:dyDescent="0.35">
      <c r="A132" s="30" t="s">
        <v>256</v>
      </c>
      <c r="B132" s="1"/>
      <c r="C132" s="81">
        <f ca="1">IF(C$26&lt;&gt;"",VLOOKUP(C130*1000000,'Mead-Elevation-Area'!$B$5:$H$689,7),"")</f>
        <v>1069.5</v>
      </c>
      <c r="D132" s="81">
        <f ca="1">IF(D$26&lt;&gt;"",VLOOKUP(D130*1000000,'Mead-Elevation-Area'!$B$5:$H$689,7),"")</f>
        <v>1042.5</v>
      </c>
      <c r="E132" s="81">
        <f ca="1">IF(E$26&lt;&gt;"",VLOOKUP(E130*1000000,'Mead-Elevation-Area'!$B$5:$H$689,7),"")</f>
        <v>1038.5</v>
      </c>
      <c r="F132" s="81">
        <f ca="1">IF(F$26&lt;&gt;"",VLOOKUP(F130*1000000,'Mead-Elevation-Area'!$B$5:$H$689,7),"")</f>
        <v>1036</v>
      </c>
      <c r="G132" s="81">
        <f ca="1">IF(G$26&lt;&gt;"",VLOOKUP(G130*1000000,'Mead-Elevation-Area'!$B$5:$H$689,7),"")</f>
        <v>1034</v>
      </c>
      <c r="H132" s="81" t="str">
        <f>IF(H$26&lt;&gt;"",VLOOKUP(H130*1000000,'Mead-Elevation-Area'!$B$5:$H$689,7),"")</f>
        <v/>
      </c>
      <c r="I132" s="81" t="str">
        <f>IF(I$26&lt;&gt;"",VLOOKUP(I130*1000000,'Mead-Elevation-Area'!$B$5:$H$689,7),"")</f>
        <v/>
      </c>
      <c r="J132" s="81" t="str">
        <f>IF(J$26&lt;&gt;"",VLOOKUP(J130*1000000,'Mead-Elevation-Area'!$B$5:$H$689,7),"")</f>
        <v/>
      </c>
      <c r="K132" s="81" t="str">
        <f>IF(K$26&lt;&gt;"",VLOOKUP(K130*1000000,'Mead-Elevation-Area'!$B$5:$H$689,7),"")</f>
        <v/>
      </c>
      <c r="L132" s="81" t="str">
        <f>IF(L$26&lt;&gt;"",VLOOKUP(L130*1000000,'Mead-Elevation-Area'!$B$5:$H$689,7),"")</f>
        <v/>
      </c>
    </row>
    <row r="133" spans="1:14" x14ac:dyDescent="0.35">
      <c r="A133" s="1" t="s">
        <v>268</v>
      </c>
      <c r="B133" s="1"/>
    </row>
    <row r="134" spans="1:14" x14ac:dyDescent="0.35">
      <c r="A134" s="30" t="s">
        <v>269</v>
      </c>
      <c r="B134" s="1"/>
      <c r="C134" s="14">
        <f ca="1">IF(C$26&lt;&gt;"",-C129+C37+C26-C61-VLOOKUP(C37*1000000,'Powell-Elevation-Area'!$B$5:$D$689,3)*$B$20/1000000,"")</f>
        <v>8.0912186266660804</v>
      </c>
      <c r="D134" s="14">
        <f ca="1">IF(D$26&lt;&gt;"",-D129+D37+D26-D61-VLOOKUP(D37*1000000,'Powell-Elevation-Area'!$B$5:$D$689,3)*$B$20/1000000,"")</f>
        <v>6.5403795856195766</v>
      </c>
      <c r="E134" s="14">
        <f ca="1">IF(E$26&lt;&gt;"",-E129+E37+E26-E61-VLOOKUP(E37*1000000,'Powell-Elevation-Area'!$B$5:$D$689,3)*$B$20/1000000,"")</f>
        <v>7.9767529253669673</v>
      </c>
      <c r="F134" s="14">
        <f ca="1">IF(F$26&lt;&gt;"",-F129+F37+F26-F61-VLOOKUP(F37*1000000,'Powell-Elevation-Area'!$B$5:$D$689,3)*$B$20/1000000,"")</f>
        <v>7.8947311379166649</v>
      </c>
      <c r="G134" s="14">
        <f ca="1">IF(G$26&lt;&gt;"",-G129+G37+G26-G61-VLOOKUP(G37*1000000,'Powell-Elevation-Area'!$B$5:$D$689,3)*$B$20/1000000,"")</f>
        <v>7.8450934441666647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192</v>
      </c>
    </row>
    <row r="135" spans="1:14" x14ac:dyDescent="0.3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IF(H$26&lt;&gt;"",VLOOKUP(H131,PowellReleaseTemperature!$A$5:$B$11,2),"")</f>
        <v/>
      </c>
      <c r="I135" s="81" t="str">
        <f>IF(I$26&lt;&gt;"",VLOOKUP(I131,PowellReleaseTemperature!$A$5:$B$11,2),"")</f>
        <v/>
      </c>
      <c r="J135" s="81" t="str">
        <f>IF(J$26&lt;&gt;"",VLOOKUP(J131,PowellReleaseTemperature!$A$5:$B$11,2),"")</f>
        <v/>
      </c>
      <c r="K135" s="81" t="str">
        <f>IF(K$26&lt;&gt;"",VLOOKUP(K131,PowellReleaseTemperature!$A$5:$B$11,2),"")</f>
        <v/>
      </c>
      <c r="L135" s="81" t="str">
        <f>IF(L$26&lt;&gt;"",VLOOKUP(L131,PowellReleaseTemperature!$A$5:$B$11,2),"")</f>
        <v/>
      </c>
      <c r="N135" t="s">
        <v>274</v>
      </c>
    </row>
    <row r="136" spans="1:14" s="83" customFormat="1" ht="62.5" customHeight="1" x14ac:dyDescent="0.3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IF(H$26&lt;&gt;"",VLOOKUP(H$131,PowellReleaseTemperature!$A$5:$E$11,5),"")</f>
        <v/>
      </c>
      <c r="I136" s="114" t="str">
        <f>IF(I$26&lt;&gt;"",VLOOKUP(I$131,PowellReleaseTemperature!$A$5:$E$11,5),"")</f>
        <v/>
      </c>
      <c r="J136" s="114" t="str">
        <f>IF(J$26&lt;&gt;"",VLOOKUP(J$131,PowellReleaseTemperature!$A$5:$E$11,5),"")</f>
        <v/>
      </c>
      <c r="K136" s="114" t="str">
        <f>IF(K$26&lt;&gt;"",VLOOKUP(K$131,PowellReleaseTemperature!$A$5:$E$11,5),"")</f>
        <v/>
      </c>
      <c r="L136" s="114" t="str">
        <f>IF(L$26&lt;&gt;"",VLOOKUP(L$131,PowellReleaseTemperature!$A$5:$E$11,5),"")</f>
        <v/>
      </c>
    </row>
    <row r="137" spans="1:14" s="83" customFormat="1" ht="32.15" customHeight="1" x14ac:dyDescent="0.3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IF(H$26&lt;&gt;"",VLOOKUP(H$131,PowellReleaseTemperature!$A$5:$F$11,6),"")</f>
        <v/>
      </c>
      <c r="I137" s="114" t="str">
        <f>IF(I$26&lt;&gt;"",VLOOKUP(I$131,PowellReleaseTemperature!$A$5:$F$11,6),"")</f>
        <v/>
      </c>
      <c r="J137" s="114" t="str">
        <f>IF(J$26&lt;&gt;"",VLOOKUP(J$131,PowellReleaseTemperature!$A$5:$F$11,6),"")</f>
        <v/>
      </c>
      <c r="K137" s="114" t="str">
        <f>IF(K$26&lt;&gt;"",VLOOKUP(K$131,PowellReleaseTemperature!$A$5:$F$11,6),"")</f>
        <v/>
      </c>
      <c r="L137" s="114" t="str">
        <f>IF(L$26&lt;&gt;"",VLOOKUP(L$131,PowellReleaseTemperature!$A$5:$F$11,6),"")</f>
        <v/>
      </c>
    </row>
    <row r="138" spans="1:14" x14ac:dyDescent="0.35">
      <c r="C138" s="27"/>
    </row>
    <row r="139" spans="1:14" x14ac:dyDescent="0.35">
      <c r="A139" s="1" t="s">
        <v>123</v>
      </c>
      <c r="C139" s="129">
        <f>IF(C$26&lt;&gt;"",0.2,"")</f>
        <v>0.2</v>
      </c>
      <c r="D139" s="129">
        <f t="shared" ref="D139:L139" si="61">IF(D$26&lt;&gt;"",0.2,"")</f>
        <v>0.2</v>
      </c>
      <c r="E139" s="129">
        <f t="shared" si="61"/>
        <v>0.2</v>
      </c>
      <c r="F139" s="129">
        <f t="shared" si="61"/>
        <v>0.2</v>
      </c>
      <c r="G139" s="129">
        <f t="shared" si="61"/>
        <v>0.2</v>
      </c>
      <c r="H139" s="129" t="str">
        <f t="shared" si="61"/>
        <v/>
      </c>
      <c r="I139" s="129" t="str">
        <f t="shared" si="61"/>
        <v/>
      </c>
      <c r="J139" s="129" t="str">
        <f t="shared" si="61"/>
        <v/>
      </c>
      <c r="K139" s="129" t="str">
        <f t="shared" si="61"/>
        <v/>
      </c>
      <c r="L139" s="129" t="str">
        <f t="shared" si="61"/>
        <v/>
      </c>
    </row>
    <row r="140" spans="1:14" x14ac:dyDescent="0.35">
      <c r="A140" t="s">
        <v>124</v>
      </c>
      <c r="C140" s="14">
        <f t="shared" ref="C140:L140" ca="1" si="62">IF(C$26&lt;&gt;"",C115+C139,"")</f>
        <v>7.4590000000000005</v>
      </c>
      <c r="D140" s="14">
        <f t="shared" ca="1" si="62"/>
        <v>7.0870000000000006</v>
      </c>
      <c r="E140" s="14">
        <f t="shared" ca="1" si="62"/>
        <v>6.6870000000000003</v>
      </c>
      <c r="F140" s="14">
        <f t="shared" ca="1" si="62"/>
        <v>6.6290000000000004</v>
      </c>
      <c r="G140" s="14">
        <f t="shared" ca="1" si="62"/>
        <v>6.6290000000000004</v>
      </c>
      <c r="H140" s="14" t="str">
        <f t="shared" si="62"/>
        <v/>
      </c>
      <c r="I140" s="14" t="str">
        <f t="shared" si="62"/>
        <v/>
      </c>
      <c r="J140" s="14" t="str">
        <f t="shared" si="62"/>
        <v/>
      </c>
      <c r="K140" s="14" t="str">
        <f t="shared" si="62"/>
        <v/>
      </c>
      <c r="L140" s="14" t="str">
        <f t="shared" si="62"/>
        <v/>
      </c>
    </row>
    <row r="142" spans="1:14" x14ac:dyDescent="0.35">
      <c r="D142" s="17"/>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H61">
    <cfRule type="cellIs" dxfId="181" priority="68" operator="greaterThan">
      <formula>$H$60</formula>
    </cfRule>
  </conditionalFormatting>
  <conditionalFormatting sqref="I61">
    <cfRule type="cellIs" dxfId="180" priority="67" operator="greaterThan">
      <formula>$I$60</formula>
    </cfRule>
  </conditionalFormatting>
  <conditionalFormatting sqref="J61">
    <cfRule type="cellIs" dxfId="179" priority="66" operator="greaterThan">
      <formula>$J$60</formula>
    </cfRule>
  </conditionalFormatting>
  <conditionalFormatting sqref="K61">
    <cfRule type="cellIs" dxfId="178" priority="65" operator="greaterThan">
      <formula>$K$60</formula>
    </cfRule>
  </conditionalFormatting>
  <conditionalFormatting sqref="L61">
    <cfRule type="cellIs" dxfId="177" priority="64" operator="greaterThan">
      <formula>$L$60</formula>
    </cfRule>
  </conditionalFormatting>
  <conditionalFormatting sqref="H69">
    <cfRule type="cellIs" dxfId="176" priority="51" operator="greaterThan">
      <formula>$H$68</formula>
    </cfRule>
  </conditionalFormatting>
  <conditionalFormatting sqref="I69">
    <cfRule type="cellIs" dxfId="175" priority="50" operator="greaterThan">
      <formula>$I$68</formula>
    </cfRule>
  </conditionalFormatting>
  <conditionalFormatting sqref="J69">
    <cfRule type="cellIs" dxfId="174" priority="49" operator="greaterThan">
      <formula>$J$68</formula>
    </cfRule>
  </conditionalFormatting>
  <conditionalFormatting sqref="K69">
    <cfRule type="cellIs" dxfId="173" priority="48" operator="greaterThan">
      <formula>$K$68</formula>
    </cfRule>
  </conditionalFormatting>
  <conditionalFormatting sqref="L69">
    <cfRule type="cellIs" dxfId="172" priority="47" operator="greaterThan">
      <formula>$L$68</formula>
    </cfRule>
  </conditionalFormatting>
  <conditionalFormatting sqref="C77:G77">
    <cfRule type="cellIs" dxfId="171" priority="46" operator="greaterThan">
      <formula>$C$76</formula>
    </cfRule>
  </conditionalFormatting>
  <conditionalFormatting sqref="H77">
    <cfRule type="cellIs" dxfId="170" priority="41" operator="greaterThan">
      <formula>$H$76</formula>
    </cfRule>
  </conditionalFormatting>
  <conditionalFormatting sqref="I77">
    <cfRule type="cellIs" dxfId="169" priority="40" operator="greaterThan">
      <formula>$I$76</formula>
    </cfRule>
  </conditionalFormatting>
  <conditionalFormatting sqref="J77">
    <cfRule type="cellIs" dxfId="168" priority="39" operator="greaterThan">
      <formula>$J$76</formula>
    </cfRule>
  </conditionalFormatting>
  <conditionalFormatting sqref="K77">
    <cfRule type="cellIs" dxfId="167" priority="38" operator="greaterThan">
      <formula>$K$76</formula>
    </cfRule>
  </conditionalFormatting>
  <conditionalFormatting sqref="L77">
    <cfRule type="cellIs" dxfId="166" priority="37" operator="greaterThan">
      <formula>$L$76</formula>
    </cfRule>
  </conditionalFormatting>
  <conditionalFormatting sqref="C85:L85">
    <cfRule type="cellIs" dxfId="165" priority="36" operator="greaterThan">
      <formula>$C$84</formula>
    </cfRule>
  </conditionalFormatting>
  <conditionalFormatting sqref="C93">
    <cfRule type="cellIs" dxfId="164" priority="35" operator="greaterThan">
      <formula>$C$92</formula>
    </cfRule>
  </conditionalFormatting>
  <conditionalFormatting sqref="D93">
    <cfRule type="cellIs" dxfId="163" priority="34" operator="greaterThan">
      <formula>$D$92</formula>
    </cfRule>
  </conditionalFormatting>
  <conditionalFormatting sqref="E93">
    <cfRule type="cellIs" dxfId="162" priority="33" operator="greaterThan">
      <formula>$E$92</formula>
    </cfRule>
  </conditionalFormatting>
  <conditionalFormatting sqref="F93">
    <cfRule type="cellIs" dxfId="161" priority="32" operator="greaterThan">
      <formula>$F$92</formula>
    </cfRule>
  </conditionalFormatting>
  <conditionalFormatting sqref="G93">
    <cfRule type="cellIs" dxfId="160" priority="31" operator="greaterThan">
      <formula>$G$92</formula>
    </cfRule>
  </conditionalFormatting>
  <conditionalFormatting sqref="H93">
    <cfRule type="cellIs" dxfId="159" priority="30" operator="greaterThan">
      <formula>$H$92</formula>
    </cfRule>
  </conditionalFormatting>
  <conditionalFormatting sqref="I93">
    <cfRule type="cellIs" dxfId="158" priority="29" operator="greaterThan">
      <formula>$I$92</formula>
    </cfRule>
  </conditionalFormatting>
  <conditionalFormatting sqref="J93">
    <cfRule type="cellIs" dxfId="157" priority="28" operator="greaterThan">
      <formula>$J$92</formula>
    </cfRule>
  </conditionalFormatting>
  <conditionalFormatting sqref="K93">
    <cfRule type="cellIs" dxfId="156" priority="27" operator="greaterThan">
      <formula>$K$92</formula>
    </cfRule>
  </conditionalFormatting>
  <conditionalFormatting sqref="L93">
    <cfRule type="cellIs" dxfId="155" priority="26" operator="greaterThan">
      <formula>$L$92</formula>
    </cfRule>
  </conditionalFormatting>
  <conditionalFormatting sqref="C101">
    <cfRule type="cellIs" dxfId="154" priority="25" operator="greaterThan">
      <formula>$C$100</formula>
    </cfRule>
  </conditionalFormatting>
  <conditionalFormatting sqref="D101">
    <cfRule type="cellIs" dxfId="153" priority="24" operator="greaterThan">
      <formula>$D$100</formula>
    </cfRule>
  </conditionalFormatting>
  <conditionalFormatting sqref="E101">
    <cfRule type="cellIs" dxfId="152" priority="23" operator="greaterThan">
      <formula>$E$100</formula>
    </cfRule>
  </conditionalFormatting>
  <conditionalFormatting sqref="F101">
    <cfRule type="cellIs" dxfId="151" priority="22" operator="greaterThan">
      <formula>$F$100</formula>
    </cfRule>
  </conditionalFormatting>
  <conditionalFormatting sqref="G101">
    <cfRule type="cellIs" dxfId="150" priority="21" operator="greaterThan">
      <formula>$G$100</formula>
    </cfRule>
  </conditionalFormatting>
  <conditionalFormatting sqref="H101">
    <cfRule type="cellIs" dxfId="149" priority="20" operator="greaterThan">
      <formula>$H$100</formula>
    </cfRule>
  </conditionalFormatting>
  <conditionalFormatting sqref="I101">
    <cfRule type="cellIs" dxfId="148" priority="19" operator="greaterThan">
      <formula>$I$100</formula>
    </cfRule>
  </conditionalFormatting>
  <conditionalFormatting sqref="J101">
    <cfRule type="cellIs" dxfId="147" priority="18" operator="greaterThan">
      <formula>$J$100</formula>
    </cfRule>
  </conditionalFormatting>
  <conditionalFormatting sqref="K101">
    <cfRule type="cellIs" dxfId="146" priority="17" operator="greaterThan">
      <formula>$K$100</formula>
    </cfRule>
  </conditionalFormatting>
  <conditionalFormatting sqref="L101">
    <cfRule type="cellIs" dxfId="145" priority="16" operator="greaterThan">
      <formula>$L$100</formula>
    </cfRule>
  </conditionalFormatting>
  <conditionalFormatting sqref="C61:G61">
    <cfRule type="cellIs" dxfId="144" priority="3" operator="greaterThan">
      <formula>$C$60</formula>
    </cfRule>
  </conditionalFormatting>
  <conditionalFormatting sqref="C69:G69">
    <cfRule type="cellIs" dxfId="14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0" id="{7DFB3B33-F09C-4326-AAE0-02E002636590}">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9" id="{DD734D11-C54A-4667-8B72-BD185DD9879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8" id="{B7DD54B1-21FF-4A67-90EC-0A7F3EBF19E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7" id="{FE5AA2CD-6C45-435E-8CE6-1B1A09F268FD}">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27A39E32-B6CB-45CD-94CA-98C427B89FE5}">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79B988C8-929F-4BF5-B845-846665916511}">
            <xm:f>PowellReleaseTemperature!$B$10</xm:f>
            <x14:dxf>
              <font>
                <color auto="1"/>
              </font>
              <fill>
                <patternFill>
                  <bgColor theme="4"/>
                </patternFill>
              </fill>
            </x14:dxf>
          </x14:cfRule>
          <x14:cfRule type="cellIs" priority="12" operator="equal" id="{49FD7463-C00D-4457-AA50-7BC1D6244BFB}">
            <xm:f>PowellReleaseTemperature!$B$9</xm:f>
            <x14:dxf>
              <font>
                <color theme="4" tint="-0.24994659260841701"/>
              </font>
              <fill>
                <patternFill>
                  <bgColor theme="8" tint="0.59996337778862885"/>
                </patternFill>
              </fill>
            </x14:dxf>
          </x14:cfRule>
          <x14:cfRule type="cellIs" priority="13" operator="equal" id="{59A30C37-C9BD-4AC1-B714-9F73CE8EF149}">
            <xm:f>PowellReleaseTemperature!$B$8</xm:f>
            <x14:dxf>
              <font>
                <color rgb="FF9C0006"/>
              </font>
              <fill>
                <patternFill>
                  <bgColor rgb="FFFFC7CE"/>
                </patternFill>
              </fill>
            </x14:dxf>
          </x14:cfRule>
          <x14:cfRule type="cellIs" priority="14" operator="equal" id="{B709AA91-3718-46E0-B9B9-20513CAABBA9}">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4C7A953-D429-4741-BFC1-A642109190D7}">
            <xm:f>PowellReleaseTemperature!$E$5</xm:f>
            <x14:dxf>
              <font>
                <color auto="1"/>
              </font>
              <fill>
                <patternFill>
                  <bgColor rgb="FFFF0000"/>
                </patternFill>
              </fill>
            </x14:dxf>
          </x14:cfRule>
          <x14:cfRule type="cellIs" priority="8" operator="equal" id="{C258EB03-05B0-4D8D-BCD6-BEEA299FD416}">
            <xm:f>PowellReleaseTemperature!$E$8</xm:f>
            <x14:dxf>
              <font>
                <color rgb="FF9C0006"/>
              </font>
              <fill>
                <patternFill>
                  <bgColor rgb="FFFFC7CE"/>
                </patternFill>
              </fill>
            </x14:dxf>
          </x14:cfRule>
          <x14:cfRule type="cellIs" priority="9" operator="equal" id="{A891A51A-59BB-49D9-82C1-B6B9490A21CB}">
            <xm:f>PowellReleaseTemperature!$E$9</xm:f>
            <x14:dxf>
              <font>
                <color theme="4" tint="-0.24994659260841701"/>
              </font>
              <fill>
                <patternFill>
                  <bgColor theme="8" tint="0.59996337778862885"/>
                </patternFill>
              </fill>
            </x14:dxf>
          </x14:cfRule>
          <x14:cfRule type="cellIs" priority="10" operator="equal" id="{73F663DC-99E3-40B7-993E-DC4A376C79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4DB72272-F1AE-4752-BC9A-2E2F4F1B5B27}">
            <xm:f>PowellReleaseTemperature!$F$10</xm:f>
            <x14:dxf>
              <font>
                <color auto="1"/>
              </font>
              <fill>
                <patternFill>
                  <bgColor theme="4"/>
                </patternFill>
              </fill>
            </x14:dxf>
          </x14:cfRule>
          <x14:cfRule type="cellIs" priority="5" operator="equal" id="{58B9B8C2-161B-4EF0-9756-72A259955787}">
            <xm:f>PowellReleaseTemperature!$F$9</xm:f>
            <x14:dxf>
              <font>
                <color theme="4" tint="-0.24994659260841701"/>
              </font>
              <fill>
                <patternFill>
                  <bgColor theme="8" tint="0.59996337778862885"/>
                </patternFill>
              </fill>
            </x14:dxf>
          </x14:cfRule>
          <x14:cfRule type="cellIs" priority="6" operator="equal" id="{00604EC6-EA18-4A63-86B9-9C3DF0557729}">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E7AB9E4-02D7-4E98-9BF7-D162E72A3DF2}">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topLeftCell="A23" workbookViewId="0">
      <selection activeCell="I39" sqref="I39"/>
    </sheetView>
  </sheetViews>
  <sheetFormatPr defaultRowHeight="14.5" x14ac:dyDescent="0.35"/>
  <sheetData>
    <row r="1" spans="7:24" ht="36" x14ac:dyDescent="0.8">
      <c r="G1" s="45" t="s">
        <v>39</v>
      </c>
      <c r="P1" s="45" t="s">
        <v>40</v>
      </c>
      <c r="X1" s="45" t="s">
        <v>200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AAC2C-517F-4FFE-A9AE-05C05642D3D7}">
  <dimension ref="A1:N142"/>
  <sheetViews>
    <sheetView zoomScale="150" zoomScaleNormal="150" workbookViewId="0">
      <selection activeCell="B13" sqref="B13:F13"/>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56" t="s">
        <v>148</v>
      </c>
      <c r="B3" s="256"/>
      <c r="C3" s="256"/>
      <c r="D3" s="256"/>
      <c r="E3" s="256"/>
      <c r="F3" s="256"/>
      <c r="G3" s="256"/>
      <c r="H3" s="112"/>
      <c r="I3" s="112"/>
      <c r="J3" s="112"/>
      <c r="K3" s="112"/>
    </row>
    <row r="4" spans="1:13" x14ac:dyDescent="0.35">
      <c r="A4" s="51" t="s">
        <v>38</v>
      </c>
      <c r="B4" s="51" t="s">
        <v>42</v>
      </c>
      <c r="C4" s="257" t="s">
        <v>43</v>
      </c>
      <c r="D4" s="258"/>
      <c r="E4" s="258"/>
      <c r="F4" s="258"/>
      <c r="G4" s="259"/>
      <c r="M4" s="1" t="s">
        <v>294</v>
      </c>
    </row>
    <row r="5" spans="1:13" x14ac:dyDescent="0.35">
      <c r="A5" s="122" t="s">
        <v>39</v>
      </c>
      <c r="B5" s="122"/>
      <c r="C5" s="247" t="s">
        <v>149</v>
      </c>
      <c r="D5" s="242"/>
      <c r="E5" s="242"/>
      <c r="F5" s="242"/>
      <c r="G5" s="242"/>
      <c r="M5" t="s">
        <v>295</v>
      </c>
    </row>
    <row r="6" spans="1:13" x14ac:dyDescent="0.35">
      <c r="A6" s="122" t="s">
        <v>40</v>
      </c>
      <c r="B6" s="122"/>
      <c r="C6" s="247" t="s">
        <v>149</v>
      </c>
      <c r="D6" s="242"/>
      <c r="E6" s="242"/>
      <c r="F6" s="242"/>
      <c r="G6" s="242"/>
      <c r="M6" t="s">
        <v>300</v>
      </c>
    </row>
    <row r="7" spans="1:13" x14ac:dyDescent="0.35">
      <c r="A7" s="122" t="s">
        <v>41</v>
      </c>
      <c r="B7" s="122"/>
      <c r="C7" s="247" t="s">
        <v>149</v>
      </c>
      <c r="D7" s="242"/>
      <c r="E7" s="242"/>
      <c r="F7" s="242"/>
      <c r="G7" s="242"/>
      <c r="M7" t="s">
        <v>301</v>
      </c>
    </row>
    <row r="8" spans="1:13" x14ac:dyDescent="0.35">
      <c r="A8" s="111" t="s">
        <v>154</v>
      </c>
      <c r="B8" s="111"/>
      <c r="C8" s="249" t="s">
        <v>305</v>
      </c>
      <c r="D8" s="249"/>
      <c r="E8" s="249"/>
      <c r="F8" s="249"/>
      <c r="G8" s="249"/>
    </row>
    <row r="9" spans="1:13" x14ac:dyDescent="0.35">
      <c r="A9" s="122"/>
      <c r="B9" s="122"/>
      <c r="C9" s="248"/>
      <c r="D9" s="248"/>
      <c r="E9" s="248"/>
      <c r="F9" s="248"/>
      <c r="G9" s="248"/>
    </row>
    <row r="10" spans="1:13" x14ac:dyDescent="0.35">
      <c r="A10" s="122"/>
      <c r="B10" s="122"/>
      <c r="C10" s="248"/>
      <c r="D10" s="248"/>
      <c r="E10" s="248"/>
      <c r="F10" s="248"/>
      <c r="G10" s="248"/>
    </row>
    <row r="11" spans="1:13" x14ac:dyDescent="0.35">
      <c r="A11" s="15"/>
      <c r="B11" s="2"/>
      <c r="C11"/>
    </row>
    <row r="12" spans="1:13" x14ac:dyDescent="0.35">
      <c r="A12" s="18" t="s">
        <v>45</v>
      </c>
      <c r="B12" s="260" t="s">
        <v>195</v>
      </c>
      <c r="C12" s="260"/>
      <c r="D12" s="260"/>
      <c r="E12" s="260"/>
      <c r="F12" s="260"/>
    </row>
    <row r="13" spans="1:13" x14ac:dyDescent="0.35">
      <c r="B13" s="261" t="s">
        <v>314</v>
      </c>
      <c r="C13" s="262"/>
      <c r="D13" s="262"/>
      <c r="E13" s="262"/>
      <c r="F13" s="262"/>
    </row>
    <row r="14" spans="1:13" x14ac:dyDescent="0.35">
      <c r="B14" s="263" t="s">
        <v>303</v>
      </c>
      <c r="C14" s="264"/>
      <c r="D14" s="264"/>
      <c r="E14" s="264"/>
      <c r="F14" s="264"/>
    </row>
    <row r="15" spans="1:13" x14ac:dyDescent="0.35">
      <c r="B15" s="265" t="s">
        <v>46</v>
      </c>
      <c r="C15" s="265"/>
      <c r="D15" s="265"/>
      <c r="E15" s="265"/>
      <c r="F15" s="265"/>
    </row>
    <row r="17" spans="1:14" x14ac:dyDescent="0.35">
      <c r="A17" s="1" t="s">
        <v>53</v>
      </c>
      <c r="D17" s="260" t="s">
        <v>151</v>
      </c>
      <c r="E17" s="260"/>
      <c r="F17" s="260"/>
      <c r="G17" s="260"/>
    </row>
    <row r="19" spans="1:14" x14ac:dyDescent="0.35">
      <c r="A19" s="1" t="s">
        <v>32</v>
      </c>
      <c r="B19" s="1" t="s">
        <v>108</v>
      </c>
      <c r="C19" s="13" t="s">
        <v>109</v>
      </c>
    </row>
    <row r="20" spans="1:14" x14ac:dyDescent="0.35">
      <c r="A20" t="s">
        <v>107</v>
      </c>
      <c r="B20" s="129">
        <v>5.73</v>
      </c>
      <c r="C20" s="129">
        <v>6</v>
      </c>
      <c r="D20" s="22" t="s">
        <v>110</v>
      </c>
    </row>
    <row r="21" spans="1:14" x14ac:dyDescent="0.35">
      <c r="A21" t="s">
        <v>139</v>
      </c>
      <c r="B21" s="129">
        <v>11</v>
      </c>
      <c r="C21" s="129">
        <v>10.1</v>
      </c>
      <c r="D21" s="11" t="s">
        <v>34</v>
      </c>
    </row>
    <row r="22" spans="1:14" x14ac:dyDescent="0.35">
      <c r="A22" t="s">
        <v>186</v>
      </c>
      <c r="B22" s="60">
        <v>3525</v>
      </c>
      <c r="C22" s="60">
        <v>1020</v>
      </c>
      <c r="D22" s="11"/>
    </row>
    <row r="23" spans="1:14" x14ac:dyDescent="0.35">
      <c r="A23" t="s">
        <v>172</v>
      </c>
      <c r="B23" s="129">
        <f>VLOOKUP(B22,'Powell-Elevation-Area'!$A$5:$B$689,2)/1000000</f>
        <v>5.9265762500000001</v>
      </c>
      <c r="C23" s="129">
        <f>VLOOKUP(C22,'Mead-Elevation-Area'!$A$5:$B$689,2)/1000000</f>
        <v>5.664593</v>
      </c>
      <c r="D23" s="11"/>
      <c r="E23" s="43"/>
    </row>
    <row r="25" spans="1:14" s="1" customFormat="1" x14ac:dyDescent="0.3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35">
      <c r="A26" s="1" t="s">
        <v>44</v>
      </c>
      <c r="B26" s="1"/>
      <c r="C26" s="130">
        <v>12.4</v>
      </c>
      <c r="D26" s="130">
        <v>12.4</v>
      </c>
      <c r="E26" s="130">
        <v>12.4</v>
      </c>
      <c r="F26" s="130">
        <v>12.4</v>
      </c>
      <c r="G26" s="130">
        <v>12.4</v>
      </c>
      <c r="H26" s="130">
        <v>12.4</v>
      </c>
      <c r="I26" s="130">
        <v>14.4</v>
      </c>
      <c r="J26" s="130">
        <v>14.4</v>
      </c>
      <c r="K26" s="130">
        <v>14.4</v>
      </c>
      <c r="L26" s="130">
        <v>14.4</v>
      </c>
    </row>
    <row r="27" spans="1:14" x14ac:dyDescent="0.3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35">
      <c r="A28" s="1" t="s">
        <v>278</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35">
      <c r="A29" s="1" t="s">
        <v>122</v>
      </c>
      <c r="B29" s="108">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17.162921521073159</v>
      </c>
      <c r="K29" s="14">
        <f t="shared" ca="1" si="2"/>
        <v>18.865595442887294</v>
      </c>
      <c r="L29" s="14">
        <f t="shared" ca="1" si="2"/>
        <v>20.49333624534794</v>
      </c>
    </row>
    <row r="30" spans="1:14" x14ac:dyDescent="0.3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5.4519284043853409</v>
      </c>
      <c r="K30" s="14">
        <f t="shared" ca="1" si="4"/>
        <v>7.1609068947687797</v>
      </c>
      <c r="L30" s="14">
        <f t="shared" ca="1" si="4"/>
        <v>8.7943918761707423</v>
      </c>
      <c r="N30" t="s">
        <v>174</v>
      </c>
    </row>
    <row r="31" spans="1:14" x14ac:dyDescent="0.3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0</v>
      </c>
      <c r="K31" s="14">
        <f t="shared" ca="1" si="6"/>
        <v>0</v>
      </c>
      <c r="L31" s="14">
        <f t="shared" ca="1" si="6"/>
        <v>0</v>
      </c>
      <c r="N31" t="s">
        <v>171</v>
      </c>
    </row>
    <row r="32" spans="1:14" x14ac:dyDescent="0.3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0.14931228563432986</v>
      </c>
      <c r="G32" s="50">
        <f t="shared" ca="1" si="6"/>
        <v>0.14154478800417558</v>
      </c>
      <c r="H32" s="14">
        <f t="shared" ca="1" si="6"/>
        <v>0.13404274739387745</v>
      </c>
      <c r="I32" s="14">
        <f t="shared" ca="1" si="6"/>
        <v>0.1267980923965879</v>
      </c>
      <c r="J32" s="14">
        <f t="shared" ca="1" si="6"/>
        <v>0.11982386668781775</v>
      </c>
      <c r="K32" s="14">
        <f t="shared" ca="1" si="6"/>
        <v>0.1135192981185138</v>
      </c>
      <c r="L32" s="14">
        <f t="shared" ca="1" si="6"/>
        <v>0.10777511917719851</v>
      </c>
      <c r="N32" t="s">
        <v>170</v>
      </c>
    </row>
    <row r="33" spans="1:14" x14ac:dyDescent="0.3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3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193</v>
      </c>
      <c r="C36"/>
    </row>
    <row r="37" spans="1:14" x14ac:dyDescent="0.35">
      <c r="A37" t="s">
        <v>111</v>
      </c>
      <c r="C37" s="14">
        <f>IF(C$26&lt;&gt;"",B21,"")</f>
        <v>11</v>
      </c>
      <c r="D37" s="14">
        <f ca="1">IF(D$26&lt;&gt;"",C129,"")</f>
        <v>9.8858844933333465</v>
      </c>
      <c r="E37" s="14">
        <f t="shared" ref="E37:G38" ca="1" si="7">IF(E$26&lt;&gt;"",D129,"")</f>
        <v>9.2421623911669659</v>
      </c>
      <c r="F37" s="14">
        <f t="shared" ca="1" si="7"/>
        <v>8.8220026852505988</v>
      </c>
      <c r="G37" s="14">
        <f t="shared" ca="1" si="7"/>
        <v>8.415399336583647</v>
      </c>
      <c r="H37" s="14">
        <f t="shared" ref="H37:H38" ca="1" si="8">IF(H$26&lt;&gt;"",G129,"")</f>
        <v>8.0217065854166947</v>
      </c>
      <c r="I37" s="14">
        <f t="shared" ref="I37:I38" ca="1" si="9">IF(I$26&lt;&gt;"",H129,"")</f>
        <v>7.6812612237148183</v>
      </c>
      <c r="J37" s="14">
        <f t="shared" ref="J37:J38" ca="1" si="10">IF(J$26&lt;&gt;"",I129,"")</f>
        <v>8.5814607605365794</v>
      </c>
      <c r="K37" s="14">
        <f t="shared" ref="K37:K38" ca="1" si="11">IF(K$26&lt;&gt;"",J129,"")</f>
        <v>9.4327977214436469</v>
      </c>
      <c r="L37" s="14">
        <f t="shared" ref="L37:L38" ca="1" si="12">IF(L$26&lt;&gt;"",K129,"")</f>
        <v>10.24666812267397</v>
      </c>
    </row>
    <row r="38" spans="1:14" x14ac:dyDescent="0.35">
      <c r="A38" t="s">
        <v>112</v>
      </c>
      <c r="C38" s="14">
        <f>IF(C$26&lt;&gt;"",C21,"")</f>
        <v>10.1</v>
      </c>
      <c r="D38" s="14">
        <f ca="1">IF(D$26&lt;&gt;"",C130,"")</f>
        <v>9.8858844933333465</v>
      </c>
      <c r="E38" s="14">
        <f t="shared" ca="1" si="7"/>
        <v>9.2421623911669659</v>
      </c>
      <c r="F38" s="14">
        <f t="shared" ca="1" si="7"/>
        <v>8.8220026852505988</v>
      </c>
      <c r="G38" s="14">
        <f t="shared" ca="1" si="7"/>
        <v>8.415399336583647</v>
      </c>
      <c r="H38" s="14">
        <f t="shared" ca="1" si="8"/>
        <v>8.0217065854166947</v>
      </c>
      <c r="I38" s="14">
        <f t="shared" ca="1" si="9"/>
        <v>7.6812612237148183</v>
      </c>
      <c r="J38" s="14">
        <f t="shared" ca="1" si="10"/>
        <v>8.5814607605365794</v>
      </c>
      <c r="K38" s="14">
        <f t="shared" ca="1" si="11"/>
        <v>9.4327977214436469</v>
      </c>
      <c r="L38" s="14">
        <f t="shared" ca="1" si="12"/>
        <v>10.24666812267397</v>
      </c>
    </row>
    <row r="39" spans="1:14" x14ac:dyDescent="0.3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0.903032246998827</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13">IF(A5="","","    "&amp;A5&amp;" Share")</f>
        <v xml:space="preserve">    Upper Basin Share</v>
      </c>
      <c r="B40" s="1"/>
      <c r="C40" s="14">
        <f t="shared" ref="C40:L45" si="14">IF(OR(C$26="",$A40=""),"",C$39*C30/C$29)</f>
        <v>0.24571184643515467</v>
      </c>
      <c r="D40" s="14">
        <f t="shared" ca="1" si="14"/>
        <v>0.23838539737502931</v>
      </c>
      <c r="E40" s="14">
        <f t="shared" ca="1" si="14"/>
        <v>0.23220325154050594</v>
      </c>
      <c r="F40" s="14">
        <f t="shared" ca="1" si="14"/>
        <v>0.22398638052283681</v>
      </c>
      <c r="G40" s="14">
        <f t="shared" ca="1" si="14"/>
        <v>0.21611072731792424</v>
      </c>
      <c r="H40" s="14">
        <f t="shared" ca="1" si="14"/>
        <v>0.20847104177550577</v>
      </c>
      <c r="I40" s="14">
        <f t="shared" ca="1" si="14"/>
        <v>0.20046003398104176</v>
      </c>
      <c r="J40" s="14">
        <f t="shared" ca="1" si="14"/>
        <v>0.28685484294989555</v>
      </c>
      <c r="K40" s="14">
        <f t="shared" ca="1" si="14"/>
        <v>0.36234835193137271</v>
      </c>
      <c r="L40" s="14">
        <f t="shared" ca="1" si="14"/>
        <v>0.43019831893105437</v>
      </c>
    </row>
    <row r="41" spans="1:14" x14ac:dyDescent="0.35">
      <c r="A41" t="str">
        <f t="shared" si="13"/>
        <v xml:space="preserve">    Lower Basin Share</v>
      </c>
      <c r="B41" s="1"/>
      <c r="C41" s="14">
        <f t="shared" si="14"/>
        <v>0.20638492544244763</v>
      </c>
      <c r="D41" s="14">
        <f t="shared" ca="1" si="14"/>
        <v>0.15933469995544408</v>
      </c>
      <c r="E41" s="14">
        <f t="shared" ca="1" si="14"/>
        <v>0.11215533153819036</v>
      </c>
      <c r="F41" s="14">
        <f t="shared" ca="1" si="14"/>
        <v>8.3125704742465487E-2</v>
      </c>
      <c r="G41" s="14">
        <f t="shared" ca="1" si="14"/>
        <v>5.4093767718670333E-2</v>
      </c>
      <c r="H41" s="14">
        <f t="shared" ca="1" si="14"/>
        <v>2.4916279200049612E-2</v>
      </c>
      <c r="I41" s="14">
        <f t="shared" ca="1" si="14"/>
        <v>0</v>
      </c>
      <c r="J41" s="14">
        <f t="shared" ca="1" si="14"/>
        <v>0</v>
      </c>
      <c r="K41" s="14">
        <f t="shared" ca="1" si="14"/>
        <v>0</v>
      </c>
      <c r="L41" s="14">
        <f t="shared" ca="1" si="14"/>
        <v>0</v>
      </c>
    </row>
    <row r="42" spans="1:14" x14ac:dyDescent="0.35">
      <c r="A42" t="str">
        <f t="shared" si="13"/>
        <v xml:space="preserve">    Mexico Share</v>
      </c>
      <c r="B42" s="1"/>
      <c r="C42" s="14">
        <f t="shared" si="14"/>
        <v>8.4270235222746598E-3</v>
      </c>
      <c r="D42" s="14">
        <f t="shared" ca="1" si="14"/>
        <v>8.2160300009359519E-3</v>
      </c>
      <c r="E42" s="14">
        <f t="shared" ca="1" si="14"/>
        <v>8.0446608424592572E-3</v>
      </c>
      <c r="F42" s="14">
        <f t="shared" ca="1" si="14"/>
        <v>7.767497630154243E-3</v>
      </c>
      <c r="G42" s="14">
        <f t="shared" ca="1" si="14"/>
        <v>7.5020406102980219E-3</v>
      </c>
      <c r="H42" s="14">
        <f t="shared" ca="1" si="14"/>
        <v>7.244654997289551E-3</v>
      </c>
      <c r="I42" s="14">
        <f t="shared" ca="1" si="14"/>
        <v>6.9742257087702306E-3</v>
      </c>
      <c r="J42" s="14">
        <f t="shared" ca="1" si="14"/>
        <v>6.3045685693039373E-3</v>
      </c>
      <c r="K42" s="14">
        <f t="shared" ca="1" si="14"/>
        <v>5.7441789413152002E-3</v>
      </c>
      <c r="L42" s="14">
        <f t="shared" ca="1" si="14"/>
        <v>5.2720729011694854E-3</v>
      </c>
    </row>
    <row r="43" spans="1:14" x14ac:dyDescent="0.35">
      <c r="A43" t="str">
        <f t="shared" si="13"/>
        <v xml:space="preserve">    Shared, Reserve Share</v>
      </c>
      <c r="B43" s="1"/>
      <c r="C43" s="14">
        <f t="shared" si="14"/>
        <v>0.56137388460009618</v>
      </c>
      <c r="D43" s="14">
        <f t="shared" ca="1" si="14"/>
        <v>0.57517474366801757</v>
      </c>
      <c r="E43" s="14">
        <f t="shared" ca="1" si="14"/>
        <v>0.59258283457824434</v>
      </c>
      <c r="F43" s="14">
        <f t="shared" ca="1" si="14"/>
        <v>0.60299378110511659</v>
      </c>
      <c r="G43" s="14">
        <f t="shared" ca="1" si="14"/>
        <v>0.61434563335368053</v>
      </c>
      <c r="H43" s="14">
        <f t="shared" ca="1" si="14"/>
        <v>0.62647195662655508</v>
      </c>
      <c r="I43" s="14">
        <f t="shared" ca="1" si="14"/>
        <v>0.63754453280901513</v>
      </c>
      <c r="J43" s="14">
        <f t="shared" ca="1" si="14"/>
        <v>0.60987283547962756</v>
      </c>
      <c r="K43" s="14">
        <f t="shared" ca="1" si="14"/>
        <v>0.58652362562671212</v>
      </c>
      <c r="L43" s="14">
        <f t="shared" ca="1" si="14"/>
        <v>0.56700924816720311</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1.4473333333333334</v>
      </c>
    </row>
    <row r="47" spans="1:14" x14ac:dyDescent="0.35">
      <c r="A47" s="1" t="s">
        <v>279</v>
      </c>
      <c r="B47" s="1"/>
      <c r="C47" s="49">
        <f>IF(C26="","",SUM(C26:C27)-C28)</f>
        <v>12.600000000000001</v>
      </c>
      <c r="D47" s="49">
        <f t="shared" ref="D47:L47" si="15">IF(D26="","",SUM(D26:D27)-D28)</f>
        <v>12.600000000000001</v>
      </c>
      <c r="E47" s="14">
        <f t="shared" si="15"/>
        <v>12.600000000000001</v>
      </c>
      <c r="F47" s="49">
        <f t="shared" si="15"/>
        <v>12.600000000000001</v>
      </c>
      <c r="G47" s="49">
        <f t="shared" si="15"/>
        <v>12.600000000000001</v>
      </c>
      <c r="H47" s="49">
        <f t="shared" si="15"/>
        <v>12.600000000000001</v>
      </c>
      <c r="I47" s="49">
        <f t="shared" si="15"/>
        <v>14.600000000000001</v>
      </c>
      <c r="J47" s="49">
        <f t="shared" si="15"/>
        <v>14.600000000000001</v>
      </c>
      <c r="K47" s="49">
        <f t="shared" si="15"/>
        <v>14.600000000000001</v>
      </c>
      <c r="L47" s="49">
        <f t="shared" si="15"/>
        <v>14.600000000000001</v>
      </c>
      <c r="M47" s="43"/>
      <c r="N47" s="43"/>
    </row>
    <row r="48" spans="1:14" x14ac:dyDescent="0.35">
      <c r="A48" t="str">
        <f t="shared" ref="A48:A53" si="16">IF(A5="","","    To "&amp;A5)</f>
        <v xml:space="preserve">    To Upper Basin</v>
      </c>
      <c r="B48" s="127" t="s">
        <v>144</v>
      </c>
      <c r="C48" s="106">
        <f>IF(OR(C$26="",$A48=""),"",IF(C$26&gt;SUM(MIN($B49,C26-C50/2)+C50/2),C$26-SUM(MIN($B49,C26-C50/2)+C50/2),0))</f>
        <v>4.1763333333333339</v>
      </c>
      <c r="D48" s="106">
        <f t="shared" ref="D48:L48" ca="1" si="17">IF(OR(D$26="",$A48=""),"",IF(D$26&gt;SUM(MIN($B49,D26-D50/2)+D50/2),D$26-SUM(MIN($B49,D26-D50/2)+D50/2),0))</f>
        <v>4.1763333333333339</v>
      </c>
      <c r="E48" s="106">
        <f t="shared" ca="1" si="17"/>
        <v>4.1958333333333346</v>
      </c>
      <c r="F48" s="106">
        <f t="shared" ca="1" si="17"/>
        <v>4.1958333333333346</v>
      </c>
      <c r="G48" s="106">
        <f t="shared" ca="1" si="17"/>
        <v>4.1958333333333346</v>
      </c>
      <c r="H48" s="106">
        <f t="shared" ca="1" si="17"/>
        <v>4.1958333333333346</v>
      </c>
      <c r="I48" s="106">
        <f t="shared" ca="1" si="17"/>
        <v>6.2078333333333333</v>
      </c>
      <c r="J48" s="106">
        <f t="shared" ca="1" si="17"/>
        <v>6.1958333333333346</v>
      </c>
      <c r="K48" s="106">
        <f t="shared" ca="1" si="17"/>
        <v>6.1958333333333346</v>
      </c>
      <c r="L48" s="106">
        <f t="shared" ca="1" si="17"/>
        <v>6.1763333333333339</v>
      </c>
      <c r="M48" s="27"/>
      <c r="N48" s="27"/>
    </row>
    <row r="49" spans="1:14" x14ac:dyDescent="0.35">
      <c r="A49" t="str">
        <f t="shared" si="16"/>
        <v xml:space="preserve">    To Lower Basin</v>
      </c>
      <c r="B49" s="128">
        <f>7.5</f>
        <v>7.5</v>
      </c>
      <c r="C49" s="106">
        <f>IF(OR(C$26="",$A49=""),"",C27-C28-C51-C50/2+MIN($B49,C26-C50/2))</f>
        <v>6.4149594487332369</v>
      </c>
      <c r="D49" s="106">
        <f t="shared" ref="D49:L49" ca="1" si="18">IF(OR(D$26="",$A49=""),"",D27-D28-D51-D50/2+MIN($B49,D26-D50/2))</f>
        <v>6.4011585896653163</v>
      </c>
      <c r="E49" s="106">
        <f t="shared" ca="1" si="18"/>
        <v>6.4032504987550887</v>
      </c>
      <c r="F49" s="106">
        <f t="shared" ca="1" si="18"/>
        <v>6.3928395522282173</v>
      </c>
      <c r="G49" s="106">
        <f t="shared" ca="1" si="18"/>
        <v>6.3814876999796528</v>
      </c>
      <c r="H49" s="106">
        <f t="shared" ca="1" si="18"/>
        <v>6.3693613767067783</v>
      </c>
      <c r="I49" s="106">
        <f t="shared" ca="1" si="18"/>
        <v>6.3702888005243183</v>
      </c>
      <c r="J49" s="106">
        <f t="shared" ca="1" si="18"/>
        <v>6.3859604978537057</v>
      </c>
      <c r="K49" s="106">
        <f t="shared" ca="1" si="18"/>
        <v>6.4093097077066208</v>
      </c>
      <c r="L49" s="106">
        <f t="shared" ca="1" si="18"/>
        <v>6.4093240851661299</v>
      </c>
      <c r="M49" s="27"/>
      <c r="N49" s="27"/>
    </row>
    <row r="50" spans="1:14" x14ac:dyDescent="0.35">
      <c r="A50" t="str">
        <f t="shared" si="16"/>
        <v xml:space="preserve">    To Mexico</v>
      </c>
      <c r="B50" s="128" t="s">
        <v>182</v>
      </c>
      <c r="C50" s="106">
        <f>IF(OR(C$26="",$A50=""),"",IF(C$47&gt;SUM(C51:C52,C46),C46,C$47-SUM(C51:C52)))</f>
        <v>1.4473333333333334</v>
      </c>
      <c r="D50" s="106">
        <f t="shared" ref="D50:L50" ca="1" si="19">IF(OR(D$26="",$A50=""),"",IF(D$47&gt;SUM(D51:D52,D46),D46,D$47-SUM(D51:D52)))</f>
        <v>1.4473333333333334</v>
      </c>
      <c r="E50" s="106">
        <f t="shared" ca="1" si="19"/>
        <v>1.4083333333333332</v>
      </c>
      <c r="F50" s="106">
        <f t="shared" ca="1" si="19"/>
        <v>1.4083333333333332</v>
      </c>
      <c r="G50" s="106">
        <f t="shared" ca="1" si="19"/>
        <v>1.4083333333333332</v>
      </c>
      <c r="H50" s="106">
        <f t="shared" ca="1" si="19"/>
        <v>1.4083333333333332</v>
      </c>
      <c r="I50" s="106">
        <f t="shared" ca="1" si="19"/>
        <v>1.3843333333333332</v>
      </c>
      <c r="J50" s="106">
        <f t="shared" ca="1" si="19"/>
        <v>1.4083333333333332</v>
      </c>
      <c r="K50" s="106">
        <f t="shared" ca="1" si="19"/>
        <v>1.4083333333333332</v>
      </c>
      <c r="L50" s="106">
        <f t="shared" ca="1" si="19"/>
        <v>1.4473333333333334</v>
      </c>
      <c r="M50" s="27"/>
      <c r="N50" s="27"/>
    </row>
    <row r="51" spans="1:14" x14ac:dyDescent="0.35">
      <c r="A51" t="str">
        <f t="shared" si="16"/>
        <v xml:space="preserve">    To Shared, Reserve</v>
      </c>
      <c r="B51" s="128" t="s">
        <v>181</v>
      </c>
      <c r="C51" s="106">
        <f>IF(OR(C$26="",$A51=""),"",IF(C$47&gt;C43,C43,C47))</f>
        <v>0.56137388460009618</v>
      </c>
      <c r="D51" s="106">
        <f t="shared" ref="D51:L51" ca="1" si="20">IF(OR(D$26="",$A51=""),"",IF(D$47&gt;D43,D43,D47))</f>
        <v>0.57517474366801757</v>
      </c>
      <c r="E51" s="106">
        <f t="shared" ca="1" si="20"/>
        <v>0.59258283457824434</v>
      </c>
      <c r="F51" s="106">
        <f t="shared" ca="1" si="20"/>
        <v>0.60299378110511659</v>
      </c>
      <c r="G51" s="106">
        <f t="shared" ca="1" si="20"/>
        <v>0.61434563335368053</v>
      </c>
      <c r="H51" s="106">
        <f t="shared" ca="1" si="20"/>
        <v>0.62647195662655508</v>
      </c>
      <c r="I51" s="106">
        <f t="shared" ca="1" si="20"/>
        <v>0.63754453280901513</v>
      </c>
      <c r="J51" s="106">
        <f t="shared" ca="1" si="20"/>
        <v>0.60987283547962756</v>
      </c>
      <c r="K51" s="106">
        <f t="shared" ca="1" si="20"/>
        <v>0.58652362562671212</v>
      </c>
      <c r="L51" s="106">
        <f t="shared" ca="1" si="20"/>
        <v>0.56700924816720311</v>
      </c>
      <c r="M51" s="27"/>
      <c r="N51" s="27"/>
    </row>
    <row r="52" spans="1:14" x14ac:dyDescent="0.35">
      <c r="A52" t="str">
        <f t="shared" si="16"/>
        <v/>
      </c>
      <c r="B52" s="128"/>
      <c r="C52" s="106"/>
      <c r="D52" s="106"/>
      <c r="E52" s="106"/>
      <c r="F52" s="106"/>
      <c r="G52" s="106"/>
      <c r="H52" s="106"/>
      <c r="I52" s="106"/>
      <c r="J52" s="106"/>
      <c r="K52" s="106"/>
      <c r="L52" s="106"/>
      <c r="M52" s="27"/>
      <c r="N52" s="27"/>
    </row>
    <row r="53" spans="1:14" x14ac:dyDescent="0.35">
      <c r="A53" t="str">
        <f t="shared" si="16"/>
        <v/>
      </c>
      <c r="B53" s="128"/>
      <c r="C53" s="107"/>
      <c r="D53" s="107"/>
      <c r="E53" s="107"/>
      <c r="F53" s="107"/>
      <c r="G53" s="107"/>
      <c r="H53" s="107"/>
      <c r="I53" s="107"/>
      <c r="J53" s="107"/>
      <c r="K53" s="107"/>
      <c r="L53" s="107"/>
      <c r="M53" s="27"/>
      <c r="N53" s="27"/>
    </row>
    <row r="54" spans="1:14" x14ac:dyDescent="0.35">
      <c r="C54" s="43"/>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3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21">IF(OR(C$26="",$A59=""),"",C$112)</f>
        <v>0</v>
      </c>
      <c r="D59" s="65">
        <f t="shared" ca="1" si="21"/>
        <v>0</v>
      </c>
      <c r="E59" s="65">
        <f t="shared" ca="1" si="21"/>
        <v>0</v>
      </c>
      <c r="F59" s="65">
        <f t="shared" ca="1" si="21"/>
        <v>0</v>
      </c>
      <c r="G59" s="65">
        <f t="shared" ca="1" si="21"/>
        <v>0</v>
      </c>
      <c r="H59" s="65">
        <f t="shared" ca="1" si="21"/>
        <v>0</v>
      </c>
      <c r="I59" s="65">
        <f t="shared" ca="1" si="21"/>
        <v>0</v>
      </c>
      <c r="J59" s="65">
        <f t="shared" ca="1" si="21"/>
        <v>0</v>
      </c>
      <c r="K59" s="65">
        <f t="shared" ca="1" si="21"/>
        <v>0</v>
      </c>
      <c r="L59" s="65">
        <f t="shared" ca="1" si="21"/>
        <v>0</v>
      </c>
      <c r="M59" t="str">
        <f t="shared" si="21"/>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22">IF(OR(D$26="",$A60=""),"",D30+D48-D40-D57)</f>
        <v>8.7419931728564819</v>
      </c>
      <c r="E60" s="14">
        <f t="shared" ca="1" si="22"/>
        <v>8.5056232546493096</v>
      </c>
      <c r="F60" s="14">
        <f t="shared" ca="1" si="22"/>
        <v>8.2774702074598085</v>
      </c>
      <c r="G60" s="14">
        <f t="shared" ca="1" si="22"/>
        <v>8.0571928134752202</v>
      </c>
      <c r="H60" s="14">
        <f t="shared" ca="1" si="22"/>
        <v>7.8445551050330495</v>
      </c>
      <c r="I60" s="14">
        <f t="shared" ca="1" si="22"/>
        <v>9.6519284043853411</v>
      </c>
      <c r="J60" s="14">
        <f t="shared" ca="1" si="22"/>
        <v>11.36090689476878</v>
      </c>
      <c r="K60" s="14">
        <f t="shared" ca="1" si="22"/>
        <v>12.994391876170743</v>
      </c>
      <c r="L60" s="14">
        <f t="shared" ca="1" si="22"/>
        <v>14.540526890573021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f>IF(C60&gt;4.2,4.2,MAX(C60,0))</f>
        <v>4.2</v>
      </c>
      <c r="D61" s="125">
        <f t="shared" ref="D61:L61" ca="1" si="23">IF(D60&gt;4.2,4.2,MAX(D60,0))</f>
        <v>4.2</v>
      </c>
      <c r="E61" s="125">
        <f t="shared" ca="1" si="23"/>
        <v>4.2</v>
      </c>
      <c r="F61" s="125">
        <f t="shared" ca="1" si="23"/>
        <v>4.2</v>
      </c>
      <c r="G61" s="125">
        <f t="shared" ca="1" si="23"/>
        <v>4.2</v>
      </c>
      <c r="H61" s="125">
        <f t="shared" ca="1" si="23"/>
        <v>4.2</v>
      </c>
      <c r="I61" s="125">
        <f t="shared" ca="1" si="23"/>
        <v>4.2</v>
      </c>
      <c r="J61" s="125">
        <f t="shared" ca="1" si="23"/>
        <v>4.2</v>
      </c>
      <c r="K61" s="125">
        <f t="shared" ca="1" si="23"/>
        <v>4.2</v>
      </c>
      <c r="L61" s="125">
        <f t="shared" ca="1" si="23"/>
        <v>4.2</v>
      </c>
      <c r="N61" t="str">
        <f>IF(A61="","","Must be less than Available water")</f>
        <v>Must be less than Available water</v>
      </c>
    </row>
    <row r="62" spans="1:14" x14ac:dyDescent="0.35">
      <c r="A62" s="30" t="str">
        <f>IF(A61="","","   End of Year Balance [maf]")</f>
        <v xml:space="preserve">   End of Year Balance [maf]</v>
      </c>
      <c r="C62" s="64">
        <f>IF(OR(C$26="",$A62=""),"",C60-C61)</f>
        <v>4.8040452368981788</v>
      </c>
      <c r="D62" s="64">
        <f t="shared" ref="D62:L62" ca="1" si="24">IF(OR(D$26="",$A62=""),"",D60-D61)</f>
        <v>4.5419931728564817</v>
      </c>
      <c r="E62" s="64">
        <f t="shared" ca="1" si="24"/>
        <v>4.3056232546493094</v>
      </c>
      <c r="F62" s="64">
        <f t="shared" ca="1" si="24"/>
        <v>4.0774702074598084</v>
      </c>
      <c r="G62" s="64">
        <f t="shared" ca="1" si="24"/>
        <v>3.85719281347522</v>
      </c>
      <c r="H62" s="64">
        <f t="shared" ca="1" si="24"/>
        <v>3.6445551050330494</v>
      </c>
      <c r="I62" s="64">
        <f t="shared" ca="1" si="24"/>
        <v>5.4519284043853409</v>
      </c>
      <c r="J62" s="64">
        <f t="shared" ca="1" si="24"/>
        <v>7.1609068947687797</v>
      </c>
      <c r="K62" s="64">
        <f t="shared" ca="1" si="24"/>
        <v>8.7943918761707423</v>
      </c>
      <c r="L62" s="64">
        <f t="shared" ca="1" si="24"/>
        <v>10.34052689057302</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   Volume of Sales(+) and Purchases(-) [maf]")</f>
        <v xml:space="preserve">   Volume of Sales(+) and Purchases(-) [maf]</v>
      </c>
      <c r="C65" s="123"/>
      <c r="D65" s="123"/>
      <c r="E65" s="123"/>
      <c r="F65" s="123"/>
      <c r="G65" s="123"/>
      <c r="H65" s="123"/>
      <c r="I65" s="123"/>
      <c r="J65" s="123"/>
      <c r="K65" s="123"/>
      <c r="L65" s="123"/>
      <c r="M65" s="65">
        <f>SUM(C65:L65)</f>
        <v>0</v>
      </c>
      <c r="N65" t="str">
        <f>IF(A65="","",N57)</f>
        <v>Add if multiple transactions, e.g.: 0.5 + 0.25</v>
      </c>
    </row>
    <row r="66" spans="1:14" x14ac:dyDescent="0.35">
      <c r="A66" s="30" t="str">
        <f>IF(A65="","","   Cash Intake(+) and Payments(-) [$ Mill]")</f>
        <v xml:space="preserve">   Cash Intake(+) and Payments(-) [$ Mill]</v>
      </c>
      <c r="C66" s="124"/>
      <c r="D66" s="124"/>
      <c r="E66" s="124"/>
      <c r="F66" s="124"/>
      <c r="G66" s="124"/>
      <c r="H66" s="124"/>
      <c r="I66" s="124"/>
      <c r="J66" s="124"/>
      <c r="K66" s="124"/>
      <c r="L66" s="124"/>
      <c r="M66" s="63">
        <f>SUM(C66:L66)</f>
        <v>0</v>
      </c>
      <c r="N66" t="str">
        <f t="shared" ref="N66:N70" si="25">IF(A66="","",N58)</f>
        <v>Add if multiple transactions, e.g.: $350*0.5 + $450*0.25</v>
      </c>
    </row>
    <row r="67" spans="1:14" x14ac:dyDescent="0.35">
      <c r="A67" s="30" t="str">
        <f>IF(A66="","","   Volume all players (should be zero)")</f>
        <v xml:space="preserve">   Volume all players (should be zero)</v>
      </c>
      <c r="C67" s="65">
        <f t="shared" ref="C67:M67" ca="1" si="26">IF(OR(C$26="",$A67=""),"",C$112)</f>
        <v>0</v>
      </c>
      <c r="D67" s="65">
        <f t="shared" ca="1" si="26"/>
        <v>0</v>
      </c>
      <c r="E67" s="65">
        <f t="shared" ca="1" si="26"/>
        <v>0</v>
      </c>
      <c r="F67" s="65">
        <f t="shared" ca="1" si="26"/>
        <v>0</v>
      </c>
      <c r="G67" s="65">
        <f t="shared" ca="1" si="26"/>
        <v>0</v>
      </c>
      <c r="H67" s="65">
        <f t="shared" ca="1" si="26"/>
        <v>0</v>
      </c>
      <c r="I67" s="65">
        <f t="shared" ca="1" si="26"/>
        <v>0</v>
      </c>
      <c r="J67" s="65">
        <f t="shared" ca="1" si="26"/>
        <v>0</v>
      </c>
      <c r="K67" s="65">
        <f t="shared" ca="1" si="26"/>
        <v>0</v>
      </c>
      <c r="L67" s="65">
        <f t="shared" ca="1" si="26"/>
        <v>0</v>
      </c>
      <c r="M67" t="str">
        <f t="shared" si="26"/>
        <v/>
      </c>
      <c r="N67" t="str">
        <f t="shared" si="25"/>
        <v>If non-zero, players need to change amount(s)</v>
      </c>
    </row>
    <row r="68" spans="1:14" x14ac:dyDescent="0.35">
      <c r="A68" s="1" t="str">
        <f>IF(A66="","","   Available Water [maf]")</f>
        <v xml:space="preserve">   Available Water [maf]</v>
      </c>
      <c r="C68" s="14">
        <f t="shared" ref="C68:L68" si="27">IF(OR(C$26="",$A68=""),"",C31+C49-C41-C65)</f>
        <v>10.469981523290789</v>
      </c>
      <c r="D68" s="14">
        <f t="shared" ca="1" si="27"/>
        <v>9.4528054130006609</v>
      </c>
      <c r="E68" s="14">
        <f t="shared" ca="1" si="27"/>
        <v>8.484900580217559</v>
      </c>
      <c r="F68" s="14">
        <f t="shared" ca="1" si="27"/>
        <v>7.9076144277033107</v>
      </c>
      <c r="G68" s="14">
        <f t="shared" ca="1" si="27"/>
        <v>7.3480083599642931</v>
      </c>
      <c r="H68" s="14">
        <f t="shared" ca="1" si="27"/>
        <v>6.805453457471021</v>
      </c>
      <c r="I68" s="14">
        <f t="shared" ca="1" si="27"/>
        <v>6.3702888005243183</v>
      </c>
      <c r="J68" s="14">
        <f t="shared" ca="1" si="27"/>
        <v>6.3859604978537057</v>
      </c>
      <c r="K68" s="14">
        <f t="shared" ca="1" si="27"/>
        <v>6.4093097077066208</v>
      </c>
      <c r="L68" s="14">
        <f t="shared" ca="1" si="27"/>
        <v>6.4093240851661299</v>
      </c>
      <c r="N68" t="str">
        <f t="shared" si="25"/>
        <v>Available water = Account Balance + Available Inflow - Evaporation + Sales - Purchases</v>
      </c>
    </row>
    <row r="69" spans="1:14" x14ac:dyDescent="0.3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6.805453457471021</v>
      </c>
      <c r="I69" s="125">
        <f ca="1">IF(I27&lt;&gt;"",MIN(7.5-VLOOKUP(I38,MandatoryConservation!$C$5:$P$13,14),I68),"")</f>
        <v>6.3702888005243183</v>
      </c>
      <c r="J69" s="125">
        <f ca="1">IF(J27&lt;&gt;"",MIN(7.5-VLOOKUP(J38,MandatoryConservation!$C$5:$P$13,14),J68),"")</f>
        <v>6.3859604978537057</v>
      </c>
      <c r="K69" s="125">
        <f ca="1">IF(K27&lt;&gt;"",MIN(7.5-VLOOKUP(K38,MandatoryConservation!$C$5:$P$13,14),K68),"")</f>
        <v>6.4093097077066208</v>
      </c>
      <c r="L69" s="125">
        <f ca="1">IF(L27&lt;&gt;"",MIN(7.5-VLOOKUP(L38,MandatoryConservation!$C$5:$P$13,14),L68),"")</f>
        <v>6.4093240851661299</v>
      </c>
      <c r="N69" t="str">
        <f t="shared" si="25"/>
        <v>Must be less than Available water</v>
      </c>
    </row>
    <row r="70" spans="1:14" x14ac:dyDescent="0.35">
      <c r="A70" s="30" t="str">
        <f>IF(A69="","","   End of Year Balance [maf]")</f>
        <v xml:space="preserve">   End of Year Balance [maf]</v>
      </c>
      <c r="C70" s="64">
        <f>IF(OR(C$26="",$A70=""),"",C68-C69)</f>
        <v>3.2109815232907888</v>
      </c>
      <c r="D70" s="64">
        <f t="shared" ref="D70:L70" ca="1" si="28">IF(OR(D$26="",$A70=""),"",D68-D69)</f>
        <v>2.1938054130006606</v>
      </c>
      <c r="E70" s="64">
        <f t="shared" ca="1" si="28"/>
        <v>1.5979005802175585</v>
      </c>
      <c r="F70" s="64">
        <f t="shared" ca="1" si="28"/>
        <v>1.0206144277033102</v>
      </c>
      <c r="G70" s="64">
        <f t="shared" ca="1" si="28"/>
        <v>0.46100835996429268</v>
      </c>
      <c r="H70" s="64">
        <f t="shared" ca="1" si="28"/>
        <v>0</v>
      </c>
      <c r="I70" s="64">
        <f t="shared" ca="1" si="28"/>
        <v>0</v>
      </c>
      <c r="J70" s="64">
        <f t="shared" ca="1" si="28"/>
        <v>0</v>
      </c>
      <c r="K70" s="64">
        <f t="shared" ca="1" si="28"/>
        <v>0</v>
      </c>
      <c r="L70" s="64">
        <f t="shared" ca="1" si="28"/>
        <v>0</v>
      </c>
      <c r="N70" t="str">
        <f t="shared" si="25"/>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   Volume of Sales(+) and Purchases(-) [maf]")</f>
        <v xml:space="preserve">   Volume of Sales(+) and Purchases(-) [maf]</v>
      </c>
      <c r="C73" s="123"/>
      <c r="D73" s="123"/>
      <c r="E73" s="123"/>
      <c r="F73" s="123"/>
      <c r="G73" s="123"/>
      <c r="H73" s="123"/>
      <c r="I73" s="123"/>
      <c r="J73" s="123"/>
      <c r="K73" s="123"/>
      <c r="L73" s="123"/>
      <c r="M73" s="65">
        <f>SUM(C73:L73)</f>
        <v>0</v>
      </c>
      <c r="N73" t="str">
        <f>IF(A73="","",N65)</f>
        <v>Add if multiple transactions, e.g.: 0.5 + 0.25</v>
      </c>
    </row>
    <row r="74" spans="1:14" x14ac:dyDescent="0.35">
      <c r="A74" s="30" t="str">
        <f>IF(A73="","","   Cash Intake(+) and Payments(-) [$ Mill]")</f>
        <v xml:space="preserve">   Cash Intake(+) and Payments(-) [$ Mill]</v>
      </c>
      <c r="C74" s="124"/>
      <c r="D74" s="124"/>
      <c r="E74" s="124"/>
      <c r="F74" s="124"/>
      <c r="G74" s="124"/>
      <c r="H74" s="124"/>
      <c r="I74" s="124"/>
      <c r="J74" s="124"/>
      <c r="K74" s="124"/>
      <c r="L74" s="124"/>
      <c r="M74" s="63">
        <f>SUM(C74:L74)</f>
        <v>0</v>
      </c>
      <c r="N74" t="str">
        <f t="shared" ref="N74:N78" si="29">IF(A74="","",N66)</f>
        <v>Add if multiple transactions, e.g.: $350*0.5 + $450*0.25</v>
      </c>
    </row>
    <row r="75" spans="1:14" x14ac:dyDescent="0.35">
      <c r="A75" s="30" t="str">
        <f>IF(A74="","","   Volume all players (should be zero)")</f>
        <v xml:space="preserve">   Volume all players (should be zero)</v>
      </c>
      <c r="C75" s="65">
        <f t="shared" ref="C75:M75" ca="1" si="30">IF(OR(C$26="",$A75=""),"",C$112)</f>
        <v>0</v>
      </c>
      <c r="D75" s="65">
        <f t="shared" ca="1" si="30"/>
        <v>0</v>
      </c>
      <c r="E75" s="65">
        <f t="shared" ca="1" si="30"/>
        <v>0</v>
      </c>
      <c r="F75" s="65">
        <f t="shared" ca="1" si="30"/>
        <v>0</v>
      </c>
      <c r="G75" s="65">
        <f t="shared" ca="1" si="30"/>
        <v>0</v>
      </c>
      <c r="H75" s="65">
        <f t="shared" ca="1" si="30"/>
        <v>0</v>
      </c>
      <c r="I75" s="65">
        <f t="shared" ca="1" si="30"/>
        <v>0</v>
      </c>
      <c r="J75" s="65">
        <f t="shared" ca="1" si="30"/>
        <v>0</v>
      </c>
      <c r="K75" s="65">
        <f t="shared" ca="1" si="30"/>
        <v>0</v>
      </c>
      <c r="L75" s="65">
        <f t="shared" ca="1" si="30"/>
        <v>0</v>
      </c>
      <c r="M75" t="str">
        <f t="shared" si="30"/>
        <v/>
      </c>
      <c r="N75" t="str">
        <f t="shared" si="29"/>
        <v>If non-zero, players need to change amount(s)</v>
      </c>
    </row>
    <row r="76" spans="1:14" x14ac:dyDescent="0.35">
      <c r="A76" s="1" t="str">
        <f>IF(A74="","","   Available Water [maf]")</f>
        <v xml:space="preserve">   Available Water [maf]</v>
      </c>
      <c r="C76" s="14">
        <f t="shared" ref="C76:L76" si="31">IF(OR(C$26="",$A76=""),"",C32+C50-C42-C73)</f>
        <v>1.6129063098110585</v>
      </c>
      <c r="D76" s="14">
        <f t="shared" ca="1" si="31"/>
        <v>1.6046902798101226</v>
      </c>
      <c r="E76" s="14">
        <f t="shared" ca="1" si="31"/>
        <v>1.5576456189676631</v>
      </c>
      <c r="F76" s="14">
        <f ca="1">IF(OR(F$26="",$A76=""),"",F32+F50-F42-F73)</f>
        <v>1.5498781213375088</v>
      </c>
      <c r="G76" s="14">
        <f t="shared" ca="1" si="31"/>
        <v>1.5423760807272107</v>
      </c>
      <c r="H76" s="14">
        <f t="shared" ca="1" si="31"/>
        <v>1.5351314257299211</v>
      </c>
      <c r="I76" s="14">
        <f t="shared" ca="1" si="31"/>
        <v>1.5041572000211509</v>
      </c>
      <c r="J76" s="14">
        <f t="shared" ca="1" si="31"/>
        <v>1.521852631451847</v>
      </c>
      <c r="K76" s="14">
        <f t="shared" ca="1" si="31"/>
        <v>1.5161084525105317</v>
      </c>
      <c r="L76" s="14">
        <f t="shared" ca="1" si="31"/>
        <v>1.5498363796093624</v>
      </c>
      <c r="N76" t="str">
        <f t="shared" si="29"/>
        <v>Available water = Account Balance + Available Inflow - Evaporation + Sales - Purchases</v>
      </c>
    </row>
    <row r="77" spans="1:14" x14ac:dyDescent="0.35">
      <c r="A77" s="1" t="str">
        <f>IF(A76="","","   Account Withdraw [maf]")</f>
        <v xml:space="preserve">   Account Withdraw [maf]</v>
      </c>
      <c r="C77" s="125">
        <f>MIN(C46,C76)</f>
        <v>1.4473333333333334</v>
      </c>
      <c r="D77" s="125">
        <f t="shared" ref="D77:L77" ca="1" si="32">MIN(D46,D76)</f>
        <v>1.4473333333333334</v>
      </c>
      <c r="E77" s="125">
        <f t="shared" ca="1" si="32"/>
        <v>1.4083333333333332</v>
      </c>
      <c r="F77" s="125">
        <f t="shared" ca="1" si="32"/>
        <v>1.4083333333333332</v>
      </c>
      <c r="G77" s="125">
        <f t="shared" ca="1" si="32"/>
        <v>1.4083333333333332</v>
      </c>
      <c r="H77" s="125">
        <f t="shared" ca="1" si="32"/>
        <v>1.4083333333333332</v>
      </c>
      <c r="I77" s="125">
        <f t="shared" ca="1" si="32"/>
        <v>1.3843333333333332</v>
      </c>
      <c r="J77" s="125">
        <f t="shared" ca="1" si="32"/>
        <v>1.4083333333333332</v>
      </c>
      <c r="K77" s="125">
        <f t="shared" ca="1" si="32"/>
        <v>1.4083333333333332</v>
      </c>
      <c r="L77" s="125">
        <f t="shared" ca="1" si="32"/>
        <v>1.4473333333333334</v>
      </c>
      <c r="N77" t="str">
        <f t="shared" si="29"/>
        <v>Must be less than Available water</v>
      </c>
    </row>
    <row r="78" spans="1:14" x14ac:dyDescent="0.35">
      <c r="A78" s="30" t="str">
        <f>IF(A77="","","   End of Year Balance [maf]")</f>
        <v xml:space="preserve">   End of Year Balance [maf]</v>
      </c>
      <c r="C78" s="64">
        <f>IF(OR(C$26="",$A78=""),"",C76-C77)</f>
        <v>0.16557297647772518</v>
      </c>
      <c r="D78" s="64">
        <f t="shared" ref="D78:L78" ca="1" si="33">IF(OR(D$26="",$A78=""),"",D76-D77)</f>
        <v>0.15735694647678922</v>
      </c>
      <c r="E78" s="64">
        <f t="shared" ca="1" si="33"/>
        <v>0.14931228563432986</v>
      </c>
      <c r="F78" s="64">
        <f t="shared" ca="1" si="33"/>
        <v>0.14154478800417558</v>
      </c>
      <c r="G78" s="64">
        <f t="shared" ca="1" si="33"/>
        <v>0.13404274739387745</v>
      </c>
      <c r="H78" s="64">
        <f t="shared" ca="1" si="33"/>
        <v>0.1267980923965879</v>
      </c>
      <c r="I78" s="64">
        <f t="shared" ca="1" si="33"/>
        <v>0.11982386668781775</v>
      </c>
      <c r="J78" s="64">
        <f t="shared" ca="1" si="33"/>
        <v>0.1135192981185138</v>
      </c>
      <c r="K78" s="64">
        <f t="shared" ca="1" si="33"/>
        <v>0.10777511917719851</v>
      </c>
      <c r="L78" s="64">
        <f t="shared" ca="1" si="33"/>
        <v>0.10250304627602902</v>
      </c>
      <c r="N78" t="str">
        <f t="shared" si="29"/>
        <v>Available water - Account Withdraw</v>
      </c>
    </row>
    <row r="79" spans="1:14" x14ac:dyDescent="0.35">
      <c r="C79"/>
    </row>
    <row r="80" spans="1:14" x14ac:dyDescent="0.35">
      <c r="A80" s="132" t="str">
        <f>IF(A$8="","[Unused]",A8)</f>
        <v>Shared, Reserve</v>
      </c>
      <c r="B80" s="132"/>
      <c r="C80" s="132"/>
      <c r="D80" s="132"/>
      <c r="E80" s="132"/>
      <c r="F80" s="132"/>
      <c r="G80" s="132"/>
      <c r="H80" s="132"/>
      <c r="I80" s="132"/>
      <c r="J80" s="132"/>
      <c r="K80" s="132"/>
      <c r="L80" s="132"/>
      <c r="M80" s="133" t="s">
        <v>105</v>
      </c>
      <c r="N80" s="132" t="s">
        <v>169</v>
      </c>
    </row>
    <row r="81" spans="1:14" x14ac:dyDescent="0.3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4">IF(A82="","",N74)</f>
        <v>Add if multiple transactions, e.g.: $350*0.5 + $450*0.25</v>
      </c>
    </row>
    <row r="83" spans="1:14" x14ac:dyDescent="0.35">
      <c r="A83" s="30" t="str">
        <f>IF(A82="","","   Volume all players (should be zero)")</f>
        <v xml:space="preserve">   Volume all players (should be zero)</v>
      </c>
      <c r="C83" s="65">
        <f t="shared" ref="C83:M83" ca="1" si="35">IF(OR(C$26="",$A83=""),"",C$112)</f>
        <v>0</v>
      </c>
      <c r="D83" s="65">
        <f t="shared" ca="1" si="35"/>
        <v>0</v>
      </c>
      <c r="E83" s="65">
        <f t="shared" ca="1" si="35"/>
        <v>0</v>
      </c>
      <c r="F83" s="65">
        <f t="shared" ca="1" si="35"/>
        <v>0</v>
      </c>
      <c r="G83" s="65">
        <f t="shared" ca="1" si="35"/>
        <v>0</v>
      </c>
      <c r="H83" s="65">
        <f t="shared" ca="1" si="35"/>
        <v>0</v>
      </c>
      <c r="I83" s="65">
        <f t="shared" ca="1" si="35"/>
        <v>0</v>
      </c>
      <c r="J83" s="65">
        <f t="shared" ca="1" si="35"/>
        <v>0</v>
      </c>
      <c r="K83" s="65">
        <f t="shared" ca="1" si="35"/>
        <v>0</v>
      </c>
      <c r="L83" s="65">
        <f t="shared" ca="1" si="35"/>
        <v>0</v>
      </c>
      <c r="M83" t="str">
        <f t="shared" si="35"/>
        <v/>
      </c>
      <c r="N83" t="str">
        <f t="shared" si="34"/>
        <v>If non-zero, players need to change amount(s)</v>
      </c>
    </row>
    <row r="84" spans="1:14" x14ac:dyDescent="0.35">
      <c r="A84" s="1" t="str">
        <f>IF(A82="","","   Available Water [maf]")</f>
        <v xml:space="preserve">   Available Water [maf]</v>
      </c>
      <c r="C84" s="14">
        <f t="shared" ref="C84:L84" si="36">IF(OR(C$26="",$A84=""),"",C33+C51-C43-C81)</f>
        <v>11.59116925</v>
      </c>
      <c r="D84" s="14">
        <f t="shared" ca="1" si="36"/>
        <v>11.59116925</v>
      </c>
      <c r="E84" s="14">
        <f t="shared" ca="1" si="36"/>
        <v>11.59116925</v>
      </c>
      <c r="F84" s="14">
        <f t="shared" ca="1" si="36"/>
        <v>11.59116925</v>
      </c>
      <c r="G84" s="14">
        <f t="shared" ca="1" si="36"/>
        <v>11.59116925</v>
      </c>
      <c r="H84" s="14">
        <f t="shared" ca="1" si="36"/>
        <v>11.59116925</v>
      </c>
      <c r="I84" s="14">
        <f t="shared" ca="1" si="36"/>
        <v>11.59116925</v>
      </c>
      <c r="J84" s="14">
        <f t="shared" ca="1" si="36"/>
        <v>11.59116925</v>
      </c>
      <c r="K84" s="14">
        <f t="shared" ca="1" si="36"/>
        <v>11.59116925</v>
      </c>
      <c r="L84" s="14">
        <f t="shared" ca="1" si="36"/>
        <v>11.59116925</v>
      </c>
      <c r="N84" t="str">
        <f t="shared" si="34"/>
        <v>Available water = Account Balance + Available Inflow - Evaporation + Sales - Purchases</v>
      </c>
    </row>
    <row r="85" spans="1:14" x14ac:dyDescent="0.35">
      <c r="A85" s="1" t="str">
        <f>IF(A84="","","   Account Withdraw [maf]")</f>
        <v xml:space="preserve">   Account Withdraw [maf]</v>
      </c>
      <c r="C85" s="125"/>
      <c r="D85" s="125"/>
      <c r="E85" s="125"/>
      <c r="F85" s="125"/>
      <c r="G85" s="125"/>
      <c r="H85" s="125"/>
      <c r="I85" s="125"/>
      <c r="J85" s="125"/>
      <c r="K85" s="125"/>
      <c r="L85" s="125"/>
      <c r="N85" t="str">
        <f t="shared" si="34"/>
        <v>Must be less than Available water</v>
      </c>
    </row>
    <row r="86" spans="1:14" x14ac:dyDescent="0.35">
      <c r="A86" s="30" t="str">
        <f>IF(A85="","","   End of Year Balance [maf]")</f>
        <v xml:space="preserve">   End of Year Balance [maf]</v>
      </c>
      <c r="C86" s="64">
        <f>IF(OR(C$26="",$A86=""),"",C84-C85)</f>
        <v>11.59116925</v>
      </c>
      <c r="D86" s="64">
        <f t="shared" ref="D86:L86" ca="1" si="37">IF(OR(D$26="",$A86=""),"",D84-D85)</f>
        <v>11.59116925</v>
      </c>
      <c r="E86" s="64">
        <f t="shared" ca="1" si="37"/>
        <v>11.59116925</v>
      </c>
      <c r="F86" s="64">
        <f t="shared" ca="1" si="37"/>
        <v>11.59116925</v>
      </c>
      <c r="G86" s="64">
        <f t="shared" ca="1" si="37"/>
        <v>11.59116925</v>
      </c>
      <c r="H86" s="64">
        <f t="shared" ca="1" si="37"/>
        <v>11.59116925</v>
      </c>
      <c r="I86" s="64">
        <f t="shared" ca="1" si="37"/>
        <v>11.59116925</v>
      </c>
      <c r="J86" s="64">
        <f t="shared" ca="1" si="37"/>
        <v>11.59116925</v>
      </c>
      <c r="K86" s="64">
        <f t="shared" ca="1" si="37"/>
        <v>11.59116925</v>
      </c>
      <c r="L86" s="64">
        <f t="shared" ca="1" si="37"/>
        <v>11.59116925</v>
      </c>
      <c r="N86" t="str">
        <f t="shared" si="34"/>
        <v>Available water - Account Withdraw</v>
      </c>
    </row>
    <row r="87" spans="1:14" x14ac:dyDescent="0.35">
      <c r="C87"/>
    </row>
    <row r="88" spans="1:14" x14ac:dyDescent="0.35">
      <c r="A88" s="132" t="str">
        <f>IF(A$9="","[Unused]",A9)</f>
        <v>[Unused]</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35">
      <c r="A90" s="30" t="str">
        <f>IF(A89="","","   Cash Intake(+) and Payments(-) [$ Mill]")</f>
        <v/>
      </c>
      <c r="C90" s="124"/>
      <c r="D90" s="124"/>
      <c r="E90" s="124"/>
      <c r="F90" s="124"/>
      <c r="G90" s="124"/>
      <c r="H90" s="124"/>
      <c r="I90" s="124"/>
      <c r="J90" s="124"/>
      <c r="K90" s="124"/>
      <c r="L90" s="124"/>
      <c r="M90" s="63">
        <f>SUM(C90:L90)</f>
        <v>0</v>
      </c>
      <c r="N90" t="str">
        <f t="shared" ref="N90:N94" si="38">IF(A90="","",N82)</f>
        <v/>
      </c>
    </row>
    <row r="91" spans="1:14" x14ac:dyDescent="0.35">
      <c r="A91" s="30" t="str">
        <f>IF(A90="","","   Volume all players (should be zero)")</f>
        <v/>
      </c>
      <c r="C91" s="65" t="str">
        <f t="shared" ref="C91:M91" si="39">IF(OR(C$26="",$A91=""),"",C$112)</f>
        <v/>
      </c>
      <c r="D91" s="65" t="str">
        <f t="shared" si="39"/>
        <v/>
      </c>
      <c r="E91" s="65" t="str">
        <f t="shared" si="39"/>
        <v/>
      </c>
      <c r="F91" s="65" t="str">
        <f t="shared" si="39"/>
        <v/>
      </c>
      <c r="G91" s="65" t="str">
        <f t="shared" si="39"/>
        <v/>
      </c>
      <c r="H91" s="65" t="str">
        <f t="shared" si="39"/>
        <v/>
      </c>
      <c r="I91" s="65" t="str">
        <f t="shared" si="39"/>
        <v/>
      </c>
      <c r="J91" s="65" t="str">
        <f t="shared" si="39"/>
        <v/>
      </c>
      <c r="K91" s="65" t="str">
        <f t="shared" si="39"/>
        <v/>
      </c>
      <c r="L91" s="65" t="str">
        <f t="shared" si="39"/>
        <v/>
      </c>
      <c r="M91" t="str">
        <f t="shared" si="39"/>
        <v/>
      </c>
      <c r="N91" t="str">
        <f t="shared" si="38"/>
        <v/>
      </c>
    </row>
    <row r="92" spans="1:14" x14ac:dyDescent="0.3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35">
      <c r="A93" s="1" t="str">
        <f>IF(A92="","","   Account Withdraw [maf]")</f>
        <v/>
      </c>
      <c r="C93" s="125"/>
      <c r="D93" s="125"/>
      <c r="E93" s="125"/>
      <c r="F93" s="125"/>
      <c r="G93" s="125"/>
      <c r="H93" s="125"/>
      <c r="I93" s="125"/>
      <c r="J93" s="125"/>
      <c r="K93" s="125"/>
      <c r="L93" s="125"/>
      <c r="N93" t="str">
        <f t="shared" si="38"/>
        <v/>
      </c>
    </row>
    <row r="94" spans="1:14" x14ac:dyDescent="0.35">
      <c r="A94" s="30" t="str">
        <f>IF(A93="","","   End of Year Balance [maf]")</f>
        <v/>
      </c>
      <c r="C94" s="64" t="str">
        <f>IF(OR(C$26="",$A94=""),"",C92-C93)</f>
        <v/>
      </c>
      <c r="D94" s="64" t="str">
        <f t="shared" ref="D94:L94" si="41">IF(OR(D$26="",$A94=""),"",D92-D93)</f>
        <v/>
      </c>
      <c r="E94" s="64" t="str">
        <f t="shared" si="41"/>
        <v/>
      </c>
      <c r="F94" s="64" t="str">
        <f t="shared" si="41"/>
        <v/>
      </c>
      <c r="G94" s="64" t="str">
        <f t="shared" si="41"/>
        <v/>
      </c>
      <c r="H94" s="64" t="str">
        <f t="shared" si="41"/>
        <v/>
      </c>
      <c r="I94" s="64" t="str">
        <f t="shared" si="41"/>
        <v/>
      </c>
      <c r="J94" s="64" t="str">
        <f t="shared" si="41"/>
        <v/>
      </c>
      <c r="K94" s="64" t="str">
        <f t="shared" si="41"/>
        <v/>
      </c>
      <c r="L94" s="64" t="str">
        <f t="shared" si="41"/>
        <v/>
      </c>
      <c r="N94" t="str">
        <f t="shared" si="38"/>
        <v/>
      </c>
    </row>
    <row r="95" spans="1:14" x14ac:dyDescent="0.35">
      <c r="C95"/>
    </row>
    <row r="96" spans="1:14" x14ac:dyDescent="0.35">
      <c r="A96" s="132" t="str">
        <f>IF(A$10="","[Unused]",A10)</f>
        <v>[Unused]</v>
      </c>
      <c r="B96" s="132"/>
      <c r="C96" s="132"/>
      <c r="D96" s="132"/>
      <c r="E96" s="132"/>
      <c r="F96" s="132"/>
      <c r="G96" s="132"/>
      <c r="H96" s="132"/>
      <c r="I96" s="132"/>
      <c r="J96" s="132"/>
      <c r="K96" s="132"/>
      <c r="L96" s="132"/>
      <c r="M96" s="133" t="s">
        <v>105</v>
      </c>
      <c r="N96" s="132" t="s">
        <v>169</v>
      </c>
    </row>
    <row r="97" spans="1:14" x14ac:dyDescent="0.3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35">
      <c r="A98" s="30" t="str">
        <f>IF(A97="","","   Cash Intake(+) and Payments(-) [$ Mill]")</f>
        <v/>
      </c>
      <c r="C98" s="124"/>
      <c r="D98" s="124"/>
      <c r="E98" s="124"/>
      <c r="F98" s="124"/>
      <c r="G98" s="124"/>
      <c r="H98" s="124"/>
      <c r="I98" s="124"/>
      <c r="J98" s="124"/>
      <c r="K98" s="124"/>
      <c r="L98" s="124"/>
      <c r="M98" s="63">
        <f>SUM(C98:L98)</f>
        <v>0</v>
      </c>
      <c r="N98" t="str">
        <f t="shared" ref="N98:N102" si="42">IF(A98="","",N90)</f>
        <v/>
      </c>
    </row>
    <row r="99" spans="1:14" x14ac:dyDescent="0.35">
      <c r="A99" s="30" t="str">
        <f>IF(A98="","","   Volume all players (should be zero)")</f>
        <v/>
      </c>
      <c r="C99" s="65" t="str">
        <f t="shared" ref="C99:M99" si="43">IF(OR(C$26="",$A99=""),"",C$112)</f>
        <v/>
      </c>
      <c r="D99" s="65" t="str">
        <f t="shared" si="43"/>
        <v/>
      </c>
      <c r="E99" s="65" t="str">
        <f t="shared" si="43"/>
        <v/>
      </c>
      <c r="F99" s="65" t="str">
        <f t="shared" si="43"/>
        <v/>
      </c>
      <c r="G99" s="65" t="str">
        <f t="shared" si="43"/>
        <v/>
      </c>
      <c r="H99" s="65" t="str">
        <f t="shared" si="43"/>
        <v/>
      </c>
      <c r="I99" s="65" t="str">
        <f t="shared" si="43"/>
        <v/>
      </c>
      <c r="J99" s="65" t="str">
        <f t="shared" si="43"/>
        <v/>
      </c>
      <c r="K99" s="65" t="str">
        <f t="shared" si="43"/>
        <v/>
      </c>
      <c r="L99" s="65" t="str">
        <f t="shared" si="43"/>
        <v/>
      </c>
      <c r="M99" t="str">
        <f t="shared" si="43"/>
        <v/>
      </c>
      <c r="N99" t="str">
        <f t="shared" si="42"/>
        <v/>
      </c>
    </row>
    <row r="100" spans="1:14" x14ac:dyDescent="0.3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35">
      <c r="A101" s="1" t="str">
        <f>IF(A100="","","   Account Withdraw [maf]")</f>
        <v/>
      </c>
      <c r="C101" s="125"/>
      <c r="D101" s="125"/>
      <c r="E101" s="125"/>
      <c r="F101" s="125"/>
      <c r="G101" s="125"/>
      <c r="H101" s="125"/>
      <c r="I101" s="125"/>
      <c r="J101" s="125"/>
      <c r="K101" s="125"/>
      <c r="L101" s="125"/>
      <c r="N101" t="str">
        <f t="shared" si="42"/>
        <v/>
      </c>
    </row>
    <row r="102" spans="1:14" x14ac:dyDescent="0.35">
      <c r="A102" s="30" t="str">
        <f>IF(A101="","","   End of Year Balance [maf]")</f>
        <v/>
      </c>
      <c r="C102" s="64" t="str">
        <f>IF(OR(C$26="",$A102=""),"",C100-C101)</f>
        <v/>
      </c>
      <c r="D102" s="64" t="str">
        <f t="shared" ref="D102:L102" si="45">IF(OR(D$26="",$A102=""),"",D100-D101)</f>
        <v/>
      </c>
      <c r="E102" s="64" t="str">
        <f t="shared" si="45"/>
        <v/>
      </c>
      <c r="F102" s="64" t="str">
        <f t="shared" si="45"/>
        <v/>
      </c>
      <c r="G102" s="64" t="str">
        <f t="shared" si="45"/>
        <v/>
      </c>
      <c r="H102" s="64" t="str">
        <f t="shared" si="45"/>
        <v/>
      </c>
      <c r="I102" s="64" t="str">
        <f t="shared" si="45"/>
        <v/>
      </c>
      <c r="J102" s="64" t="str">
        <f t="shared" si="45"/>
        <v/>
      </c>
      <c r="K102" s="64" t="str">
        <f t="shared" si="45"/>
        <v/>
      </c>
      <c r="L102" s="64" t="str">
        <f t="shared" si="45"/>
        <v/>
      </c>
      <c r="N102" t="str">
        <f t="shared" si="42"/>
        <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146</v>
      </c>
      <c r="C105"/>
      <c r="M105" t="s">
        <v>179</v>
      </c>
      <c r="N105" t="s">
        <v>147</v>
      </c>
    </row>
    <row r="106" spans="1:14" x14ac:dyDescent="0.35">
      <c r="A106" t="str">
        <f t="shared" ref="A106:A111" si="46">IF(A5="","","    "&amp;A5)</f>
        <v xml:space="preserve">    Upper Basin</v>
      </c>
      <c r="B106" s="1"/>
      <c r="C106" s="65">
        <f t="shared" ref="C106:L111" ca="1" si="47">IF(OR(C$26="",$A106=""),"",OFFSET(C$57,8*(ROW(B106)-ROW(B$106)),0))</f>
        <v>0</v>
      </c>
      <c r="D106" s="65">
        <f t="shared" ca="1" si="47"/>
        <v>0</v>
      </c>
      <c r="E106" s="65">
        <f t="shared" ca="1" si="47"/>
        <v>0</v>
      </c>
      <c r="F106" s="65">
        <f t="shared" ca="1" si="47"/>
        <v>0</v>
      </c>
      <c r="G106" s="65">
        <f t="shared" ca="1" si="47"/>
        <v>0</v>
      </c>
      <c r="H106" s="65">
        <f t="shared" ca="1" si="47"/>
        <v>0</v>
      </c>
      <c r="I106" s="65">
        <f t="shared" ca="1" si="47"/>
        <v>0</v>
      </c>
      <c r="J106" s="65">
        <f t="shared" ca="1" si="47"/>
        <v>0</v>
      </c>
      <c r="K106" s="65">
        <f t="shared" ca="1" si="47"/>
        <v>0</v>
      </c>
      <c r="L106" s="65">
        <f t="shared" ca="1" si="47"/>
        <v>0</v>
      </c>
      <c r="M106" s="65">
        <f ca="1">IF(OR($A106=""),"",SUM(C106:L106))</f>
        <v>0</v>
      </c>
      <c r="N106" s="63">
        <f>IF(OR($A106=""),"",M58)</f>
        <v>0</v>
      </c>
    </row>
    <row r="107" spans="1:14" x14ac:dyDescent="0.35">
      <c r="A107" t="str">
        <f t="shared" si="46"/>
        <v xml:space="preserve">    Lower Basin</v>
      </c>
      <c r="B107" s="1"/>
      <c r="C107" s="65">
        <f t="shared" ca="1" si="47"/>
        <v>0</v>
      </c>
      <c r="D107" s="65">
        <f t="shared" ca="1" si="47"/>
        <v>0</v>
      </c>
      <c r="E107" s="65">
        <f t="shared" ca="1" si="47"/>
        <v>0</v>
      </c>
      <c r="F107" s="65">
        <f t="shared" ca="1" si="47"/>
        <v>0</v>
      </c>
      <c r="G107" s="65">
        <f t="shared" ca="1" si="47"/>
        <v>0</v>
      </c>
      <c r="H107" s="65">
        <f t="shared" ca="1" si="47"/>
        <v>0</v>
      </c>
      <c r="I107" s="65">
        <f t="shared" ca="1" si="47"/>
        <v>0</v>
      </c>
      <c r="J107" s="65">
        <f t="shared" ca="1" si="47"/>
        <v>0</v>
      </c>
      <c r="K107" s="65">
        <f t="shared" ca="1" si="47"/>
        <v>0</v>
      </c>
      <c r="L107" s="65">
        <f t="shared" ca="1" si="47"/>
        <v>0</v>
      </c>
      <c r="M107" s="65">
        <f t="shared" ref="M107:M111" ca="1" si="48">IF(OR($A107=""),"",SUM(C107:L107))</f>
        <v>0</v>
      </c>
      <c r="N107" s="63">
        <f>IF(OR($A107=""),"",M66)</f>
        <v>0</v>
      </c>
    </row>
    <row r="108" spans="1:14" x14ac:dyDescent="0.35">
      <c r="A108" t="str">
        <f t="shared" si="46"/>
        <v xml:space="preserve">    Mexico</v>
      </c>
      <c r="B108" s="1"/>
      <c r="C108" s="65">
        <f t="shared" ca="1" si="47"/>
        <v>0</v>
      </c>
      <c r="D108" s="65">
        <f t="shared" ca="1" si="47"/>
        <v>0</v>
      </c>
      <c r="E108" s="65">
        <f t="shared" ca="1" si="47"/>
        <v>0</v>
      </c>
      <c r="F108" s="65">
        <f t="shared" ca="1" si="47"/>
        <v>0</v>
      </c>
      <c r="G108" s="65">
        <f t="shared" ca="1" si="47"/>
        <v>0</v>
      </c>
      <c r="H108" s="65">
        <f t="shared" ca="1" si="47"/>
        <v>0</v>
      </c>
      <c r="I108" s="65">
        <f t="shared" ca="1" si="47"/>
        <v>0</v>
      </c>
      <c r="J108" s="65">
        <f t="shared" ca="1" si="47"/>
        <v>0</v>
      </c>
      <c r="K108" s="65">
        <f t="shared" ca="1" si="47"/>
        <v>0</v>
      </c>
      <c r="L108" s="65">
        <f t="shared" ca="1" si="47"/>
        <v>0</v>
      </c>
      <c r="M108" s="65">
        <f t="shared" ca="1" si="48"/>
        <v>0</v>
      </c>
      <c r="N108" s="63">
        <f>IF(OR($A108=""),"",M74)</f>
        <v>0</v>
      </c>
    </row>
    <row r="109" spans="1:14" x14ac:dyDescent="0.35">
      <c r="A109" t="str">
        <f t="shared" si="46"/>
        <v xml:space="preserve">    Shared, Reserve</v>
      </c>
      <c r="B109" s="1"/>
      <c r="C109" s="65">
        <f t="shared" ca="1" si="47"/>
        <v>0</v>
      </c>
      <c r="D109" s="65">
        <f t="shared" ca="1" si="47"/>
        <v>0</v>
      </c>
      <c r="E109" s="65">
        <f t="shared" ca="1" si="47"/>
        <v>0</v>
      </c>
      <c r="F109" s="65">
        <f t="shared" ca="1" si="47"/>
        <v>0</v>
      </c>
      <c r="G109" s="65">
        <f t="shared" ca="1" si="47"/>
        <v>0</v>
      </c>
      <c r="H109" s="65">
        <f t="shared" ca="1" si="47"/>
        <v>0</v>
      </c>
      <c r="I109" s="65">
        <f t="shared" ca="1" si="47"/>
        <v>0</v>
      </c>
      <c r="J109" s="65">
        <f t="shared" ca="1" si="47"/>
        <v>0</v>
      </c>
      <c r="K109" s="65">
        <f t="shared" ca="1" si="47"/>
        <v>0</v>
      </c>
      <c r="L109" s="65">
        <f t="shared" ca="1" si="47"/>
        <v>0</v>
      </c>
      <c r="M109" s="65">
        <f t="shared" ca="1" si="48"/>
        <v>0</v>
      </c>
      <c r="N109" s="63">
        <f>IF(OR($A109=""),"",M82)</f>
        <v>0</v>
      </c>
    </row>
    <row r="110" spans="1:14" x14ac:dyDescent="0.35">
      <c r="A110" t="str">
        <f t="shared" si="46"/>
        <v/>
      </c>
      <c r="B110" s="1"/>
      <c r="C110" s="65" t="str">
        <f t="shared" ca="1" si="47"/>
        <v/>
      </c>
      <c r="D110" s="65" t="str">
        <f t="shared" ca="1" si="47"/>
        <v/>
      </c>
      <c r="E110" s="65" t="str">
        <f t="shared" ca="1" si="47"/>
        <v/>
      </c>
      <c r="F110" s="65" t="str">
        <f t="shared" ca="1" si="47"/>
        <v/>
      </c>
      <c r="G110" s="65" t="str">
        <f t="shared" ca="1" si="47"/>
        <v/>
      </c>
      <c r="H110" s="65" t="str">
        <f t="shared" ca="1" si="47"/>
        <v/>
      </c>
      <c r="I110" s="65" t="str">
        <f t="shared" ca="1" si="47"/>
        <v/>
      </c>
      <c r="J110" s="65" t="str">
        <f t="shared" ca="1" si="47"/>
        <v/>
      </c>
      <c r="K110" s="65" t="str">
        <f t="shared" ca="1" si="47"/>
        <v/>
      </c>
      <c r="L110" s="65" t="str">
        <f t="shared" ca="1" si="47"/>
        <v/>
      </c>
      <c r="M110" s="65" t="str">
        <f t="shared" si="48"/>
        <v/>
      </c>
      <c r="N110" s="63" t="str">
        <f>IF(OR($A110=""),"",M90)</f>
        <v/>
      </c>
    </row>
    <row r="111" spans="1:14" x14ac:dyDescent="0.35">
      <c r="A111" t="str">
        <f t="shared" si="46"/>
        <v/>
      </c>
      <c r="B111" s="1"/>
      <c r="C111" s="65" t="str">
        <f t="shared" ca="1" si="47"/>
        <v/>
      </c>
      <c r="D111" s="65" t="str">
        <f t="shared" ca="1" si="47"/>
        <v/>
      </c>
      <c r="E111" s="65" t="str">
        <f t="shared" ca="1" si="47"/>
        <v/>
      </c>
      <c r="F111" s="65" t="str">
        <f t="shared" ca="1" si="47"/>
        <v/>
      </c>
      <c r="G111" s="65" t="str">
        <f t="shared" ca="1" si="47"/>
        <v/>
      </c>
      <c r="H111" s="65" t="str">
        <f t="shared" ca="1" si="47"/>
        <v/>
      </c>
      <c r="I111" s="65" t="str">
        <f t="shared" ca="1" si="47"/>
        <v/>
      </c>
      <c r="J111" s="65" t="str">
        <f t="shared" ca="1" si="47"/>
        <v/>
      </c>
      <c r="K111" s="65" t="str">
        <f t="shared" ca="1" si="47"/>
        <v/>
      </c>
      <c r="L111" s="65" t="str">
        <f t="shared" ca="1" si="47"/>
        <v/>
      </c>
      <c r="M111" s="65" t="str">
        <f t="shared" si="48"/>
        <v/>
      </c>
      <c r="N111" s="63" t="str">
        <f>IF(OR($A111=""),"",M98)</f>
        <v/>
      </c>
    </row>
    <row r="112" spans="1:14" x14ac:dyDescent="0.35">
      <c r="A112" t="s">
        <v>143</v>
      </c>
      <c r="B112" s="1"/>
      <c r="C112" s="49">
        <f ca="1">IF(C$26&lt;&gt;"",SUM(C106:C111),"")</f>
        <v>0</v>
      </c>
      <c r="D112" s="49">
        <f t="shared" ref="D112:L112" ca="1" si="49">IF(D$26&lt;&gt;"",SUM(D106:D111),"")</f>
        <v>0</v>
      </c>
      <c r="E112" s="113">
        <f t="shared" ca="1" si="49"/>
        <v>0</v>
      </c>
      <c r="F112" s="49">
        <f t="shared" ca="1" si="49"/>
        <v>0</v>
      </c>
      <c r="G112" s="49">
        <f t="shared" ca="1" si="49"/>
        <v>0</v>
      </c>
      <c r="H112" s="49">
        <f t="shared" ca="1" si="49"/>
        <v>0</v>
      </c>
      <c r="I112" s="49">
        <f t="shared" ca="1" si="49"/>
        <v>0</v>
      </c>
      <c r="J112" s="49">
        <f t="shared" ca="1" si="49"/>
        <v>0</v>
      </c>
      <c r="K112" s="49">
        <f t="shared" ca="1" si="49"/>
        <v>0</v>
      </c>
      <c r="L112" s="49">
        <f t="shared" ca="1" si="49"/>
        <v>0</v>
      </c>
      <c r="M112" s="32"/>
    </row>
    <row r="113" spans="1:12" x14ac:dyDescent="0.35">
      <c r="A113" s="1" t="s">
        <v>132</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9" ca="1" si="50">IF(OR(C$26="",$A114=""),"",OFFSET(C$61,8*(ROW(B114)-ROW(B$114)),0))</f>
        <v>4.2</v>
      </c>
      <c r="D114" s="65">
        <f t="shared" ca="1" si="50"/>
        <v>4.2</v>
      </c>
      <c r="E114" s="65">
        <f t="shared" ca="1" si="50"/>
        <v>4.2</v>
      </c>
      <c r="F114" s="65">
        <f t="shared" ca="1" si="50"/>
        <v>4.2</v>
      </c>
      <c r="G114" s="65">
        <f t="shared" ca="1" si="50"/>
        <v>4.2</v>
      </c>
      <c r="H114" s="65">
        <f t="shared" ca="1" si="50"/>
        <v>4.2</v>
      </c>
      <c r="I114" s="65">
        <f t="shared" ca="1" si="50"/>
        <v>4.2</v>
      </c>
      <c r="J114" s="65">
        <f t="shared" ca="1" si="50"/>
        <v>4.2</v>
      </c>
      <c r="K114" s="65">
        <f t="shared" ca="1" si="50"/>
        <v>4.2</v>
      </c>
      <c r="L114" s="65">
        <f t="shared" ca="1" si="50"/>
        <v>4.2</v>
      </c>
    </row>
    <row r="115" spans="1:12" x14ac:dyDescent="0.35">
      <c r="A115" t="str">
        <f>IF(A6="","","    "&amp;A6&amp;" - Release from Mead")</f>
        <v xml:space="preserve">    Lower Basin - Release from Mead</v>
      </c>
      <c r="C115" s="65">
        <f t="shared" ca="1" si="50"/>
        <v>7.2590000000000003</v>
      </c>
      <c r="D115" s="65">
        <f t="shared" ca="1" si="50"/>
        <v>7.2590000000000003</v>
      </c>
      <c r="E115" s="65">
        <f t="shared" ca="1" si="50"/>
        <v>6.8870000000000005</v>
      </c>
      <c r="F115" s="65">
        <f t="shared" ca="1" si="50"/>
        <v>6.8870000000000005</v>
      </c>
      <c r="G115" s="65">
        <f t="shared" ca="1" si="50"/>
        <v>6.8870000000000005</v>
      </c>
      <c r="H115" s="65">
        <f t="shared" ca="1" si="50"/>
        <v>6.805453457471021</v>
      </c>
      <c r="I115" s="65">
        <f t="shared" ca="1" si="50"/>
        <v>6.3702888005243183</v>
      </c>
      <c r="J115" s="65">
        <f t="shared" ca="1" si="50"/>
        <v>6.3859604978537057</v>
      </c>
      <c r="K115" s="65">
        <f t="shared" ca="1" si="50"/>
        <v>6.4093097077066208</v>
      </c>
      <c r="L115" s="65">
        <f t="shared" ca="1" si="50"/>
        <v>6.4093240851661299</v>
      </c>
    </row>
    <row r="116" spans="1:12" x14ac:dyDescent="0.35">
      <c r="A116" t="str">
        <f>IF(A7="","","    "&amp;A7&amp;" - Release from Mead")</f>
        <v xml:space="preserve">    Mexico - Release from Mead</v>
      </c>
      <c r="C116" s="65">
        <f t="shared" ca="1" si="50"/>
        <v>1.4473333333333334</v>
      </c>
      <c r="D116" s="65">
        <f t="shared" ca="1" si="50"/>
        <v>1.4473333333333334</v>
      </c>
      <c r="E116" s="65">
        <f t="shared" ca="1" si="50"/>
        <v>1.4083333333333332</v>
      </c>
      <c r="F116" s="65">
        <f t="shared" ca="1" si="50"/>
        <v>1.4083333333333332</v>
      </c>
      <c r="G116" s="65">
        <f t="shared" ca="1" si="50"/>
        <v>1.4083333333333332</v>
      </c>
      <c r="H116" s="65">
        <f t="shared" ca="1" si="50"/>
        <v>1.4083333333333332</v>
      </c>
      <c r="I116" s="65">
        <f t="shared" ca="1" si="50"/>
        <v>1.3843333333333332</v>
      </c>
      <c r="J116" s="65">
        <f t="shared" ca="1" si="50"/>
        <v>1.4083333333333332</v>
      </c>
      <c r="K116" s="65">
        <f t="shared" ca="1" si="50"/>
        <v>1.4083333333333332</v>
      </c>
      <c r="L116" s="65">
        <f t="shared" ca="1" si="50"/>
        <v>1.4473333333333334</v>
      </c>
    </row>
    <row r="117" spans="1:12" x14ac:dyDescent="0.35">
      <c r="A117" t="str">
        <f>IF(A8="","","    "&amp;A8&amp;" - Release from Mead")</f>
        <v xml:space="preserve">    Shared, Reserve - Release from Mead</v>
      </c>
      <c r="C117" s="65">
        <f t="shared" ca="1" si="50"/>
        <v>0</v>
      </c>
      <c r="D117" s="65">
        <f t="shared" ca="1" si="50"/>
        <v>0</v>
      </c>
      <c r="E117" s="65">
        <f t="shared" ca="1" si="50"/>
        <v>0</v>
      </c>
      <c r="F117" s="65">
        <f t="shared" ca="1" si="50"/>
        <v>0</v>
      </c>
      <c r="G117" s="65">
        <f t="shared" ca="1" si="50"/>
        <v>0</v>
      </c>
      <c r="H117" s="65">
        <f t="shared" ca="1" si="50"/>
        <v>0</v>
      </c>
      <c r="I117" s="65">
        <f t="shared" ca="1" si="50"/>
        <v>0</v>
      </c>
      <c r="J117" s="65">
        <f t="shared" ca="1" si="50"/>
        <v>0</v>
      </c>
      <c r="K117" s="65">
        <f t="shared" ca="1" si="50"/>
        <v>0</v>
      </c>
      <c r="L117" s="65">
        <f t="shared" ca="1" si="50"/>
        <v>0</v>
      </c>
    </row>
    <row r="118" spans="1:12" x14ac:dyDescent="0.35">
      <c r="A118" t="str">
        <f>IF(A9="","","    "&amp;A9&amp;" - Release from Mead")</f>
        <v/>
      </c>
      <c r="C118" s="65" t="str">
        <f t="shared" ca="1" si="50"/>
        <v/>
      </c>
      <c r="D118" s="65" t="str">
        <f t="shared" ca="1" si="50"/>
        <v/>
      </c>
      <c r="E118" s="65" t="str">
        <f t="shared" ca="1" si="50"/>
        <v/>
      </c>
      <c r="F118" s="65" t="str">
        <f t="shared" ca="1" si="50"/>
        <v/>
      </c>
      <c r="G118" s="65" t="str">
        <f t="shared" ca="1" si="50"/>
        <v/>
      </c>
      <c r="H118" s="65" t="str">
        <f t="shared" ca="1" si="50"/>
        <v/>
      </c>
      <c r="I118" s="65" t="str">
        <f t="shared" ca="1" si="50"/>
        <v/>
      </c>
      <c r="J118" s="65" t="str">
        <f t="shared" ca="1" si="50"/>
        <v/>
      </c>
      <c r="K118" s="65" t="str">
        <f t="shared" ca="1" si="50"/>
        <v/>
      </c>
      <c r="L118" s="65" t="str">
        <f t="shared" ca="1" si="50"/>
        <v/>
      </c>
    </row>
    <row r="119" spans="1:12" x14ac:dyDescent="0.35">
      <c r="A119" t="str">
        <f>IF(A10="","","    "&amp;A10&amp;" - Release from Mead")</f>
        <v/>
      </c>
      <c r="C119" s="65" t="str">
        <f t="shared" ca="1" si="50"/>
        <v/>
      </c>
      <c r="D119" s="65" t="str">
        <f t="shared" ca="1" si="50"/>
        <v/>
      </c>
      <c r="E119" s="65" t="str">
        <f t="shared" ca="1" si="50"/>
        <v/>
      </c>
      <c r="F119" s="65" t="str">
        <f t="shared" ca="1" si="50"/>
        <v/>
      </c>
      <c r="G119" s="65" t="str">
        <f t="shared" ca="1" si="50"/>
        <v/>
      </c>
      <c r="H119" s="65" t="str">
        <f t="shared" ca="1" si="50"/>
        <v/>
      </c>
      <c r="I119" s="65" t="str">
        <f t="shared" ca="1" si="50"/>
        <v/>
      </c>
      <c r="J119" s="65" t="str">
        <f t="shared" ca="1" si="50"/>
        <v/>
      </c>
      <c r="K119" s="65" t="str">
        <f t="shared" ca="1" si="50"/>
        <v/>
      </c>
      <c r="L119" s="65" t="str">
        <f t="shared" ca="1" si="50"/>
        <v/>
      </c>
    </row>
    <row r="120" spans="1:12" x14ac:dyDescent="0.35">
      <c r="A120" s="1" t="s">
        <v>137</v>
      </c>
      <c r="B120" s="1"/>
      <c r="D120" s="2"/>
      <c r="E120" s="2"/>
      <c r="F120" s="2"/>
      <c r="G120" s="2"/>
      <c r="H120" s="2"/>
      <c r="I120" s="2"/>
      <c r="J120" s="2"/>
      <c r="K120" s="2"/>
      <c r="L120" s="2"/>
    </row>
    <row r="121" spans="1:12" x14ac:dyDescent="0.35">
      <c r="A121" t="str">
        <f t="shared" ref="A121:A126" si="51">IF(A5="","","    "&amp;A5)</f>
        <v xml:space="preserve">    Upper Basin</v>
      </c>
      <c r="C121" s="65">
        <f t="shared" ref="C121:L126" ca="1" si="52">IF(OR(C$26="",$A121=""),"",OFFSET(C$62,8*(ROW(B121)-ROW(B$121)),0))</f>
        <v>4.8040452368981788</v>
      </c>
      <c r="D121" s="65">
        <f t="shared" ca="1" si="52"/>
        <v>4.5419931728564817</v>
      </c>
      <c r="E121" s="65">
        <f t="shared" ca="1" si="52"/>
        <v>4.3056232546493094</v>
      </c>
      <c r="F121" s="65">
        <f t="shared" ca="1" si="52"/>
        <v>4.0774702074598084</v>
      </c>
      <c r="G121" s="65">
        <f t="shared" ca="1" si="52"/>
        <v>3.85719281347522</v>
      </c>
      <c r="H121" s="65">
        <f t="shared" ca="1" si="52"/>
        <v>3.6445551050330494</v>
      </c>
      <c r="I121" s="65">
        <f t="shared" ca="1" si="52"/>
        <v>5.4519284043853409</v>
      </c>
      <c r="J121" s="65">
        <f t="shared" ca="1" si="52"/>
        <v>7.1609068947687797</v>
      </c>
      <c r="K121" s="65">
        <f t="shared" ca="1" si="52"/>
        <v>8.7943918761707423</v>
      </c>
      <c r="L121" s="65">
        <f t="shared" ca="1" si="52"/>
        <v>10.34052689057302</v>
      </c>
    </row>
    <row r="122" spans="1:12" x14ac:dyDescent="0.35">
      <c r="A122" t="str">
        <f t="shared" si="51"/>
        <v xml:space="preserve">    Lower Basin</v>
      </c>
      <c r="C122" s="65">
        <f t="shared" ca="1" si="52"/>
        <v>3.2109815232907888</v>
      </c>
      <c r="D122" s="65">
        <f t="shared" ca="1" si="52"/>
        <v>2.1938054130006606</v>
      </c>
      <c r="E122" s="65">
        <f t="shared" ca="1" si="52"/>
        <v>1.5979005802175585</v>
      </c>
      <c r="F122" s="65">
        <f t="shared" ca="1" si="52"/>
        <v>1.0206144277033102</v>
      </c>
      <c r="G122" s="65">
        <f t="shared" ca="1" si="52"/>
        <v>0.46100835996429268</v>
      </c>
      <c r="H122" s="65">
        <f t="shared" ca="1" si="52"/>
        <v>0</v>
      </c>
      <c r="I122" s="65">
        <f t="shared" ca="1" si="52"/>
        <v>0</v>
      </c>
      <c r="J122" s="65">
        <f t="shared" ca="1" si="52"/>
        <v>0</v>
      </c>
      <c r="K122" s="65">
        <f t="shared" ca="1" si="52"/>
        <v>0</v>
      </c>
      <c r="L122" s="65">
        <f t="shared" ca="1" si="52"/>
        <v>0</v>
      </c>
    </row>
    <row r="123" spans="1:12" x14ac:dyDescent="0.35">
      <c r="A123" t="str">
        <f t="shared" si="51"/>
        <v xml:space="preserve">    Mexico</v>
      </c>
      <c r="C123" s="65">
        <f t="shared" ca="1" si="52"/>
        <v>0.16557297647772518</v>
      </c>
      <c r="D123" s="65">
        <f t="shared" ca="1" si="52"/>
        <v>0.15735694647678922</v>
      </c>
      <c r="E123" s="65">
        <f t="shared" ca="1" si="52"/>
        <v>0.14931228563432986</v>
      </c>
      <c r="F123" s="65">
        <f t="shared" ca="1" si="52"/>
        <v>0.14154478800417558</v>
      </c>
      <c r="G123" s="65">
        <f t="shared" ca="1" si="52"/>
        <v>0.13404274739387745</v>
      </c>
      <c r="H123" s="65">
        <f t="shared" ca="1" si="52"/>
        <v>0.1267980923965879</v>
      </c>
      <c r="I123" s="65">
        <f t="shared" ca="1" si="52"/>
        <v>0.11982386668781775</v>
      </c>
      <c r="J123" s="65">
        <f t="shared" ca="1" si="52"/>
        <v>0.1135192981185138</v>
      </c>
      <c r="K123" s="65">
        <f t="shared" ca="1" si="52"/>
        <v>0.10777511917719851</v>
      </c>
      <c r="L123" s="65">
        <f t="shared" ca="1" si="52"/>
        <v>0.10250304627602902</v>
      </c>
    </row>
    <row r="124" spans="1:12" x14ac:dyDescent="0.35">
      <c r="A124" t="str">
        <f t="shared" si="51"/>
        <v xml:space="preserve">    Shared, Reserve</v>
      </c>
      <c r="C124" s="65">
        <f t="shared" ca="1" si="52"/>
        <v>11.59116925</v>
      </c>
      <c r="D124" s="65">
        <f t="shared" ca="1" si="52"/>
        <v>11.59116925</v>
      </c>
      <c r="E124" s="65">
        <f t="shared" ca="1" si="52"/>
        <v>11.59116925</v>
      </c>
      <c r="F124" s="65">
        <f t="shared" ca="1" si="52"/>
        <v>11.59116925</v>
      </c>
      <c r="G124" s="65">
        <f t="shared" ca="1" si="52"/>
        <v>11.59116925</v>
      </c>
      <c r="H124" s="65">
        <f t="shared" ca="1" si="52"/>
        <v>11.59116925</v>
      </c>
      <c r="I124" s="65">
        <f t="shared" ca="1" si="52"/>
        <v>11.59116925</v>
      </c>
      <c r="J124" s="65">
        <f t="shared" ca="1" si="52"/>
        <v>11.59116925</v>
      </c>
      <c r="K124" s="65">
        <f t="shared" ca="1" si="52"/>
        <v>11.59116925</v>
      </c>
      <c r="L124" s="65">
        <f t="shared" ca="1" si="52"/>
        <v>11.59116925</v>
      </c>
    </row>
    <row r="125" spans="1:12" x14ac:dyDescent="0.35">
      <c r="A125" t="str">
        <f t="shared" si="51"/>
        <v/>
      </c>
      <c r="C125" s="65" t="str">
        <f t="shared" ca="1" si="52"/>
        <v/>
      </c>
      <c r="D125" s="65" t="str">
        <f t="shared" ca="1" si="52"/>
        <v/>
      </c>
      <c r="E125" s="65" t="str">
        <f t="shared" ca="1" si="52"/>
        <v/>
      </c>
      <c r="F125" s="65" t="str">
        <f t="shared" ca="1" si="52"/>
        <v/>
      </c>
      <c r="G125" s="65" t="str">
        <f t="shared" ca="1" si="52"/>
        <v/>
      </c>
      <c r="H125" s="65" t="str">
        <f t="shared" ca="1" si="52"/>
        <v/>
      </c>
      <c r="I125" s="65" t="str">
        <f t="shared" ca="1" si="52"/>
        <v/>
      </c>
      <c r="J125" s="65" t="str">
        <f t="shared" ca="1" si="52"/>
        <v/>
      </c>
      <c r="K125" s="65" t="str">
        <f t="shared" ca="1" si="52"/>
        <v/>
      </c>
      <c r="L125" s="65" t="str">
        <f t="shared" ca="1" si="52"/>
        <v/>
      </c>
    </row>
    <row r="126" spans="1:12" x14ac:dyDescent="0.35">
      <c r="A126" t="str">
        <f t="shared" si="51"/>
        <v/>
      </c>
      <c r="C126" s="65" t="str">
        <f t="shared" ca="1" si="52"/>
        <v/>
      </c>
      <c r="D126" s="65" t="str">
        <f t="shared" ca="1" si="52"/>
        <v/>
      </c>
      <c r="E126" s="65" t="str">
        <f t="shared" ca="1" si="52"/>
        <v/>
      </c>
      <c r="F126" s="65" t="str">
        <f t="shared" ca="1" si="52"/>
        <v/>
      </c>
      <c r="G126" s="65" t="str">
        <f t="shared" ca="1" si="52"/>
        <v/>
      </c>
      <c r="H126" s="65" t="str">
        <f t="shared" ca="1" si="52"/>
        <v/>
      </c>
      <c r="I126" s="65" t="str">
        <f t="shared" ca="1" si="52"/>
        <v/>
      </c>
      <c r="J126" s="65" t="str">
        <f t="shared" ca="1" si="52"/>
        <v/>
      </c>
      <c r="K126" s="65" t="str">
        <f t="shared" ca="1" si="52"/>
        <v/>
      </c>
      <c r="L126" s="65" t="str">
        <f t="shared" ca="1" si="52"/>
        <v/>
      </c>
    </row>
    <row r="127" spans="1:12" x14ac:dyDescent="0.35">
      <c r="A127" s="1" t="s">
        <v>121</v>
      </c>
      <c r="B127" s="1"/>
      <c r="C127" s="14">
        <f ca="1">IF(C$26&lt;&gt;"",SUM(C121:C126),"")</f>
        <v>19.771768986666693</v>
      </c>
      <c r="D127" s="14">
        <f t="shared" ref="D127:L127" ca="1" si="53">IF(D$26&lt;&gt;"",SUM(D121:D126),"")</f>
        <v>18.484324782333932</v>
      </c>
      <c r="E127" s="14">
        <f t="shared" ca="1" si="53"/>
        <v>17.644005370501198</v>
      </c>
      <c r="F127" s="14">
        <f t="shared" ca="1" si="53"/>
        <v>16.830798673167294</v>
      </c>
      <c r="G127" s="14">
        <f t="shared" ca="1" si="53"/>
        <v>16.043413170833389</v>
      </c>
      <c r="H127" s="14">
        <f t="shared" ca="1" si="53"/>
        <v>15.362522447429637</v>
      </c>
      <c r="I127" s="14">
        <f t="shared" ca="1" si="53"/>
        <v>17.162921521073159</v>
      </c>
      <c r="J127" s="14">
        <f t="shared" ca="1" si="53"/>
        <v>18.865595442887294</v>
      </c>
      <c r="K127" s="14">
        <f t="shared" ca="1" si="53"/>
        <v>20.49333624534794</v>
      </c>
      <c r="L127" s="14">
        <f t="shared" ca="1" si="53"/>
        <v>22.034199186849051</v>
      </c>
    </row>
    <row r="128" spans="1:12" x14ac:dyDescent="0.35">
      <c r="A128" s="1" t="s">
        <v>194</v>
      </c>
      <c r="B128" s="1"/>
      <c r="C128" s="66">
        <v>0.5</v>
      </c>
      <c r="D128" s="66">
        <v>0.5</v>
      </c>
      <c r="E128" s="66">
        <v>0.5</v>
      </c>
      <c r="F128" s="66">
        <v>0.5</v>
      </c>
      <c r="G128" s="66">
        <v>0.5</v>
      </c>
      <c r="H128" s="66">
        <v>0.5</v>
      </c>
      <c r="I128" s="66">
        <v>0.5</v>
      </c>
      <c r="J128" s="66">
        <v>0.5</v>
      </c>
      <c r="K128" s="66">
        <v>0.5</v>
      </c>
      <c r="L128" s="66">
        <v>0.5</v>
      </c>
    </row>
    <row r="129" spans="1:14" x14ac:dyDescent="0.35">
      <c r="A129" s="1" t="s">
        <v>190</v>
      </c>
      <c r="B129" s="1"/>
      <c r="C129" s="14">
        <f ca="1">IF(C26="","",C$128*C$127)</f>
        <v>9.8858844933333465</v>
      </c>
      <c r="D129" s="14">
        <f t="shared" ref="D129:L129" ca="1" si="54">IF(D26="","",D$128*D$127)</f>
        <v>9.2421623911669659</v>
      </c>
      <c r="E129" s="14">
        <f t="shared" ca="1" si="54"/>
        <v>8.8220026852505988</v>
      </c>
      <c r="F129" s="14">
        <f t="shared" ca="1" si="54"/>
        <v>8.415399336583647</v>
      </c>
      <c r="G129" s="14">
        <f t="shared" ca="1" si="54"/>
        <v>8.0217065854166947</v>
      </c>
      <c r="H129" s="14">
        <f t="shared" ca="1" si="54"/>
        <v>7.6812612237148183</v>
      </c>
      <c r="I129" s="14">
        <f t="shared" ca="1" si="54"/>
        <v>8.5814607605365794</v>
      </c>
      <c r="J129" s="14">
        <f t="shared" ca="1" si="54"/>
        <v>9.4327977214436469</v>
      </c>
      <c r="K129" s="14">
        <f t="shared" ca="1" si="54"/>
        <v>10.24666812267397</v>
      </c>
      <c r="L129" s="14">
        <f t="shared" ca="1" si="54"/>
        <v>11.017099593424525</v>
      </c>
    </row>
    <row r="130" spans="1:14" x14ac:dyDescent="0.35">
      <c r="A130" s="1" t="s">
        <v>191</v>
      </c>
      <c r="B130" s="1"/>
      <c r="C130" s="14">
        <f ca="1">IF(C27="","",(1-C$128)*C$127)</f>
        <v>9.8858844933333465</v>
      </c>
      <c r="D130" s="14">
        <f t="shared" ref="D130:L130" ca="1" si="55">IF(D27="","",(1-D$128)*D$127)</f>
        <v>9.2421623911669659</v>
      </c>
      <c r="E130" s="14">
        <f t="shared" ca="1" si="55"/>
        <v>8.8220026852505988</v>
      </c>
      <c r="F130" s="14">
        <f t="shared" ca="1" si="55"/>
        <v>8.415399336583647</v>
      </c>
      <c r="G130" s="14">
        <f t="shared" ca="1" si="55"/>
        <v>8.0217065854166947</v>
      </c>
      <c r="H130" s="14">
        <f t="shared" ca="1" si="55"/>
        <v>7.6812612237148183</v>
      </c>
      <c r="I130" s="14">
        <f t="shared" ca="1" si="55"/>
        <v>8.5814607605365794</v>
      </c>
      <c r="J130" s="14">
        <f t="shared" ca="1" si="55"/>
        <v>9.4327977214436469</v>
      </c>
      <c r="K130" s="14">
        <f t="shared" ca="1" si="55"/>
        <v>10.24666812267397</v>
      </c>
      <c r="L130" s="14">
        <f t="shared" ca="1" si="55"/>
        <v>11.017099593424525</v>
      </c>
    </row>
    <row r="131" spans="1:14" x14ac:dyDescent="0.35">
      <c r="A131" s="30" t="s">
        <v>255</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3563</v>
      </c>
      <c r="J131" s="81">
        <f ca="1">IF(J$26&lt;&gt;"",VLOOKUP(J129*1000000,'Powell-Elevation-Area'!$B$5:$H$689,7),"")</f>
        <v>3573.5</v>
      </c>
      <c r="K131" s="81">
        <f ca="1">IF(K$26&lt;&gt;"",VLOOKUP(K129*1000000,'Powell-Elevation-Area'!$B$5:$H$689,7),"")</f>
        <v>3583.5</v>
      </c>
      <c r="L131" s="81">
        <f ca="1">IF(L$26&lt;&gt;"",VLOOKUP(L129*1000000,'Powell-Elevation-Area'!$B$5:$H$689,7),"")</f>
        <v>3592</v>
      </c>
    </row>
    <row r="132" spans="1:14" x14ac:dyDescent="0.35">
      <c r="A132" s="30" t="s">
        <v>256</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1062</v>
      </c>
      <c r="J132" s="81">
        <f ca="1">IF(J$26&lt;&gt;"",VLOOKUP(J130*1000000,'Mead-Elevation-Area'!$B$5:$H$689,7),"")</f>
        <v>1072.5</v>
      </c>
      <c r="K132" s="81">
        <f ca="1">IF(K$26&lt;&gt;"",VLOOKUP(K130*1000000,'Mead-Elevation-Area'!$B$5:$H$689,7),"")</f>
        <v>1082.5</v>
      </c>
      <c r="L132" s="81">
        <f ca="1">IF(L$26&lt;&gt;"",VLOOKUP(L130*1000000,'Mead-Elevation-Area'!$B$5:$H$689,7),"")</f>
        <v>1091.5</v>
      </c>
    </row>
    <row r="133" spans="1:14" x14ac:dyDescent="0.35">
      <c r="A133" s="1" t="s">
        <v>268</v>
      </c>
      <c r="B133" s="1"/>
    </row>
    <row r="134" spans="1:14" x14ac:dyDescent="0.35">
      <c r="A134" s="30" t="s">
        <v>269</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8.8870556706788122</v>
      </c>
      <c r="J134" s="14">
        <f ca="1">IF(J$26&lt;&gt;"",-J129+J37+J26-J61-VLOOKUP(J37*1000000,'Powell-Elevation-Area'!$B$5:$D$689,3)*$B$20/1000000,"")</f>
        <v>8.9049667920935072</v>
      </c>
      <c r="K134" s="14">
        <f ca="1">IF(K$26&lt;&gt;"",-K129+K37+K26-K61-VLOOKUP(K37*1000000,'Powell-Elevation-Area'!$B$5:$D$689,3)*$B$20/1000000,"")</f>
        <v>8.9132954422696784</v>
      </c>
      <c r="L134" s="14">
        <f ca="1">IF(L$26&lt;&gt;"",-L129+L37+L26-L61-VLOOKUP(L37*1000000,'Powell-Elevation-Area'!$B$5:$D$689,3)*$B$20/1000000,"")</f>
        <v>8.928949889250017</v>
      </c>
      <c r="N134" t="s">
        <v>192</v>
      </c>
    </row>
    <row r="135" spans="1:14" x14ac:dyDescent="0.3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274</v>
      </c>
    </row>
    <row r="136" spans="1:14" s="83" customFormat="1" ht="62.5" customHeight="1" x14ac:dyDescent="0.3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5" customHeight="1" x14ac:dyDescent="0.3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35">
      <c r="C138" s="27"/>
    </row>
    <row r="139" spans="1:14" x14ac:dyDescent="0.35">
      <c r="A139" s="1" t="s">
        <v>123</v>
      </c>
      <c r="C139" s="129">
        <f>IF(C$26&lt;&gt;"",0.2,"")</f>
        <v>0.2</v>
      </c>
      <c r="D139" s="129">
        <f t="shared" ref="D139:L139" si="56">IF(D$26&lt;&gt;"",0.2,"")</f>
        <v>0.2</v>
      </c>
      <c r="E139" s="129">
        <f t="shared" si="56"/>
        <v>0.2</v>
      </c>
      <c r="F139" s="129">
        <f t="shared" si="56"/>
        <v>0.2</v>
      </c>
      <c r="G139" s="129">
        <f t="shared" si="56"/>
        <v>0.2</v>
      </c>
      <c r="H139" s="129">
        <f t="shared" si="56"/>
        <v>0.2</v>
      </c>
      <c r="I139" s="129">
        <f t="shared" si="56"/>
        <v>0.2</v>
      </c>
      <c r="J139" s="129">
        <f t="shared" si="56"/>
        <v>0.2</v>
      </c>
      <c r="K139" s="129">
        <f t="shared" si="56"/>
        <v>0.2</v>
      </c>
      <c r="L139" s="129">
        <f t="shared" si="56"/>
        <v>0.2</v>
      </c>
    </row>
    <row r="140" spans="1:14" x14ac:dyDescent="0.35">
      <c r="A140" t="s">
        <v>124</v>
      </c>
      <c r="C140" s="14">
        <f t="shared" ref="C140:L140" ca="1" si="57">IF(C$26&lt;&gt;"",C115+C139,"")</f>
        <v>7.4590000000000005</v>
      </c>
      <c r="D140" s="14">
        <f t="shared" ca="1" si="57"/>
        <v>7.4590000000000005</v>
      </c>
      <c r="E140" s="14">
        <f t="shared" ca="1" si="57"/>
        <v>7.0870000000000006</v>
      </c>
      <c r="F140" s="14">
        <f t="shared" ca="1" si="57"/>
        <v>7.0870000000000006</v>
      </c>
      <c r="G140" s="14">
        <f t="shared" ca="1" si="57"/>
        <v>7.0870000000000006</v>
      </c>
      <c r="H140" s="14">
        <f t="shared" ca="1" si="57"/>
        <v>7.0054534574710212</v>
      </c>
      <c r="I140" s="14">
        <f t="shared" ca="1" si="57"/>
        <v>6.5702888005243185</v>
      </c>
      <c r="J140" s="14">
        <f t="shared" ca="1" si="57"/>
        <v>6.5859604978537059</v>
      </c>
      <c r="K140" s="14">
        <f t="shared" ca="1" si="57"/>
        <v>6.609309707706621</v>
      </c>
      <c r="L140" s="14">
        <f t="shared" ca="1" si="57"/>
        <v>6.6093240851661301</v>
      </c>
    </row>
    <row r="142" spans="1:14" x14ac:dyDescent="0.35">
      <c r="D142" s="17"/>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131" priority="46" operator="greaterThan">
      <formula>$C$76</formula>
    </cfRule>
  </conditionalFormatting>
  <conditionalFormatting sqref="C85:L85">
    <cfRule type="cellIs" dxfId="130" priority="36" operator="greaterThan">
      <formula>$C$84</formula>
    </cfRule>
  </conditionalFormatting>
  <conditionalFormatting sqref="C93">
    <cfRule type="cellIs" dxfId="129" priority="35" operator="greaterThan">
      <formula>$C$92</formula>
    </cfRule>
  </conditionalFormatting>
  <conditionalFormatting sqref="D93">
    <cfRule type="cellIs" dxfId="128" priority="34" operator="greaterThan">
      <formula>$D$92</formula>
    </cfRule>
  </conditionalFormatting>
  <conditionalFormatting sqref="E93">
    <cfRule type="cellIs" dxfId="127" priority="33" operator="greaterThan">
      <formula>$E$92</formula>
    </cfRule>
  </conditionalFormatting>
  <conditionalFormatting sqref="F93">
    <cfRule type="cellIs" dxfId="126" priority="32" operator="greaterThan">
      <formula>$F$92</formula>
    </cfRule>
  </conditionalFormatting>
  <conditionalFormatting sqref="G93">
    <cfRule type="cellIs" dxfId="125" priority="31" operator="greaterThan">
      <formula>$G$92</formula>
    </cfRule>
  </conditionalFormatting>
  <conditionalFormatting sqref="H93">
    <cfRule type="cellIs" dxfId="124" priority="30" operator="greaterThan">
      <formula>$H$92</formula>
    </cfRule>
  </conditionalFormatting>
  <conditionalFormatting sqref="I93">
    <cfRule type="cellIs" dxfId="123" priority="29" operator="greaterThan">
      <formula>$I$92</formula>
    </cfRule>
  </conditionalFormatting>
  <conditionalFormatting sqref="J93">
    <cfRule type="cellIs" dxfId="122" priority="28" operator="greaterThan">
      <formula>$J$92</formula>
    </cfRule>
  </conditionalFormatting>
  <conditionalFormatting sqref="K93">
    <cfRule type="cellIs" dxfId="121" priority="27" operator="greaterThan">
      <formula>$K$92</formula>
    </cfRule>
  </conditionalFormatting>
  <conditionalFormatting sqref="L93">
    <cfRule type="cellIs" dxfId="120" priority="26" operator="greaterThan">
      <formula>$L$92</formula>
    </cfRule>
  </conditionalFormatting>
  <conditionalFormatting sqref="C101">
    <cfRule type="cellIs" dxfId="119" priority="25" operator="greaterThan">
      <formula>$C$100</formula>
    </cfRule>
  </conditionalFormatting>
  <conditionalFormatting sqref="D101">
    <cfRule type="cellIs" dxfId="118" priority="24" operator="greaterThan">
      <formula>$D$100</formula>
    </cfRule>
  </conditionalFormatting>
  <conditionalFormatting sqref="E101">
    <cfRule type="cellIs" dxfId="117" priority="23" operator="greaterThan">
      <formula>$E$100</formula>
    </cfRule>
  </conditionalFormatting>
  <conditionalFormatting sqref="F101">
    <cfRule type="cellIs" dxfId="116" priority="22" operator="greaterThan">
      <formula>$F$100</formula>
    </cfRule>
  </conditionalFormatting>
  <conditionalFormatting sqref="G101">
    <cfRule type="cellIs" dxfId="115" priority="21" operator="greaterThan">
      <formula>$G$100</formula>
    </cfRule>
  </conditionalFormatting>
  <conditionalFormatting sqref="H101">
    <cfRule type="cellIs" dxfId="114" priority="20" operator="greaterThan">
      <formula>$H$100</formula>
    </cfRule>
  </conditionalFormatting>
  <conditionalFormatting sqref="I101">
    <cfRule type="cellIs" dxfId="113" priority="19" operator="greaterThan">
      <formula>$I$100</formula>
    </cfRule>
  </conditionalFormatting>
  <conditionalFormatting sqref="J101">
    <cfRule type="cellIs" dxfId="112" priority="18" operator="greaterThan">
      <formula>$J$100</formula>
    </cfRule>
  </conditionalFormatting>
  <conditionalFormatting sqref="K101">
    <cfRule type="cellIs" dxfId="111" priority="17" operator="greaterThan">
      <formula>$K$100</formula>
    </cfRule>
  </conditionalFormatting>
  <conditionalFormatting sqref="L101">
    <cfRule type="cellIs" dxfId="110" priority="16" operator="greaterThan">
      <formula>$L$100</formula>
    </cfRule>
  </conditionalFormatting>
  <conditionalFormatting sqref="C61:L61">
    <cfRule type="cellIs" dxfId="109" priority="3" operator="greaterThan">
      <formula>$C$60</formula>
    </cfRule>
  </conditionalFormatting>
  <conditionalFormatting sqref="C69:L69">
    <cfRule type="cellIs" dxfId="10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62DEC20E-96FD-4BA4-AE2D-68F5E6D1D0A6}">
            <xm:f>PowellReleaseTemperature!$B$10</xm:f>
            <x14:dxf>
              <font>
                <color auto="1"/>
              </font>
              <fill>
                <patternFill>
                  <bgColor theme="4"/>
                </patternFill>
              </fill>
            </x14:dxf>
          </x14:cfRule>
          <x14:cfRule type="cellIs" priority="12" operator="equal" id="{F3E684CE-25EF-4C8C-AF00-9B485C6317BF}">
            <xm:f>PowellReleaseTemperature!$B$9</xm:f>
            <x14:dxf>
              <font>
                <color theme="4" tint="-0.24994659260841701"/>
              </font>
              <fill>
                <patternFill>
                  <bgColor theme="8" tint="0.59996337778862885"/>
                </patternFill>
              </fill>
            </x14:dxf>
          </x14:cfRule>
          <x14:cfRule type="cellIs" priority="13" operator="equal" id="{D69E8474-738F-44FF-8800-47F6A5595AA8}">
            <xm:f>PowellReleaseTemperature!$B$8</xm:f>
            <x14:dxf>
              <font>
                <color rgb="FF9C0006"/>
              </font>
              <fill>
                <patternFill>
                  <bgColor rgb="FFFFC7CE"/>
                </patternFill>
              </fill>
            </x14:dxf>
          </x14:cfRule>
          <x14:cfRule type="cellIs" priority="14" operator="equal" id="{5D7D6D8A-236B-4B6D-87C2-866F9E8659C3}">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741D280-FC3B-40F0-9273-B5923AE55698}">
            <xm:f>PowellReleaseTemperature!$E$5</xm:f>
            <x14:dxf>
              <font>
                <color auto="1"/>
              </font>
              <fill>
                <patternFill>
                  <bgColor rgb="FFFF0000"/>
                </patternFill>
              </fill>
            </x14:dxf>
          </x14:cfRule>
          <x14:cfRule type="cellIs" priority="8" operator="equal" id="{BE97E504-5A7C-42DC-A213-7D8A0CD1AC03}">
            <xm:f>PowellReleaseTemperature!$E$8</xm:f>
            <x14:dxf>
              <font>
                <color rgb="FF9C0006"/>
              </font>
              <fill>
                <patternFill>
                  <bgColor rgb="FFFFC7CE"/>
                </patternFill>
              </fill>
            </x14:dxf>
          </x14:cfRule>
          <x14:cfRule type="cellIs" priority="9" operator="equal" id="{C9E4F4D8-9D7E-4339-A2ED-61C2C0223C2C}">
            <xm:f>PowellReleaseTemperature!$E$9</xm:f>
            <x14:dxf>
              <font>
                <color theme="4" tint="-0.24994659260841701"/>
              </font>
              <fill>
                <patternFill>
                  <bgColor theme="8" tint="0.59996337778862885"/>
                </patternFill>
              </fill>
            </x14:dxf>
          </x14:cfRule>
          <x14:cfRule type="cellIs" priority="10" operator="equal" id="{8D4AD9BD-F0CA-4E70-897D-631DA7F757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B1FAF250-4323-4C6A-9B50-6B3BDDF4FF67}">
            <xm:f>PowellReleaseTemperature!$F$10</xm:f>
            <x14:dxf>
              <font>
                <color auto="1"/>
              </font>
              <fill>
                <patternFill>
                  <bgColor theme="4"/>
                </patternFill>
              </fill>
            </x14:dxf>
          </x14:cfRule>
          <x14:cfRule type="cellIs" priority="5" operator="equal" id="{8EBA8303-F72F-41EC-961A-3ACD6518565D}">
            <xm:f>PowellReleaseTemperature!$F$9</xm:f>
            <x14:dxf>
              <font>
                <color theme="4" tint="-0.24994659260841701"/>
              </font>
              <fill>
                <patternFill>
                  <bgColor theme="8" tint="0.59996337778862885"/>
                </patternFill>
              </fill>
            </x14:dxf>
          </x14:cfRule>
          <x14:cfRule type="cellIs" priority="6" operator="equal" id="{491379CE-9AFF-4E47-8155-797D2278CC86}">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27F11AC5-CD86-41DC-861C-9EFB19F81447}">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ReadMe-Directions</vt:lpstr>
      <vt:lpstr>Versions</vt:lpstr>
      <vt:lpstr>Master</vt:lpstr>
      <vt:lpstr>Master-LawOfRiver</vt:lpstr>
      <vt:lpstr>Master-Plots</vt:lpstr>
      <vt:lpstr>8.1-Trade</vt:lpstr>
      <vt:lpstr>8.1-LawOfRiver</vt:lpstr>
      <vt:lpstr>8.1-Plots</vt:lpstr>
      <vt:lpstr>MillenniumRecover-LawOfRiver</vt:lpstr>
      <vt:lpstr>MillenniumRecover-Trade</vt:lpstr>
      <vt:lpstr>Millennium-Plots</vt:lpstr>
      <vt:lpstr>MillenniumRecover-Delta</vt:lpstr>
      <vt:lpstr>MandatoryConservation</vt:lpstr>
      <vt:lpstr>HydrologicScenarios</vt:lpstr>
      <vt:lpstr>PowellReleaseTemperature</vt:lpstr>
      <vt:lpstr>Powell-Elevation-Area</vt:lpstr>
      <vt:lpstr>Mead-Elevation-Area</vt:lpstr>
      <vt:lpstr>11.0-LawOfRiverShort</vt:lpstr>
      <vt:lpstr>CellType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2021-11-05T17:26:00Z</dcterms:modified>
</cp:coreProperties>
</file>